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vR\SURFdrive\Meta-analysis\Meta-Essentials\"/>
    </mc:Choice>
  </mc:AlternateContent>
  <xr:revisionPtr revIDLastSave="0" documentId="10_ncr:8100000_{76ED2226-A826-4E4E-B7B5-15A8492E8B96}" xr6:coauthVersionLast="34" xr6:coauthVersionMax="34" xr10:uidLastSave="{00000000-0000-0000-0000-000000000000}"/>
  <bookViews>
    <workbookView xWindow="14265" yWindow="165" windowWidth="14310" windowHeight="10695" tabRatio="590" xr2:uid="{00000000-000D-0000-FFFF-FFFF00000000}"/>
  </bookViews>
  <sheets>
    <sheet name="Input" sheetId="1" r:id="rId1"/>
    <sheet name="Forest Plot" sheetId="5" r:id="rId2"/>
    <sheet name="Subgroup Analysis" sheetId="9" r:id="rId3"/>
    <sheet name="Moderator Analysis" sheetId="10" r:id="rId4"/>
    <sheet name="Publication Bias Analysis" sheetId="8" r:id="rId5"/>
    <sheet name="Calculations" sheetId="2" r:id="rId6"/>
  </sheets>
  <definedNames>
    <definedName name="_xlnm._FilterDatabase" localSheetId="0" hidden="1">#REF!</definedName>
    <definedName name="a_" localSheetId="0">Input!$D:$D</definedName>
    <definedName name="a_">Calculations!$B:$B</definedName>
    <definedName name="Abbe_LogRiskRatio">Calculations!$AD:$AD</definedName>
    <definedName name="Abbe_SELogRiskRatio">Calculations!$AE:$AE</definedName>
    <definedName name="Add_0_5">Calculations!$F:$F</definedName>
    <definedName name="Additional_confidence_level">'Publication Bias Analysis'!$B$7</definedName>
    <definedName name="Additional_effect_size_measure">'Publication Bias Analysis'!$B$3</definedName>
    <definedName name="Additional_model">'Publication Bias Analysis'!$B$6</definedName>
    <definedName name="Additional_valid_options">'Publication Bias Analysis'!$B$4</definedName>
    <definedName name="Additional_weighting_method">'Publication Bias Analysis'!$B$2</definedName>
    <definedName name="b_" localSheetId="0">Input!$E:$E</definedName>
    <definedName name="b_">Calculations!$C:$C</definedName>
    <definedName name="Between_subgroup_weighting">'Subgroup Analysis'!$B$6</definedName>
    <definedName name="c_" localSheetId="0">Input!$F:$F</definedName>
    <definedName name="c_">Calculations!$D:$D</definedName>
    <definedName name="CES_CI_Lower_limit">'Forest Plot'!$B$17</definedName>
    <definedName name="CES_CI_Upper_limit">'Forest Plot'!$B$18</definedName>
    <definedName name="CES_IV">Calculations!$BM$9</definedName>
    <definedName name="CES_OddsRatio_MH">Calculations!$CB$10</definedName>
    <definedName name="CES_PetoOddsRatio">Calculations!$CN$10</definedName>
    <definedName name="CES_PI_Lower_limit">'Forest Plot'!$B$19</definedName>
    <definedName name="CES_PI_Upper_limit">'Forest Plot'!$B$20</definedName>
    <definedName name="CI_LLOddsRatio">Calculations!$M:$M</definedName>
    <definedName name="CI_LLPetoOddsRatio">Calculations!$S:$S</definedName>
    <definedName name="CI_LLRiskDifference">Calculations!$Y:$Y</definedName>
    <definedName name="CI_LLRiskRatio">Calculations!$AF:$AF</definedName>
    <definedName name="CI_Lower_limit">'Forest Plot'!$G:$G</definedName>
    <definedName name="CI_ULOddsRatio">Calculations!$N:$N</definedName>
    <definedName name="CI_ULPetoOddsRatio">Calculations!$T:$T</definedName>
    <definedName name="CI_ULRiskDifference">Calculations!$Z:$Z</definedName>
    <definedName name="CI_ULRiskRatio">Calculations!$AG:$AG</definedName>
    <definedName name="CI_Upper_limit">'Forest Plot'!$H:$H</definedName>
    <definedName name="CICES_LL">Calculations!$BM$11</definedName>
    <definedName name="CICES_LL_MH">Calculations!$CB$11</definedName>
    <definedName name="CICES_LL_Peto">Calculations!$CN$11</definedName>
    <definedName name="CICES_UL">Calculations!$BM$12</definedName>
    <definedName name="CICES_UL_MH">Calculations!$CB$12</definedName>
    <definedName name="CICES_UL_Peto">Calculations!$CN$12</definedName>
    <definedName name="CIlnCES_LL">Calculations!$BM$4</definedName>
    <definedName name="CIlnCES_LL_MH">Calculations!$CB$5</definedName>
    <definedName name="CIlnCES_LL_Peto">Calculations!$CN$5</definedName>
    <definedName name="CIlnCES_UL">Calculations!$BM$5</definedName>
    <definedName name="CIlnCES_UL_MH">Calculations!$CB$6</definedName>
    <definedName name="CIlnCES_UL_Peto">Calculations!$CN$6</definedName>
    <definedName name="Confidence_level">'Forest Plot'!$B$3</definedName>
    <definedName name="Control_group_risk">Calculations!$CQ:$CQ</definedName>
    <definedName name="d_" localSheetId="0">Input!$G:$G</definedName>
    <definedName name="d_">Calculations!$E:$E</definedName>
    <definedName name="Effect_size">'Forest Plot'!$F:$F</definedName>
    <definedName name="Effect_size_lookup">Calculations!$AO:$AO</definedName>
    <definedName name="Effect_sizeplot">Calculations!$AW:$AW</definedName>
    <definedName name="Egger_regression">'Publication Bias Analysis'!$O$2</definedName>
    <definedName name="Entry_number">Input!$A:$A</definedName>
    <definedName name="Expected">Calculations!$CE:$CE</definedName>
    <definedName name="Include_study?">Input!$C:$C</definedName>
    <definedName name="Inverse_standard_error">Calculations!$FX:$FX</definedName>
    <definedName name="k_">'Forest Plot'!$B$27</definedName>
    <definedName name="lnCES_IV">Calculations!$BM$2</definedName>
    <definedName name="lnCES_OddsRatio_MH">Calculations!$CB$2</definedName>
    <definedName name="lnCES_PetoOddsRatio">Calculations!$CN$2</definedName>
    <definedName name="LogOddsRatio">Calculations!$K:$K</definedName>
    <definedName name="LogPetoOddsRatio">Calculations!$CG:$CG</definedName>
    <definedName name="LogRiskRatio">Calculations!$AD:$AD</definedName>
    <definedName name="Lookup_table">Calculations!$AK:$CJ</definedName>
    <definedName name="Lookup_table_subgroup">Calculations!$CY:$DN</definedName>
    <definedName name="Meta_analysis_model">'Forest Plot'!$B$2</definedName>
    <definedName name="Model_Effect_size">Calculations!$BF:$BF</definedName>
    <definedName name="Model_effect_size_measure">'Forest Plot'!$B$7</definedName>
    <definedName name="Model_Standard_Error">Calculations!$BG:$BG</definedName>
    <definedName name="Moderator">Input!$L:$L</definedName>
    <definedName name="Moderator_confidence_level">'Moderator Analysis'!$B$7</definedName>
    <definedName name="Moderator_effect_size_measure">'Moderator Analysis'!$B$3</definedName>
    <definedName name="Moderator_k">Calculations!$FP$8</definedName>
    <definedName name="Moderator_model">'Moderator Analysis'!$B$6</definedName>
    <definedName name="Moderator_valid_options">'Moderator Analysis'!$B$4</definedName>
    <definedName name="Moderator_weighting_method">'Moderator Analysis'!$B$2</definedName>
    <definedName name="n1_" localSheetId="0">Input!$H:$H</definedName>
    <definedName name="n2_" localSheetId="0">Input!$I:$I</definedName>
    <definedName name="Number">'Forest Plot'!$D:$D</definedName>
    <definedName name="Number_of_subgroups">'Subgroup Analysis'!$B$19</definedName>
    <definedName name="Number_of_subjects">Calculations!$AN:$AN</definedName>
    <definedName name="OddsRatio">Calculations!$J:$J</definedName>
    <definedName name="Order">'Forest Plot'!$B$13</definedName>
    <definedName name="PetoOddsRatio">Calculations!$Q:$Q</definedName>
    <definedName name="PICES_LL">Calculations!$BM$13</definedName>
    <definedName name="PICES_LL_MH">Calculations!$CB$13</definedName>
    <definedName name="PICES_LL_Peto">Calculations!$CN$13</definedName>
    <definedName name="PICES_UL">Calculations!$BM$14</definedName>
    <definedName name="PICES_UL_MH">Calculations!$CB$14</definedName>
    <definedName name="PICES_UL_Peto">Calculations!$CN$14</definedName>
    <definedName name="PIlnCES_LL">Calculations!$BM$6</definedName>
    <definedName name="PIlnCES_LL_MH">Calculations!$CB$7</definedName>
    <definedName name="PIlnCES_LL_Peto">Calculations!$CN$7</definedName>
    <definedName name="PIlnCES_UL">Calculations!$BM$7</definedName>
    <definedName name="PIlnCES_UL_MH">Calculations!$CB$8</definedName>
    <definedName name="PIlnCES_UL_Peto">Calculations!$CN$8</definedName>
    <definedName name="Present_Effect_size_measure">'Forest Plot'!$B$8</definedName>
    <definedName name="Q_">Calculations!$BM$19</definedName>
    <definedName name="Q_MH">Calculations!$CB$19</definedName>
    <definedName name="Q_Peto">Calculations!$CN$19</definedName>
    <definedName name="Ranked_number">'Forest Plot'!$D:$D</definedName>
    <definedName name="Risk_Difference">Calculations!$W:$W</definedName>
    <definedName name="Risk_Ratio">Calculations!$AC:$AC</definedName>
    <definedName name="SECES_Risk_Difference">Calculations!$BM$10</definedName>
    <definedName name="SElnCES">Calculations!$BM$3</definedName>
    <definedName name="SElnCES_MH">Calculations!$CB$4</definedName>
    <definedName name="SElnCES_Peto">Calculations!$CN$4</definedName>
    <definedName name="SELogOddsRatio">Calculations!$L:$L</definedName>
    <definedName name="SELogPetoOddsRatio">Calculations!$R:$R</definedName>
    <definedName name="SELogRiskRatio">Calculations!$AE:$AE</definedName>
    <definedName name="SERiskDifference">Calculations!$X:$X</definedName>
    <definedName name="SEz">Calculations!$AN:$AN</definedName>
    <definedName name="Sort_by">'Forest Plot'!$B$12</definedName>
    <definedName name="Standard_error">Calculations!$AR:$AR</definedName>
    <definedName name="Standardized_residual">'Publication Bias Analysis'!$W:$W</definedName>
    <definedName name="Study_name" localSheetId="0">Input!$B:$B</definedName>
    <definedName name="Study_name">Calculations!$AM:$AM</definedName>
    <definedName name="Subgroup">Input!$K:$K</definedName>
    <definedName name="Subgroup_confidence_level">'Subgroup Analysis'!$B$8</definedName>
    <definedName name="Subgroup_effect_size">Calculations!$DB:$DB</definedName>
    <definedName name="Subgroup_effect_size_measure">'Subgroup Analysis'!$B$3</definedName>
    <definedName name="Subgroup_k">'Subgroup Analysis'!$B$18</definedName>
    <definedName name="Subgroup_number">'Subgroup Analysis'!$F:$F</definedName>
    <definedName name="Subgroup_valid_options">'Subgroup Analysis'!$B$4</definedName>
    <definedName name="Subgroup_weightf">Calculations!$DD:$DD</definedName>
    <definedName name="Subgroup_weighting_method">'Subgroup Analysis'!$B$2</definedName>
    <definedName name="Sufficient_data">Input!$J:$J</definedName>
    <definedName name="T2_">Calculations!$BM$20</definedName>
    <definedName name="T2_MH">Calculations!$CB$20</definedName>
    <definedName name="T2_Peto">Calculations!$CN$20</definedName>
    <definedName name="Trim_and_fill">'Publication Bias Analysis'!$L$36</definedName>
    <definedName name="Valid_options">'Forest Plot'!$B$9</definedName>
    <definedName name="Var">Calculations!$AO:$AO</definedName>
    <definedName name="VarExpected">Calculations!$CF:$CF</definedName>
    <definedName name="VarlnCES_MH">Calculations!$CB$3</definedName>
    <definedName name="VarlnCES_Peto">Calculations!$CN$3</definedName>
    <definedName name="VarLogPetoOddsRatio">Calculations!$CH:$CH</definedName>
    <definedName name="Varz">Calculations!$AM:$AM</definedName>
    <definedName name="Weight">Calculations!$BI:$BI</definedName>
    <definedName name="Weight_lookup">Calculations!$AU:$AU</definedName>
    <definedName name="Weight_MH">Calculations!$BX:$BX</definedName>
    <definedName name="Weight_Peto">Calculations!$CJ:$CJ</definedName>
    <definedName name="Weighted_squared_residual">Calculations!$BW:$BW</definedName>
    <definedName name="Weightf">Calculations!$BH:$BH</definedName>
    <definedName name="Weightf_lookup">Calculations!$AP:$AP</definedName>
    <definedName name="Weightf_MH">Calculations!$BV:$BV</definedName>
    <definedName name="Weightf_Peto">Calculations!$CI:$CI</definedName>
    <definedName name="Weighting_method">'Forest Plot'!$B$6</definedName>
    <definedName name="Weightr">Calculations!$AR:$AR</definedName>
    <definedName name="Weightr_lookup">Calculations!$AQ:$AQ</definedName>
    <definedName name="Weithf_MH">Calculations!$BV:$BV</definedName>
    <definedName name="Within_subgroup_weighting">'Subgroup Analysis'!$B$7</definedName>
    <definedName name="Z_score">Calculations!$FY:$FY</definedName>
    <definedName name="Z_value">Calculations!$BM$16</definedName>
    <definedName name="Z_value_MH">Calculations!$CB$16</definedName>
    <definedName name="Z_value_Peto">Calculations!$CN$16</definedName>
  </definedNames>
  <calcPr calcId="162913" concurrentCalc="0"/>
</workbook>
</file>

<file path=xl/calcChain.xml><?xml version="1.0" encoding="utf-8"?>
<calcChain xmlns="http://schemas.openxmlformats.org/spreadsheetml/2006/main">
  <c r="I42" i="8" l="1"/>
  <c r="I41" i="8"/>
  <c r="I40" i="8"/>
  <c r="I39" i="8"/>
  <c r="B4" i="8"/>
  <c r="F2" i="8"/>
  <c r="FU2" i="2"/>
  <c r="F3" i="8"/>
  <c r="FU3" i="2"/>
  <c r="F4" i="8"/>
  <c r="FU4" i="2"/>
  <c r="F5" i="8"/>
  <c r="FU5" i="2"/>
  <c r="F6" i="8"/>
  <c r="FU6" i="2"/>
  <c r="F7" i="8"/>
  <c r="FU7" i="2"/>
  <c r="F8" i="8"/>
  <c r="FU8" i="2"/>
  <c r="F9" i="8"/>
  <c r="FU9" i="2"/>
  <c r="F10" i="8"/>
  <c r="FU10" i="2"/>
  <c r="F11" i="8"/>
  <c r="FU11" i="2"/>
  <c r="F12" i="8"/>
  <c r="FU12" i="2"/>
  <c r="F13" i="8"/>
  <c r="FU13" i="2"/>
  <c r="FU14" i="2"/>
  <c r="FU15" i="2"/>
  <c r="FU16" i="2"/>
  <c r="FU17" i="2"/>
  <c r="FU18" i="2"/>
  <c r="FU19" i="2"/>
  <c r="FU20" i="2"/>
  <c r="FU21" i="2"/>
  <c r="FU22" i="2"/>
  <c r="FU23" i="2"/>
  <c r="FU24" i="2"/>
  <c r="FU25" i="2"/>
  <c r="FU26" i="2"/>
  <c r="FU27" i="2"/>
  <c r="FU28" i="2"/>
  <c r="FU29" i="2"/>
  <c r="FU30" i="2"/>
  <c r="FU31" i="2"/>
  <c r="FU32" i="2"/>
  <c r="FU33" i="2"/>
  <c r="FU34" i="2"/>
  <c r="FU35" i="2"/>
  <c r="FU36" i="2"/>
  <c r="FU37" i="2"/>
  <c r="FU38" i="2"/>
  <c r="FU39" i="2"/>
  <c r="FU40" i="2"/>
  <c r="FU41" i="2"/>
  <c r="FU42" i="2"/>
  <c r="FU43" i="2"/>
  <c r="FU44" i="2"/>
  <c r="FU45" i="2"/>
  <c r="FU46" i="2"/>
  <c r="FU47" i="2"/>
  <c r="FU48" i="2"/>
  <c r="FU49" i="2"/>
  <c r="FU50" i="2"/>
  <c r="FU51" i="2"/>
  <c r="FU52" i="2"/>
  <c r="FU53" i="2"/>
  <c r="FU54" i="2"/>
  <c r="FU55" i="2"/>
  <c r="FU56" i="2"/>
  <c r="FU57" i="2"/>
  <c r="FU58" i="2"/>
  <c r="FU59" i="2"/>
  <c r="FU60" i="2"/>
  <c r="FU61" i="2"/>
  <c r="FU62" i="2"/>
  <c r="FU63" i="2"/>
  <c r="FU64" i="2"/>
  <c r="FU65" i="2"/>
  <c r="FU66" i="2"/>
  <c r="FU67" i="2"/>
  <c r="FU68" i="2"/>
  <c r="FU69" i="2"/>
  <c r="FU70" i="2"/>
  <c r="FU71" i="2"/>
  <c r="FU72" i="2"/>
  <c r="FU73" i="2"/>
  <c r="FU74" i="2"/>
  <c r="FU75" i="2"/>
  <c r="FU76" i="2"/>
  <c r="FU77" i="2"/>
  <c r="FU78" i="2"/>
  <c r="FU79" i="2"/>
  <c r="FU80" i="2"/>
  <c r="FU81" i="2"/>
  <c r="FU82" i="2"/>
  <c r="FU83" i="2"/>
  <c r="FU84" i="2"/>
  <c r="FU85" i="2"/>
  <c r="FU86" i="2"/>
  <c r="FU87" i="2"/>
  <c r="FU88" i="2"/>
  <c r="FU89" i="2"/>
  <c r="FU90" i="2"/>
  <c r="FU91" i="2"/>
  <c r="FU92" i="2"/>
  <c r="FU93" i="2"/>
  <c r="FU94" i="2"/>
  <c r="FU95" i="2"/>
  <c r="FU96" i="2"/>
  <c r="FU97" i="2"/>
  <c r="FU98" i="2"/>
  <c r="FU99" i="2"/>
  <c r="FU100" i="2"/>
  <c r="FU101" i="2"/>
  <c r="FU102" i="2"/>
  <c r="FU103" i="2"/>
  <c r="FU104" i="2"/>
  <c r="FU105" i="2"/>
  <c r="FU106" i="2"/>
  <c r="FU107" i="2"/>
  <c r="FU108" i="2"/>
  <c r="FU109" i="2"/>
  <c r="FU110" i="2"/>
  <c r="FU111" i="2"/>
  <c r="FU112" i="2"/>
  <c r="FU113" i="2"/>
  <c r="FU114" i="2"/>
  <c r="FU115" i="2"/>
  <c r="FU116" i="2"/>
  <c r="FU117" i="2"/>
  <c r="FU118" i="2"/>
  <c r="FU119" i="2"/>
  <c r="FU120" i="2"/>
  <c r="FU121" i="2"/>
  <c r="FU122" i="2"/>
  <c r="FU123" i="2"/>
  <c r="FU124" i="2"/>
  <c r="FU125" i="2"/>
  <c r="FU126" i="2"/>
  <c r="FU127" i="2"/>
  <c r="FU128" i="2"/>
  <c r="FU129" i="2"/>
  <c r="FU130" i="2"/>
  <c r="FU131" i="2"/>
  <c r="FU132" i="2"/>
  <c r="FU133" i="2"/>
  <c r="FU134" i="2"/>
  <c r="FU135" i="2"/>
  <c r="FU136" i="2"/>
  <c r="FU137" i="2"/>
  <c r="FU138" i="2"/>
  <c r="FU139" i="2"/>
  <c r="FU140" i="2"/>
  <c r="FU141" i="2"/>
  <c r="FU142" i="2"/>
  <c r="FU143" i="2"/>
  <c r="FU144" i="2"/>
  <c r="FU145" i="2"/>
  <c r="FU146" i="2"/>
  <c r="FU147" i="2"/>
  <c r="FU148" i="2"/>
  <c r="FU149" i="2"/>
  <c r="FU150" i="2"/>
  <c r="FU151" i="2"/>
  <c r="FU152" i="2"/>
  <c r="FU153" i="2"/>
  <c r="FU154" i="2"/>
  <c r="FU155" i="2"/>
  <c r="FU156" i="2"/>
  <c r="FU157" i="2"/>
  <c r="FU158" i="2"/>
  <c r="FU159" i="2"/>
  <c r="FU160" i="2"/>
  <c r="FU161" i="2"/>
  <c r="FU162" i="2"/>
  <c r="FU163" i="2"/>
  <c r="FU164" i="2"/>
  <c r="FU165" i="2"/>
  <c r="FU166" i="2"/>
  <c r="FU167" i="2"/>
  <c r="FU168" i="2"/>
  <c r="FU169" i="2"/>
  <c r="FU170" i="2"/>
  <c r="FU171" i="2"/>
  <c r="FU172" i="2"/>
  <c r="FU173" i="2"/>
  <c r="FU174" i="2"/>
  <c r="FU175" i="2"/>
  <c r="FU176" i="2"/>
  <c r="FU177" i="2"/>
  <c r="FU178" i="2"/>
  <c r="FU179" i="2"/>
  <c r="FU180" i="2"/>
  <c r="FU181" i="2"/>
  <c r="FU182" i="2"/>
  <c r="FU183" i="2"/>
  <c r="FU184" i="2"/>
  <c r="FU185" i="2"/>
  <c r="FU186" i="2"/>
  <c r="FU187" i="2"/>
  <c r="FU188" i="2"/>
  <c r="FU189" i="2"/>
  <c r="FU190" i="2"/>
  <c r="FU191" i="2"/>
  <c r="FU192" i="2"/>
  <c r="FU193" i="2"/>
  <c r="FU194" i="2"/>
  <c r="FU195" i="2"/>
  <c r="FU196" i="2"/>
  <c r="FU197" i="2"/>
  <c r="FU198" i="2"/>
  <c r="FU199" i="2"/>
  <c r="FU200" i="2"/>
  <c r="FU201" i="2"/>
  <c r="E1" i="8"/>
  <c r="E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2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I29" i="8"/>
  <c r="L38" i="8"/>
  <c r="GL2" i="2"/>
  <c r="GM2" i="2"/>
  <c r="GL3" i="2"/>
  <c r="GM3" i="2"/>
  <c r="GL4" i="2"/>
  <c r="GM4" i="2"/>
  <c r="GL5" i="2"/>
  <c r="GM5" i="2"/>
  <c r="GL6" i="2"/>
  <c r="GM6" i="2"/>
  <c r="GL7" i="2"/>
  <c r="GM7" i="2"/>
  <c r="GL8" i="2"/>
  <c r="GM8" i="2"/>
  <c r="GL9" i="2"/>
  <c r="GM9" i="2"/>
  <c r="GL10" i="2"/>
  <c r="GM10" i="2"/>
  <c r="GL11" i="2"/>
  <c r="GM11" i="2"/>
  <c r="GL12" i="2"/>
  <c r="GM12" i="2"/>
  <c r="GL13" i="2"/>
  <c r="GM13" i="2"/>
  <c r="GM14" i="2"/>
  <c r="GM15" i="2"/>
  <c r="GM16" i="2"/>
  <c r="GM17" i="2"/>
  <c r="GM18" i="2"/>
  <c r="GM19" i="2"/>
  <c r="GM20" i="2"/>
  <c r="GM21" i="2"/>
  <c r="GM22" i="2"/>
  <c r="GM23" i="2"/>
  <c r="GM24" i="2"/>
  <c r="GM25" i="2"/>
  <c r="GM26" i="2"/>
  <c r="GM27" i="2"/>
  <c r="GM28" i="2"/>
  <c r="GM29" i="2"/>
  <c r="GM30" i="2"/>
  <c r="GM31" i="2"/>
  <c r="GM32" i="2"/>
  <c r="GM33" i="2"/>
  <c r="GM34" i="2"/>
  <c r="GM35" i="2"/>
  <c r="GM36" i="2"/>
  <c r="GM37" i="2"/>
  <c r="GM38" i="2"/>
  <c r="GM39" i="2"/>
  <c r="GM40" i="2"/>
  <c r="GM41" i="2"/>
  <c r="GM42" i="2"/>
  <c r="GM43" i="2"/>
  <c r="GM44" i="2"/>
  <c r="GM45" i="2"/>
  <c r="GM46" i="2"/>
  <c r="GM47" i="2"/>
  <c r="GM48" i="2"/>
  <c r="GM49" i="2"/>
  <c r="GM50" i="2"/>
  <c r="GM51" i="2"/>
  <c r="GM52" i="2"/>
  <c r="GM53" i="2"/>
  <c r="GM54" i="2"/>
  <c r="GM55" i="2"/>
  <c r="GM56" i="2"/>
  <c r="GM57" i="2"/>
  <c r="GM58" i="2"/>
  <c r="GM59" i="2"/>
  <c r="GM60" i="2"/>
  <c r="GM61" i="2"/>
  <c r="GM62" i="2"/>
  <c r="GM63" i="2"/>
  <c r="GM64" i="2"/>
  <c r="GM65" i="2"/>
  <c r="GM66" i="2"/>
  <c r="GM67" i="2"/>
  <c r="GM68" i="2"/>
  <c r="GM69" i="2"/>
  <c r="GM70" i="2"/>
  <c r="GM71" i="2"/>
  <c r="GM72" i="2"/>
  <c r="GM73" i="2"/>
  <c r="GM74" i="2"/>
  <c r="GM75" i="2"/>
  <c r="GM76" i="2"/>
  <c r="GM77" i="2"/>
  <c r="GM78" i="2"/>
  <c r="GM79" i="2"/>
  <c r="GM80" i="2"/>
  <c r="GM81" i="2"/>
  <c r="GM82" i="2"/>
  <c r="GM83" i="2"/>
  <c r="GM84" i="2"/>
  <c r="GM85" i="2"/>
  <c r="GM86" i="2"/>
  <c r="GM87" i="2"/>
  <c r="GM88" i="2"/>
  <c r="GM89" i="2"/>
  <c r="GM90" i="2"/>
  <c r="GM91" i="2"/>
  <c r="GM92" i="2"/>
  <c r="GM93" i="2"/>
  <c r="GM94" i="2"/>
  <c r="GM95" i="2"/>
  <c r="GM96" i="2"/>
  <c r="GM97" i="2"/>
  <c r="GM98" i="2"/>
  <c r="GM99" i="2"/>
  <c r="GM100" i="2"/>
  <c r="GM101" i="2"/>
  <c r="GM102" i="2"/>
  <c r="GM103" i="2"/>
  <c r="GM104" i="2"/>
  <c r="GM105" i="2"/>
  <c r="GM106" i="2"/>
  <c r="GM107" i="2"/>
  <c r="GM108" i="2"/>
  <c r="GM109" i="2"/>
  <c r="GM110" i="2"/>
  <c r="GM111" i="2"/>
  <c r="GM112" i="2"/>
  <c r="GM113" i="2"/>
  <c r="GM114" i="2"/>
  <c r="GM115" i="2"/>
  <c r="GM116" i="2"/>
  <c r="GM117" i="2"/>
  <c r="GM118" i="2"/>
  <c r="GM119" i="2"/>
  <c r="GM120" i="2"/>
  <c r="GM121" i="2"/>
  <c r="GM122" i="2"/>
  <c r="GM123" i="2"/>
  <c r="GM124" i="2"/>
  <c r="GM125" i="2"/>
  <c r="GM126" i="2"/>
  <c r="GM127" i="2"/>
  <c r="GM128" i="2"/>
  <c r="GM129" i="2"/>
  <c r="GM130" i="2"/>
  <c r="GM131" i="2"/>
  <c r="GM132" i="2"/>
  <c r="GM133" i="2"/>
  <c r="GM134" i="2"/>
  <c r="GM135" i="2"/>
  <c r="GM136" i="2"/>
  <c r="GM137" i="2"/>
  <c r="GM138" i="2"/>
  <c r="GM139" i="2"/>
  <c r="GM140" i="2"/>
  <c r="GM141" i="2"/>
  <c r="GM142" i="2"/>
  <c r="GM143" i="2"/>
  <c r="GM144" i="2"/>
  <c r="GM145" i="2"/>
  <c r="GM146" i="2"/>
  <c r="GM147" i="2"/>
  <c r="GM148" i="2"/>
  <c r="GM149" i="2"/>
  <c r="GM150" i="2"/>
  <c r="GM151" i="2"/>
  <c r="GM152" i="2"/>
  <c r="GM153" i="2"/>
  <c r="GM154" i="2"/>
  <c r="GM155" i="2"/>
  <c r="GM156" i="2"/>
  <c r="GM157" i="2"/>
  <c r="GM158" i="2"/>
  <c r="GM159" i="2"/>
  <c r="GM160" i="2"/>
  <c r="GM161" i="2"/>
  <c r="GM162" i="2"/>
  <c r="GM163" i="2"/>
  <c r="GM164" i="2"/>
  <c r="GM165" i="2"/>
  <c r="GM166" i="2"/>
  <c r="GM167" i="2"/>
  <c r="GM168" i="2"/>
  <c r="GM169" i="2"/>
  <c r="GM170" i="2"/>
  <c r="GM171" i="2"/>
  <c r="GM172" i="2"/>
  <c r="GM173" i="2"/>
  <c r="GM174" i="2"/>
  <c r="GM175" i="2"/>
  <c r="GM176" i="2"/>
  <c r="GM177" i="2"/>
  <c r="GM178" i="2"/>
  <c r="GM179" i="2"/>
  <c r="GM180" i="2"/>
  <c r="GM181" i="2"/>
  <c r="GM182" i="2"/>
  <c r="GM183" i="2"/>
  <c r="GM184" i="2"/>
  <c r="GM185" i="2"/>
  <c r="GM186" i="2"/>
  <c r="GM187" i="2"/>
  <c r="GM188" i="2"/>
  <c r="GM189" i="2"/>
  <c r="GM190" i="2"/>
  <c r="GM191" i="2"/>
  <c r="GM192" i="2"/>
  <c r="GM193" i="2"/>
  <c r="GM194" i="2"/>
  <c r="GM195" i="2"/>
  <c r="GM196" i="2"/>
  <c r="GM197" i="2"/>
  <c r="GM198" i="2"/>
  <c r="GM199" i="2"/>
  <c r="GM200" i="2"/>
  <c r="GM201" i="2"/>
  <c r="FZ2" i="2"/>
  <c r="GA2" i="2"/>
  <c r="FZ3" i="2"/>
  <c r="GA3" i="2"/>
  <c r="FZ4" i="2"/>
  <c r="GA4" i="2"/>
  <c r="FZ5" i="2"/>
  <c r="GA5" i="2"/>
  <c r="FZ6" i="2"/>
  <c r="GA6" i="2"/>
  <c r="FZ7" i="2"/>
  <c r="GA7" i="2"/>
  <c r="FZ8" i="2"/>
  <c r="GA8" i="2"/>
  <c r="FZ9" i="2"/>
  <c r="GA9" i="2"/>
  <c r="FZ10" i="2"/>
  <c r="GA10" i="2"/>
  <c r="FZ11" i="2"/>
  <c r="GA11" i="2"/>
  <c r="FZ12" i="2"/>
  <c r="GA12" i="2"/>
  <c r="FZ13" i="2"/>
  <c r="GA13" i="2"/>
  <c r="GA14" i="2"/>
  <c r="GA15" i="2"/>
  <c r="GA16" i="2"/>
  <c r="GA17" i="2"/>
  <c r="GA18" i="2"/>
  <c r="GA19" i="2"/>
  <c r="GA20" i="2"/>
  <c r="GA21" i="2"/>
  <c r="GA22" i="2"/>
  <c r="GA23" i="2"/>
  <c r="GA24" i="2"/>
  <c r="GA25" i="2"/>
  <c r="GA26" i="2"/>
  <c r="GA27" i="2"/>
  <c r="GA28" i="2"/>
  <c r="GA29" i="2"/>
  <c r="GA30" i="2"/>
  <c r="GA31" i="2"/>
  <c r="GA32" i="2"/>
  <c r="GA33" i="2"/>
  <c r="GA34" i="2"/>
  <c r="GA35" i="2"/>
  <c r="GA36" i="2"/>
  <c r="GA37" i="2"/>
  <c r="GA38" i="2"/>
  <c r="GA39" i="2"/>
  <c r="GA40" i="2"/>
  <c r="GA41" i="2"/>
  <c r="GA42" i="2"/>
  <c r="GA43" i="2"/>
  <c r="GA44" i="2"/>
  <c r="GA45" i="2"/>
  <c r="GA46" i="2"/>
  <c r="GA47" i="2"/>
  <c r="GA48" i="2"/>
  <c r="GA49" i="2"/>
  <c r="GA50" i="2"/>
  <c r="GA51" i="2"/>
  <c r="GA52" i="2"/>
  <c r="GA53" i="2"/>
  <c r="GA54" i="2"/>
  <c r="GA55" i="2"/>
  <c r="GA56" i="2"/>
  <c r="GA57" i="2"/>
  <c r="GA58" i="2"/>
  <c r="GA59" i="2"/>
  <c r="GA60" i="2"/>
  <c r="GA61" i="2"/>
  <c r="GA62" i="2"/>
  <c r="GA63" i="2"/>
  <c r="GA64" i="2"/>
  <c r="GA65" i="2"/>
  <c r="GA66" i="2"/>
  <c r="GA67" i="2"/>
  <c r="GA68" i="2"/>
  <c r="GA69" i="2"/>
  <c r="GA70" i="2"/>
  <c r="GA71" i="2"/>
  <c r="GA72" i="2"/>
  <c r="GA73" i="2"/>
  <c r="GA74" i="2"/>
  <c r="GA75" i="2"/>
  <c r="GA76" i="2"/>
  <c r="GA77" i="2"/>
  <c r="GA78" i="2"/>
  <c r="GA79" i="2"/>
  <c r="GA80" i="2"/>
  <c r="GA81" i="2"/>
  <c r="GA82" i="2"/>
  <c r="GA83" i="2"/>
  <c r="GA84" i="2"/>
  <c r="GA85" i="2"/>
  <c r="GA86" i="2"/>
  <c r="GA87" i="2"/>
  <c r="GA88" i="2"/>
  <c r="GA89" i="2"/>
  <c r="GA90" i="2"/>
  <c r="GA91" i="2"/>
  <c r="GA92" i="2"/>
  <c r="GA93" i="2"/>
  <c r="GA94" i="2"/>
  <c r="GA95" i="2"/>
  <c r="GA96" i="2"/>
  <c r="GA97" i="2"/>
  <c r="GA98" i="2"/>
  <c r="GA99" i="2"/>
  <c r="GA100" i="2"/>
  <c r="GA101" i="2"/>
  <c r="GA102" i="2"/>
  <c r="GA103" i="2"/>
  <c r="GA104" i="2"/>
  <c r="GA105" i="2"/>
  <c r="GA106" i="2"/>
  <c r="GA107" i="2"/>
  <c r="GA108" i="2"/>
  <c r="GA109" i="2"/>
  <c r="GA110" i="2"/>
  <c r="GA111" i="2"/>
  <c r="GA112" i="2"/>
  <c r="GA113" i="2"/>
  <c r="GA114" i="2"/>
  <c r="GA115" i="2"/>
  <c r="GA116" i="2"/>
  <c r="GA117" i="2"/>
  <c r="GA118" i="2"/>
  <c r="GA119" i="2"/>
  <c r="GA120" i="2"/>
  <c r="GA121" i="2"/>
  <c r="GA122" i="2"/>
  <c r="GA123" i="2"/>
  <c r="GA124" i="2"/>
  <c r="GA125" i="2"/>
  <c r="GA126" i="2"/>
  <c r="GA127" i="2"/>
  <c r="GA128" i="2"/>
  <c r="GA129" i="2"/>
  <c r="GA130" i="2"/>
  <c r="GA131" i="2"/>
  <c r="GA132" i="2"/>
  <c r="GA133" i="2"/>
  <c r="GA134" i="2"/>
  <c r="GA135" i="2"/>
  <c r="GA136" i="2"/>
  <c r="GA137" i="2"/>
  <c r="GA138" i="2"/>
  <c r="GA139" i="2"/>
  <c r="GA140" i="2"/>
  <c r="GA141" i="2"/>
  <c r="GA142" i="2"/>
  <c r="GA143" i="2"/>
  <c r="GA144" i="2"/>
  <c r="GA145" i="2"/>
  <c r="GA146" i="2"/>
  <c r="GA147" i="2"/>
  <c r="GA148" i="2"/>
  <c r="GA149" i="2"/>
  <c r="GA150" i="2"/>
  <c r="GA151" i="2"/>
  <c r="GA152" i="2"/>
  <c r="GA153" i="2"/>
  <c r="GA154" i="2"/>
  <c r="GA155" i="2"/>
  <c r="GA156" i="2"/>
  <c r="GA157" i="2"/>
  <c r="GA158" i="2"/>
  <c r="GA159" i="2"/>
  <c r="GA160" i="2"/>
  <c r="GA161" i="2"/>
  <c r="GA162" i="2"/>
  <c r="GA163" i="2"/>
  <c r="GA164" i="2"/>
  <c r="GA165" i="2"/>
  <c r="GA166" i="2"/>
  <c r="GA167" i="2"/>
  <c r="GA168" i="2"/>
  <c r="GA169" i="2"/>
  <c r="GA170" i="2"/>
  <c r="GA171" i="2"/>
  <c r="GA172" i="2"/>
  <c r="GA173" i="2"/>
  <c r="GA174" i="2"/>
  <c r="GA175" i="2"/>
  <c r="GA176" i="2"/>
  <c r="GA177" i="2"/>
  <c r="GA178" i="2"/>
  <c r="GA179" i="2"/>
  <c r="GA180" i="2"/>
  <c r="GA181" i="2"/>
  <c r="GA182" i="2"/>
  <c r="GA183" i="2"/>
  <c r="GA184" i="2"/>
  <c r="GA185" i="2"/>
  <c r="GA186" i="2"/>
  <c r="GA187" i="2"/>
  <c r="GA188" i="2"/>
  <c r="GA189" i="2"/>
  <c r="GA190" i="2"/>
  <c r="GA191" i="2"/>
  <c r="GA192" i="2"/>
  <c r="GA193" i="2"/>
  <c r="GA194" i="2"/>
  <c r="GA195" i="2"/>
  <c r="GA196" i="2"/>
  <c r="GA197" i="2"/>
  <c r="GA198" i="2"/>
  <c r="GA199" i="2"/>
  <c r="GA200" i="2"/>
  <c r="GA201" i="2"/>
  <c r="GW7" i="2"/>
  <c r="GN2" i="2"/>
  <c r="GN3" i="2"/>
  <c r="GN4" i="2"/>
  <c r="GN5" i="2"/>
  <c r="GN6" i="2"/>
  <c r="GN7" i="2"/>
  <c r="GN8" i="2"/>
  <c r="GN9" i="2"/>
  <c r="GN10" i="2"/>
  <c r="GN11" i="2"/>
  <c r="GN12" i="2"/>
  <c r="GN13" i="2"/>
  <c r="GN14" i="2"/>
  <c r="GN15" i="2"/>
  <c r="GN16" i="2"/>
  <c r="GN17" i="2"/>
  <c r="GN18" i="2"/>
  <c r="GN19" i="2"/>
  <c r="GN20" i="2"/>
  <c r="GN21" i="2"/>
  <c r="GN22" i="2"/>
  <c r="GN23" i="2"/>
  <c r="GN24" i="2"/>
  <c r="GN25" i="2"/>
  <c r="GN26" i="2"/>
  <c r="GN27" i="2"/>
  <c r="GN28" i="2"/>
  <c r="GN29" i="2"/>
  <c r="GN30" i="2"/>
  <c r="GN31" i="2"/>
  <c r="GN32" i="2"/>
  <c r="GN33" i="2"/>
  <c r="GN34" i="2"/>
  <c r="GN35" i="2"/>
  <c r="GN36" i="2"/>
  <c r="GN37" i="2"/>
  <c r="GN38" i="2"/>
  <c r="GN39" i="2"/>
  <c r="GN40" i="2"/>
  <c r="GN41" i="2"/>
  <c r="GN42" i="2"/>
  <c r="GN43" i="2"/>
  <c r="GN44" i="2"/>
  <c r="GN45" i="2"/>
  <c r="GN46" i="2"/>
  <c r="GN47" i="2"/>
  <c r="GN48" i="2"/>
  <c r="GN49" i="2"/>
  <c r="GN50" i="2"/>
  <c r="GN51" i="2"/>
  <c r="GN52" i="2"/>
  <c r="GN53" i="2"/>
  <c r="GN54" i="2"/>
  <c r="GN55" i="2"/>
  <c r="GN56" i="2"/>
  <c r="GN57" i="2"/>
  <c r="GN58" i="2"/>
  <c r="GN59" i="2"/>
  <c r="GN60" i="2"/>
  <c r="GN61" i="2"/>
  <c r="GN62" i="2"/>
  <c r="GN63" i="2"/>
  <c r="GN64" i="2"/>
  <c r="GN65" i="2"/>
  <c r="GN66" i="2"/>
  <c r="GN67" i="2"/>
  <c r="GN68" i="2"/>
  <c r="GN69" i="2"/>
  <c r="GN70" i="2"/>
  <c r="GN71" i="2"/>
  <c r="GN72" i="2"/>
  <c r="GN73" i="2"/>
  <c r="GN74" i="2"/>
  <c r="GN75" i="2"/>
  <c r="GN76" i="2"/>
  <c r="GN77" i="2"/>
  <c r="GN78" i="2"/>
  <c r="GN79" i="2"/>
  <c r="GN80" i="2"/>
  <c r="GN81" i="2"/>
  <c r="GN82" i="2"/>
  <c r="GN83" i="2"/>
  <c r="GN84" i="2"/>
  <c r="GN85" i="2"/>
  <c r="GN86" i="2"/>
  <c r="GN87" i="2"/>
  <c r="GN88" i="2"/>
  <c r="GN89" i="2"/>
  <c r="GN90" i="2"/>
  <c r="GN91" i="2"/>
  <c r="GN92" i="2"/>
  <c r="GN93" i="2"/>
  <c r="GN94" i="2"/>
  <c r="GN95" i="2"/>
  <c r="GN96" i="2"/>
  <c r="GN97" i="2"/>
  <c r="GN98" i="2"/>
  <c r="GN99" i="2"/>
  <c r="GN100" i="2"/>
  <c r="GN101" i="2"/>
  <c r="GN102" i="2"/>
  <c r="GN103" i="2"/>
  <c r="GN104" i="2"/>
  <c r="GN105" i="2"/>
  <c r="GN106" i="2"/>
  <c r="GN107" i="2"/>
  <c r="GN108" i="2"/>
  <c r="GN109" i="2"/>
  <c r="GN110" i="2"/>
  <c r="GN111" i="2"/>
  <c r="GN112" i="2"/>
  <c r="GN113" i="2"/>
  <c r="GN114" i="2"/>
  <c r="GN115" i="2"/>
  <c r="GN116" i="2"/>
  <c r="GN117" i="2"/>
  <c r="GN118" i="2"/>
  <c r="GN119" i="2"/>
  <c r="GN120" i="2"/>
  <c r="GN121" i="2"/>
  <c r="GN122" i="2"/>
  <c r="GN123" i="2"/>
  <c r="GN124" i="2"/>
  <c r="GN125" i="2"/>
  <c r="GN126" i="2"/>
  <c r="GN127" i="2"/>
  <c r="GN128" i="2"/>
  <c r="GN129" i="2"/>
  <c r="GN130" i="2"/>
  <c r="GN131" i="2"/>
  <c r="GN132" i="2"/>
  <c r="GN133" i="2"/>
  <c r="GN134" i="2"/>
  <c r="GN135" i="2"/>
  <c r="GN136" i="2"/>
  <c r="GN137" i="2"/>
  <c r="GN138" i="2"/>
  <c r="GN139" i="2"/>
  <c r="GN140" i="2"/>
  <c r="GN141" i="2"/>
  <c r="GN142" i="2"/>
  <c r="GN143" i="2"/>
  <c r="GN144" i="2"/>
  <c r="GN145" i="2"/>
  <c r="GN146" i="2"/>
  <c r="GN147" i="2"/>
  <c r="GN148" i="2"/>
  <c r="GN149" i="2"/>
  <c r="GN150" i="2"/>
  <c r="GN151" i="2"/>
  <c r="GN152" i="2"/>
  <c r="GN153" i="2"/>
  <c r="GN154" i="2"/>
  <c r="GN155" i="2"/>
  <c r="GN156" i="2"/>
  <c r="GN157" i="2"/>
  <c r="GN158" i="2"/>
  <c r="GN159" i="2"/>
  <c r="GN160" i="2"/>
  <c r="GN161" i="2"/>
  <c r="GN162" i="2"/>
  <c r="GN163" i="2"/>
  <c r="GN164" i="2"/>
  <c r="GN165" i="2"/>
  <c r="GN166" i="2"/>
  <c r="GN167" i="2"/>
  <c r="GN168" i="2"/>
  <c r="GN169" i="2"/>
  <c r="GN170" i="2"/>
  <c r="GN171" i="2"/>
  <c r="GN172" i="2"/>
  <c r="GN173" i="2"/>
  <c r="GN174" i="2"/>
  <c r="GN175" i="2"/>
  <c r="GN176" i="2"/>
  <c r="GN177" i="2"/>
  <c r="GN178" i="2"/>
  <c r="GN179" i="2"/>
  <c r="GN180" i="2"/>
  <c r="GN181" i="2"/>
  <c r="GN182" i="2"/>
  <c r="GN183" i="2"/>
  <c r="GN184" i="2"/>
  <c r="GN185" i="2"/>
  <c r="GN186" i="2"/>
  <c r="GN187" i="2"/>
  <c r="GN188" i="2"/>
  <c r="GN189" i="2"/>
  <c r="GN190" i="2"/>
  <c r="GN191" i="2"/>
  <c r="GN192" i="2"/>
  <c r="GN193" i="2"/>
  <c r="GN194" i="2"/>
  <c r="GN195" i="2"/>
  <c r="GN196" i="2"/>
  <c r="GN197" i="2"/>
  <c r="GN198" i="2"/>
  <c r="GN199" i="2"/>
  <c r="GN200" i="2"/>
  <c r="GN201" i="2"/>
  <c r="GW3" i="2"/>
  <c r="GO2" i="2"/>
  <c r="GP2" i="2"/>
  <c r="GO3" i="2"/>
  <c r="GP3" i="2"/>
  <c r="GO4" i="2"/>
  <c r="GP4" i="2"/>
  <c r="GO5" i="2"/>
  <c r="GP5" i="2"/>
  <c r="GO6" i="2"/>
  <c r="GP6" i="2"/>
  <c r="GO7" i="2"/>
  <c r="GP7" i="2"/>
  <c r="GO8" i="2"/>
  <c r="GP8" i="2"/>
  <c r="GO9" i="2"/>
  <c r="GP9" i="2"/>
  <c r="GO10" i="2"/>
  <c r="GP10" i="2"/>
  <c r="GO11" i="2"/>
  <c r="GP11" i="2"/>
  <c r="GO12" i="2"/>
  <c r="GP12" i="2"/>
  <c r="GO13" i="2"/>
  <c r="GP13" i="2"/>
  <c r="GO14" i="2"/>
  <c r="GP14" i="2"/>
  <c r="GO15" i="2"/>
  <c r="GP15" i="2"/>
  <c r="GO16" i="2"/>
  <c r="GP16" i="2"/>
  <c r="GO17" i="2"/>
  <c r="GP17" i="2"/>
  <c r="GO18" i="2"/>
  <c r="GP18" i="2"/>
  <c r="GO19" i="2"/>
  <c r="GP19" i="2"/>
  <c r="GO20" i="2"/>
  <c r="GP20" i="2"/>
  <c r="GO21" i="2"/>
  <c r="GP21" i="2"/>
  <c r="GO22" i="2"/>
  <c r="GP22" i="2"/>
  <c r="GO23" i="2"/>
  <c r="GP23" i="2"/>
  <c r="GO24" i="2"/>
  <c r="GP24" i="2"/>
  <c r="GO25" i="2"/>
  <c r="GP25" i="2"/>
  <c r="GO26" i="2"/>
  <c r="GP26" i="2"/>
  <c r="GO27" i="2"/>
  <c r="GP27" i="2"/>
  <c r="GO28" i="2"/>
  <c r="GP28" i="2"/>
  <c r="GO29" i="2"/>
  <c r="GP29" i="2"/>
  <c r="GO30" i="2"/>
  <c r="GP30" i="2"/>
  <c r="GO31" i="2"/>
  <c r="GP31" i="2"/>
  <c r="GO32" i="2"/>
  <c r="GP32" i="2"/>
  <c r="GO33" i="2"/>
  <c r="GP33" i="2"/>
  <c r="GO34" i="2"/>
  <c r="GP34" i="2"/>
  <c r="GO35" i="2"/>
  <c r="GP35" i="2"/>
  <c r="GO36" i="2"/>
  <c r="GP36" i="2"/>
  <c r="GO37" i="2"/>
  <c r="GP37" i="2"/>
  <c r="GO38" i="2"/>
  <c r="GP38" i="2"/>
  <c r="GO39" i="2"/>
  <c r="GP39" i="2"/>
  <c r="GO40" i="2"/>
  <c r="GP40" i="2"/>
  <c r="GO41" i="2"/>
  <c r="GP41" i="2"/>
  <c r="GO42" i="2"/>
  <c r="GP42" i="2"/>
  <c r="GO43" i="2"/>
  <c r="GP43" i="2"/>
  <c r="GO44" i="2"/>
  <c r="GP44" i="2"/>
  <c r="GO45" i="2"/>
  <c r="GP45" i="2"/>
  <c r="GO46" i="2"/>
  <c r="GP46" i="2"/>
  <c r="GO47" i="2"/>
  <c r="GP47" i="2"/>
  <c r="GO48" i="2"/>
  <c r="GP48" i="2"/>
  <c r="GO49" i="2"/>
  <c r="GP49" i="2"/>
  <c r="GO50" i="2"/>
  <c r="GP50" i="2"/>
  <c r="GO51" i="2"/>
  <c r="GP51" i="2"/>
  <c r="GO52" i="2"/>
  <c r="GP52" i="2"/>
  <c r="GO53" i="2"/>
  <c r="GP53" i="2"/>
  <c r="GO54" i="2"/>
  <c r="GP54" i="2"/>
  <c r="GO55" i="2"/>
  <c r="GP55" i="2"/>
  <c r="GO56" i="2"/>
  <c r="GP56" i="2"/>
  <c r="GO57" i="2"/>
  <c r="GP57" i="2"/>
  <c r="GO58" i="2"/>
  <c r="GP58" i="2"/>
  <c r="GO59" i="2"/>
  <c r="GP59" i="2"/>
  <c r="GO60" i="2"/>
  <c r="GP60" i="2"/>
  <c r="GO61" i="2"/>
  <c r="GP61" i="2"/>
  <c r="GO62" i="2"/>
  <c r="GP62" i="2"/>
  <c r="GO63" i="2"/>
  <c r="GP63" i="2"/>
  <c r="GO64" i="2"/>
  <c r="GP64" i="2"/>
  <c r="GO65" i="2"/>
  <c r="GP65" i="2"/>
  <c r="GO66" i="2"/>
  <c r="GP66" i="2"/>
  <c r="GO67" i="2"/>
  <c r="GP67" i="2"/>
  <c r="GO68" i="2"/>
  <c r="GP68" i="2"/>
  <c r="GO69" i="2"/>
  <c r="GP69" i="2"/>
  <c r="GO70" i="2"/>
  <c r="GP70" i="2"/>
  <c r="GO71" i="2"/>
  <c r="GP71" i="2"/>
  <c r="GO72" i="2"/>
  <c r="GP72" i="2"/>
  <c r="GO73" i="2"/>
  <c r="GP73" i="2"/>
  <c r="GO74" i="2"/>
  <c r="GP74" i="2"/>
  <c r="GO75" i="2"/>
  <c r="GP75" i="2"/>
  <c r="GO76" i="2"/>
  <c r="GP76" i="2"/>
  <c r="GO77" i="2"/>
  <c r="GP77" i="2"/>
  <c r="GO78" i="2"/>
  <c r="GP78" i="2"/>
  <c r="GO79" i="2"/>
  <c r="GP79" i="2"/>
  <c r="GO80" i="2"/>
  <c r="GP80" i="2"/>
  <c r="GO81" i="2"/>
  <c r="GP81" i="2"/>
  <c r="GO82" i="2"/>
  <c r="GP82" i="2"/>
  <c r="GO83" i="2"/>
  <c r="GP83" i="2"/>
  <c r="GO84" i="2"/>
  <c r="GP84" i="2"/>
  <c r="GO85" i="2"/>
  <c r="GP85" i="2"/>
  <c r="GO86" i="2"/>
  <c r="GP86" i="2"/>
  <c r="GO87" i="2"/>
  <c r="GP87" i="2"/>
  <c r="GO88" i="2"/>
  <c r="GP88" i="2"/>
  <c r="GO89" i="2"/>
  <c r="GP89" i="2"/>
  <c r="GO90" i="2"/>
  <c r="GP90" i="2"/>
  <c r="GO91" i="2"/>
  <c r="GP91" i="2"/>
  <c r="GO92" i="2"/>
  <c r="GP92" i="2"/>
  <c r="GO93" i="2"/>
  <c r="GP93" i="2"/>
  <c r="GO94" i="2"/>
  <c r="GP94" i="2"/>
  <c r="GO95" i="2"/>
  <c r="GP95" i="2"/>
  <c r="GO96" i="2"/>
  <c r="GP96" i="2"/>
  <c r="GO97" i="2"/>
  <c r="GP97" i="2"/>
  <c r="GO98" i="2"/>
  <c r="GP98" i="2"/>
  <c r="GO99" i="2"/>
  <c r="GP99" i="2"/>
  <c r="GO100" i="2"/>
  <c r="GP100" i="2"/>
  <c r="GO101" i="2"/>
  <c r="GP101" i="2"/>
  <c r="GO102" i="2"/>
  <c r="GP102" i="2"/>
  <c r="GO103" i="2"/>
  <c r="GP103" i="2"/>
  <c r="GO104" i="2"/>
  <c r="GP104" i="2"/>
  <c r="GO105" i="2"/>
  <c r="GP105" i="2"/>
  <c r="GO106" i="2"/>
  <c r="GP106" i="2"/>
  <c r="GO107" i="2"/>
  <c r="GP107" i="2"/>
  <c r="GO108" i="2"/>
  <c r="GP108" i="2"/>
  <c r="GO109" i="2"/>
  <c r="GP109" i="2"/>
  <c r="GO110" i="2"/>
  <c r="GP110" i="2"/>
  <c r="GO111" i="2"/>
  <c r="GP111" i="2"/>
  <c r="GO112" i="2"/>
  <c r="GP112" i="2"/>
  <c r="GO113" i="2"/>
  <c r="GP113" i="2"/>
  <c r="GO114" i="2"/>
  <c r="GP114" i="2"/>
  <c r="GO115" i="2"/>
  <c r="GP115" i="2"/>
  <c r="GO116" i="2"/>
  <c r="GP116" i="2"/>
  <c r="GO117" i="2"/>
  <c r="GP117" i="2"/>
  <c r="GO118" i="2"/>
  <c r="GP118" i="2"/>
  <c r="GO119" i="2"/>
  <c r="GP119" i="2"/>
  <c r="GO120" i="2"/>
  <c r="GP120" i="2"/>
  <c r="GO121" i="2"/>
  <c r="GP121" i="2"/>
  <c r="GO122" i="2"/>
  <c r="GP122" i="2"/>
  <c r="GO123" i="2"/>
  <c r="GP123" i="2"/>
  <c r="GO124" i="2"/>
  <c r="GP124" i="2"/>
  <c r="GO125" i="2"/>
  <c r="GP125" i="2"/>
  <c r="GO126" i="2"/>
  <c r="GP126" i="2"/>
  <c r="GO127" i="2"/>
  <c r="GP127" i="2"/>
  <c r="GO128" i="2"/>
  <c r="GP128" i="2"/>
  <c r="GO129" i="2"/>
  <c r="GP129" i="2"/>
  <c r="GO130" i="2"/>
  <c r="GP130" i="2"/>
  <c r="GO131" i="2"/>
  <c r="GP131" i="2"/>
  <c r="GO132" i="2"/>
  <c r="GP132" i="2"/>
  <c r="GO133" i="2"/>
  <c r="GP133" i="2"/>
  <c r="GO134" i="2"/>
  <c r="GP134" i="2"/>
  <c r="GO135" i="2"/>
  <c r="GP135" i="2"/>
  <c r="GO136" i="2"/>
  <c r="GP136" i="2"/>
  <c r="GO137" i="2"/>
  <c r="GP137" i="2"/>
  <c r="GO138" i="2"/>
  <c r="GP138" i="2"/>
  <c r="GO139" i="2"/>
  <c r="GP139" i="2"/>
  <c r="GO140" i="2"/>
  <c r="GP140" i="2"/>
  <c r="GO141" i="2"/>
  <c r="GP141" i="2"/>
  <c r="GO142" i="2"/>
  <c r="GP142" i="2"/>
  <c r="GO143" i="2"/>
  <c r="GP143" i="2"/>
  <c r="GO144" i="2"/>
  <c r="GP144" i="2"/>
  <c r="GO145" i="2"/>
  <c r="GP145" i="2"/>
  <c r="GO146" i="2"/>
  <c r="GP146" i="2"/>
  <c r="GO147" i="2"/>
  <c r="GP147" i="2"/>
  <c r="GO148" i="2"/>
  <c r="GP148" i="2"/>
  <c r="GO149" i="2"/>
  <c r="GP149" i="2"/>
  <c r="GO150" i="2"/>
  <c r="GP150" i="2"/>
  <c r="GO151" i="2"/>
  <c r="GP151" i="2"/>
  <c r="GO152" i="2"/>
  <c r="GP152" i="2"/>
  <c r="GO153" i="2"/>
  <c r="GP153" i="2"/>
  <c r="GO154" i="2"/>
  <c r="GP154" i="2"/>
  <c r="GO155" i="2"/>
  <c r="GP155" i="2"/>
  <c r="GO156" i="2"/>
  <c r="GP156" i="2"/>
  <c r="GO157" i="2"/>
  <c r="GP157" i="2"/>
  <c r="GO158" i="2"/>
  <c r="GP158" i="2"/>
  <c r="GO159" i="2"/>
  <c r="GP159" i="2"/>
  <c r="GO160" i="2"/>
  <c r="GP160" i="2"/>
  <c r="GO161" i="2"/>
  <c r="GP161" i="2"/>
  <c r="GO162" i="2"/>
  <c r="GP162" i="2"/>
  <c r="GO163" i="2"/>
  <c r="GP163" i="2"/>
  <c r="GO164" i="2"/>
  <c r="GP164" i="2"/>
  <c r="GO165" i="2"/>
  <c r="GP165" i="2"/>
  <c r="GO166" i="2"/>
  <c r="GP166" i="2"/>
  <c r="GO167" i="2"/>
  <c r="GP167" i="2"/>
  <c r="GO168" i="2"/>
  <c r="GP168" i="2"/>
  <c r="GO169" i="2"/>
  <c r="GP169" i="2"/>
  <c r="GO170" i="2"/>
  <c r="GP170" i="2"/>
  <c r="GO171" i="2"/>
  <c r="GP171" i="2"/>
  <c r="GO172" i="2"/>
  <c r="GP172" i="2"/>
  <c r="GO173" i="2"/>
  <c r="GP173" i="2"/>
  <c r="GO174" i="2"/>
  <c r="GP174" i="2"/>
  <c r="GO175" i="2"/>
  <c r="GP175" i="2"/>
  <c r="GO176" i="2"/>
  <c r="GP176" i="2"/>
  <c r="GO177" i="2"/>
  <c r="GP177" i="2"/>
  <c r="GO178" i="2"/>
  <c r="GP178" i="2"/>
  <c r="GO179" i="2"/>
  <c r="GP179" i="2"/>
  <c r="GO180" i="2"/>
  <c r="GP180" i="2"/>
  <c r="GO181" i="2"/>
  <c r="GP181" i="2"/>
  <c r="GO182" i="2"/>
  <c r="GP182" i="2"/>
  <c r="GO183" i="2"/>
  <c r="GP183" i="2"/>
  <c r="GO184" i="2"/>
  <c r="GP184" i="2"/>
  <c r="GO185" i="2"/>
  <c r="GP185" i="2"/>
  <c r="GO186" i="2"/>
  <c r="GP186" i="2"/>
  <c r="GO187" i="2"/>
  <c r="GP187" i="2"/>
  <c r="GO188" i="2"/>
  <c r="GP188" i="2"/>
  <c r="GO189" i="2"/>
  <c r="GP189" i="2"/>
  <c r="GO190" i="2"/>
  <c r="GP190" i="2"/>
  <c r="GO191" i="2"/>
  <c r="GP191" i="2"/>
  <c r="GO192" i="2"/>
  <c r="GP192" i="2"/>
  <c r="GO193" i="2"/>
  <c r="GP193" i="2"/>
  <c r="GO194" i="2"/>
  <c r="GP194" i="2"/>
  <c r="GO195" i="2"/>
  <c r="GP195" i="2"/>
  <c r="GO196" i="2"/>
  <c r="GP196" i="2"/>
  <c r="GO197" i="2"/>
  <c r="GP197" i="2"/>
  <c r="GO198" i="2"/>
  <c r="GP198" i="2"/>
  <c r="GO199" i="2"/>
  <c r="GP199" i="2"/>
  <c r="GO200" i="2"/>
  <c r="GP200" i="2"/>
  <c r="GO201" i="2"/>
  <c r="GP201" i="2"/>
  <c r="GB2" i="2"/>
  <c r="GB3" i="2"/>
  <c r="GB4" i="2"/>
  <c r="GB5" i="2"/>
  <c r="GB6" i="2"/>
  <c r="GB7" i="2"/>
  <c r="GB8" i="2"/>
  <c r="GB9" i="2"/>
  <c r="GB10" i="2"/>
  <c r="GB11" i="2"/>
  <c r="GB12" i="2"/>
  <c r="GB13" i="2"/>
  <c r="GB14" i="2"/>
  <c r="GB15" i="2"/>
  <c r="GB16" i="2"/>
  <c r="GB17" i="2"/>
  <c r="GB18" i="2"/>
  <c r="GB19" i="2"/>
  <c r="GB20" i="2"/>
  <c r="GB21" i="2"/>
  <c r="GB22" i="2"/>
  <c r="GB23" i="2"/>
  <c r="GB24" i="2"/>
  <c r="GB25" i="2"/>
  <c r="GB26" i="2"/>
  <c r="GB27" i="2"/>
  <c r="GB28" i="2"/>
  <c r="GB29" i="2"/>
  <c r="GB30" i="2"/>
  <c r="GB31" i="2"/>
  <c r="GB32" i="2"/>
  <c r="GB33" i="2"/>
  <c r="GB34" i="2"/>
  <c r="GB35" i="2"/>
  <c r="GB36" i="2"/>
  <c r="GB37" i="2"/>
  <c r="GB38" i="2"/>
  <c r="GB39" i="2"/>
  <c r="GB40" i="2"/>
  <c r="GB41" i="2"/>
  <c r="GB42" i="2"/>
  <c r="GB43" i="2"/>
  <c r="GB44" i="2"/>
  <c r="GB45" i="2"/>
  <c r="GB46" i="2"/>
  <c r="GB47" i="2"/>
  <c r="GB48" i="2"/>
  <c r="GB49" i="2"/>
  <c r="GB50" i="2"/>
  <c r="GB51" i="2"/>
  <c r="GB52" i="2"/>
  <c r="GB53" i="2"/>
  <c r="GB54" i="2"/>
  <c r="GB55" i="2"/>
  <c r="GB56" i="2"/>
  <c r="GB57" i="2"/>
  <c r="GB58" i="2"/>
  <c r="GB59" i="2"/>
  <c r="GB60" i="2"/>
  <c r="GB61" i="2"/>
  <c r="GB62" i="2"/>
  <c r="GB63" i="2"/>
  <c r="GB64" i="2"/>
  <c r="GB65" i="2"/>
  <c r="GB66" i="2"/>
  <c r="GB67" i="2"/>
  <c r="GB68" i="2"/>
  <c r="GB69" i="2"/>
  <c r="GB70" i="2"/>
  <c r="GB71" i="2"/>
  <c r="GB72" i="2"/>
  <c r="GB73" i="2"/>
  <c r="GB74" i="2"/>
  <c r="GB75" i="2"/>
  <c r="GB76" i="2"/>
  <c r="GB77" i="2"/>
  <c r="GB78" i="2"/>
  <c r="GB79" i="2"/>
  <c r="GB80" i="2"/>
  <c r="GB81" i="2"/>
  <c r="GB82" i="2"/>
  <c r="GB83" i="2"/>
  <c r="GB84" i="2"/>
  <c r="GB85" i="2"/>
  <c r="GB86" i="2"/>
  <c r="GB87" i="2"/>
  <c r="GB88" i="2"/>
  <c r="GB89" i="2"/>
  <c r="GB90" i="2"/>
  <c r="GB91" i="2"/>
  <c r="GB92" i="2"/>
  <c r="GB93" i="2"/>
  <c r="GB94" i="2"/>
  <c r="GB95" i="2"/>
  <c r="GB96" i="2"/>
  <c r="GB97" i="2"/>
  <c r="GB98" i="2"/>
  <c r="GB99" i="2"/>
  <c r="GB100" i="2"/>
  <c r="GB101" i="2"/>
  <c r="GB102" i="2"/>
  <c r="GB103" i="2"/>
  <c r="GB104" i="2"/>
  <c r="GB105" i="2"/>
  <c r="GB106" i="2"/>
  <c r="GB107" i="2"/>
  <c r="GB108" i="2"/>
  <c r="GB109" i="2"/>
  <c r="GB110" i="2"/>
  <c r="GB111" i="2"/>
  <c r="GB112" i="2"/>
  <c r="GB113" i="2"/>
  <c r="GB114" i="2"/>
  <c r="GB115" i="2"/>
  <c r="GB116" i="2"/>
  <c r="GB117" i="2"/>
  <c r="GB118" i="2"/>
  <c r="GB119" i="2"/>
  <c r="GB120" i="2"/>
  <c r="GB121" i="2"/>
  <c r="GB122" i="2"/>
  <c r="GB123" i="2"/>
  <c r="GB124" i="2"/>
  <c r="GB125" i="2"/>
  <c r="GB126" i="2"/>
  <c r="GB127" i="2"/>
  <c r="GB128" i="2"/>
  <c r="GB129" i="2"/>
  <c r="GB130" i="2"/>
  <c r="GB131" i="2"/>
  <c r="GB132" i="2"/>
  <c r="GB133" i="2"/>
  <c r="GB134" i="2"/>
  <c r="GB135" i="2"/>
  <c r="GB136" i="2"/>
  <c r="GB137" i="2"/>
  <c r="GB138" i="2"/>
  <c r="GB139" i="2"/>
  <c r="GB140" i="2"/>
  <c r="GB141" i="2"/>
  <c r="GB142" i="2"/>
  <c r="GB143" i="2"/>
  <c r="GB144" i="2"/>
  <c r="GB145" i="2"/>
  <c r="GB146" i="2"/>
  <c r="GB147" i="2"/>
  <c r="GB148" i="2"/>
  <c r="GB149" i="2"/>
  <c r="GB150" i="2"/>
  <c r="GB151" i="2"/>
  <c r="GB152" i="2"/>
  <c r="GB153" i="2"/>
  <c r="GB154" i="2"/>
  <c r="GB155" i="2"/>
  <c r="GB156" i="2"/>
  <c r="GB157" i="2"/>
  <c r="GB158" i="2"/>
  <c r="GB159" i="2"/>
  <c r="GB160" i="2"/>
  <c r="GB161" i="2"/>
  <c r="GB162" i="2"/>
  <c r="GB163" i="2"/>
  <c r="GB164" i="2"/>
  <c r="GB165" i="2"/>
  <c r="GB166" i="2"/>
  <c r="GB167" i="2"/>
  <c r="GB168" i="2"/>
  <c r="GB169" i="2"/>
  <c r="GB170" i="2"/>
  <c r="GB171" i="2"/>
  <c r="GB172" i="2"/>
  <c r="GB173" i="2"/>
  <c r="GB174" i="2"/>
  <c r="GB175" i="2"/>
  <c r="GB176" i="2"/>
  <c r="GB177" i="2"/>
  <c r="GB178" i="2"/>
  <c r="GB179" i="2"/>
  <c r="GB180" i="2"/>
  <c r="GB181" i="2"/>
  <c r="GB182" i="2"/>
  <c r="GB183" i="2"/>
  <c r="GB184" i="2"/>
  <c r="GB185" i="2"/>
  <c r="GB186" i="2"/>
  <c r="GB187" i="2"/>
  <c r="GB188" i="2"/>
  <c r="GB189" i="2"/>
  <c r="GB190" i="2"/>
  <c r="GB191" i="2"/>
  <c r="GB192" i="2"/>
  <c r="GB193" i="2"/>
  <c r="GB194" i="2"/>
  <c r="GB195" i="2"/>
  <c r="GB196" i="2"/>
  <c r="GB197" i="2"/>
  <c r="GB198" i="2"/>
  <c r="GB199" i="2"/>
  <c r="GB200" i="2"/>
  <c r="GB201" i="2"/>
  <c r="GW14" i="2"/>
  <c r="GQ2" i="2"/>
  <c r="GQ3" i="2"/>
  <c r="GQ4" i="2"/>
  <c r="GQ5" i="2"/>
  <c r="GQ6" i="2"/>
  <c r="GQ7" i="2"/>
  <c r="GQ8" i="2"/>
  <c r="GQ9" i="2"/>
  <c r="GQ10" i="2"/>
  <c r="GQ11" i="2"/>
  <c r="GQ12" i="2"/>
  <c r="GQ13" i="2"/>
  <c r="GQ14" i="2"/>
  <c r="GQ15" i="2"/>
  <c r="GQ16" i="2"/>
  <c r="GQ17" i="2"/>
  <c r="GQ18" i="2"/>
  <c r="GQ19" i="2"/>
  <c r="GQ20" i="2"/>
  <c r="GQ21" i="2"/>
  <c r="GQ22" i="2"/>
  <c r="GQ23" i="2"/>
  <c r="GQ24" i="2"/>
  <c r="GQ25" i="2"/>
  <c r="GQ26" i="2"/>
  <c r="GQ27" i="2"/>
  <c r="GQ28" i="2"/>
  <c r="GQ29" i="2"/>
  <c r="GQ30" i="2"/>
  <c r="GQ31" i="2"/>
  <c r="GQ32" i="2"/>
  <c r="GQ33" i="2"/>
  <c r="GQ34" i="2"/>
  <c r="GQ35" i="2"/>
  <c r="GQ36" i="2"/>
  <c r="GQ37" i="2"/>
  <c r="GQ38" i="2"/>
  <c r="GQ39" i="2"/>
  <c r="GQ40" i="2"/>
  <c r="GQ41" i="2"/>
  <c r="GQ42" i="2"/>
  <c r="GQ43" i="2"/>
  <c r="GQ44" i="2"/>
  <c r="GQ45" i="2"/>
  <c r="GQ46" i="2"/>
  <c r="GQ47" i="2"/>
  <c r="GQ48" i="2"/>
  <c r="GQ49" i="2"/>
  <c r="GQ50" i="2"/>
  <c r="GQ51" i="2"/>
  <c r="GQ52" i="2"/>
  <c r="GQ53" i="2"/>
  <c r="GQ54" i="2"/>
  <c r="GQ55" i="2"/>
  <c r="GQ56" i="2"/>
  <c r="GQ57" i="2"/>
  <c r="GQ58" i="2"/>
  <c r="GQ59" i="2"/>
  <c r="GQ60" i="2"/>
  <c r="GQ61" i="2"/>
  <c r="GQ62" i="2"/>
  <c r="GQ63" i="2"/>
  <c r="GQ64" i="2"/>
  <c r="GQ65" i="2"/>
  <c r="GQ66" i="2"/>
  <c r="GQ67" i="2"/>
  <c r="GQ68" i="2"/>
  <c r="GQ69" i="2"/>
  <c r="GQ70" i="2"/>
  <c r="GQ71" i="2"/>
  <c r="GQ72" i="2"/>
  <c r="GQ73" i="2"/>
  <c r="GQ74" i="2"/>
  <c r="GQ75" i="2"/>
  <c r="GQ76" i="2"/>
  <c r="GQ77" i="2"/>
  <c r="GQ78" i="2"/>
  <c r="GQ79" i="2"/>
  <c r="GQ80" i="2"/>
  <c r="GQ81" i="2"/>
  <c r="GQ82" i="2"/>
  <c r="GQ83" i="2"/>
  <c r="GQ84" i="2"/>
  <c r="GQ85" i="2"/>
  <c r="GQ86" i="2"/>
  <c r="GQ87" i="2"/>
  <c r="GQ88" i="2"/>
  <c r="GQ89" i="2"/>
  <c r="GQ90" i="2"/>
  <c r="GQ91" i="2"/>
  <c r="GQ92" i="2"/>
  <c r="GQ93" i="2"/>
  <c r="GQ94" i="2"/>
  <c r="GQ95" i="2"/>
  <c r="GQ96" i="2"/>
  <c r="GQ97" i="2"/>
  <c r="GQ98" i="2"/>
  <c r="GQ99" i="2"/>
  <c r="GQ100" i="2"/>
  <c r="GQ101" i="2"/>
  <c r="GQ102" i="2"/>
  <c r="GQ103" i="2"/>
  <c r="GQ104" i="2"/>
  <c r="GQ105" i="2"/>
  <c r="GQ106" i="2"/>
  <c r="GQ107" i="2"/>
  <c r="GQ108" i="2"/>
  <c r="GQ109" i="2"/>
  <c r="GQ110" i="2"/>
  <c r="GQ111" i="2"/>
  <c r="GQ112" i="2"/>
  <c r="GQ113" i="2"/>
  <c r="GQ114" i="2"/>
  <c r="GQ115" i="2"/>
  <c r="GQ116" i="2"/>
  <c r="GQ117" i="2"/>
  <c r="GQ118" i="2"/>
  <c r="GQ119" i="2"/>
  <c r="GQ120" i="2"/>
  <c r="GQ121" i="2"/>
  <c r="GQ122" i="2"/>
  <c r="GQ123" i="2"/>
  <c r="GQ124" i="2"/>
  <c r="GQ125" i="2"/>
  <c r="GQ126" i="2"/>
  <c r="GQ127" i="2"/>
  <c r="GQ128" i="2"/>
  <c r="GQ129" i="2"/>
  <c r="GQ130" i="2"/>
  <c r="GQ131" i="2"/>
  <c r="GQ132" i="2"/>
  <c r="GQ133" i="2"/>
  <c r="GQ134" i="2"/>
  <c r="GQ135" i="2"/>
  <c r="GQ136" i="2"/>
  <c r="GQ137" i="2"/>
  <c r="GQ138" i="2"/>
  <c r="GQ139" i="2"/>
  <c r="GQ140" i="2"/>
  <c r="GQ141" i="2"/>
  <c r="GQ142" i="2"/>
  <c r="GQ143" i="2"/>
  <c r="GQ144" i="2"/>
  <c r="GQ145" i="2"/>
  <c r="GQ146" i="2"/>
  <c r="GQ147" i="2"/>
  <c r="GQ148" i="2"/>
  <c r="GQ149" i="2"/>
  <c r="GQ150" i="2"/>
  <c r="GQ151" i="2"/>
  <c r="GQ152" i="2"/>
  <c r="GQ153" i="2"/>
  <c r="GQ154" i="2"/>
  <c r="GQ155" i="2"/>
  <c r="GQ156" i="2"/>
  <c r="GQ157" i="2"/>
  <c r="GQ158" i="2"/>
  <c r="GQ159" i="2"/>
  <c r="GQ160" i="2"/>
  <c r="GQ161" i="2"/>
  <c r="GQ162" i="2"/>
  <c r="GQ163" i="2"/>
  <c r="GQ164" i="2"/>
  <c r="GQ165" i="2"/>
  <c r="GQ166" i="2"/>
  <c r="GQ167" i="2"/>
  <c r="GQ168" i="2"/>
  <c r="GQ169" i="2"/>
  <c r="GQ170" i="2"/>
  <c r="GQ171" i="2"/>
  <c r="GQ172" i="2"/>
  <c r="GQ173" i="2"/>
  <c r="GQ174" i="2"/>
  <c r="GQ175" i="2"/>
  <c r="GQ176" i="2"/>
  <c r="GQ177" i="2"/>
  <c r="GQ178" i="2"/>
  <c r="GQ179" i="2"/>
  <c r="GQ180" i="2"/>
  <c r="GQ181" i="2"/>
  <c r="GQ182" i="2"/>
  <c r="GQ183" i="2"/>
  <c r="GQ184" i="2"/>
  <c r="GQ185" i="2"/>
  <c r="GQ186" i="2"/>
  <c r="GQ187" i="2"/>
  <c r="GQ188" i="2"/>
  <c r="GQ189" i="2"/>
  <c r="GQ190" i="2"/>
  <c r="GQ191" i="2"/>
  <c r="GQ192" i="2"/>
  <c r="GQ193" i="2"/>
  <c r="GQ194" i="2"/>
  <c r="GQ195" i="2"/>
  <c r="GQ196" i="2"/>
  <c r="GQ197" i="2"/>
  <c r="GQ198" i="2"/>
  <c r="GQ199" i="2"/>
  <c r="GQ200" i="2"/>
  <c r="GQ201" i="2"/>
  <c r="GW10" i="2"/>
  <c r="GR2" i="2"/>
  <c r="GS2" i="2"/>
  <c r="GR3" i="2"/>
  <c r="GS3" i="2"/>
  <c r="GR4" i="2"/>
  <c r="GS4" i="2"/>
  <c r="GR5" i="2"/>
  <c r="GS5" i="2"/>
  <c r="GR6" i="2"/>
  <c r="GS6" i="2"/>
  <c r="GR7" i="2"/>
  <c r="GS7" i="2"/>
  <c r="GR8" i="2"/>
  <c r="GS8" i="2"/>
  <c r="GR9" i="2"/>
  <c r="GS9" i="2"/>
  <c r="GR10" i="2"/>
  <c r="GS10" i="2"/>
  <c r="GR11" i="2"/>
  <c r="GS11" i="2"/>
  <c r="GR12" i="2"/>
  <c r="GS12" i="2"/>
  <c r="GR13" i="2"/>
  <c r="GS13" i="2"/>
  <c r="GR14" i="2"/>
  <c r="GS14" i="2"/>
  <c r="GR15" i="2"/>
  <c r="GS15" i="2"/>
  <c r="GR16" i="2"/>
  <c r="GS16" i="2"/>
  <c r="GR17" i="2"/>
  <c r="GS17" i="2"/>
  <c r="GR18" i="2"/>
  <c r="GS18" i="2"/>
  <c r="GR19" i="2"/>
  <c r="GS19" i="2"/>
  <c r="GR20" i="2"/>
  <c r="GS20" i="2"/>
  <c r="GR21" i="2"/>
  <c r="GS21" i="2"/>
  <c r="GR22" i="2"/>
  <c r="GS22" i="2"/>
  <c r="GR23" i="2"/>
  <c r="GS23" i="2"/>
  <c r="GR24" i="2"/>
  <c r="GS24" i="2"/>
  <c r="GR25" i="2"/>
  <c r="GS25" i="2"/>
  <c r="GR26" i="2"/>
  <c r="GS26" i="2"/>
  <c r="GR27" i="2"/>
  <c r="GS27" i="2"/>
  <c r="GR28" i="2"/>
  <c r="GS28" i="2"/>
  <c r="GR29" i="2"/>
  <c r="GS29" i="2"/>
  <c r="GR30" i="2"/>
  <c r="GS30" i="2"/>
  <c r="GR31" i="2"/>
  <c r="GS31" i="2"/>
  <c r="GR32" i="2"/>
  <c r="GS32" i="2"/>
  <c r="GR33" i="2"/>
  <c r="GS33" i="2"/>
  <c r="GR34" i="2"/>
  <c r="GS34" i="2"/>
  <c r="GR35" i="2"/>
  <c r="GS35" i="2"/>
  <c r="GR36" i="2"/>
  <c r="GS36" i="2"/>
  <c r="GR37" i="2"/>
  <c r="GS37" i="2"/>
  <c r="GR38" i="2"/>
  <c r="GS38" i="2"/>
  <c r="GR39" i="2"/>
  <c r="GS39" i="2"/>
  <c r="GR40" i="2"/>
  <c r="GS40" i="2"/>
  <c r="GR41" i="2"/>
  <c r="GS41" i="2"/>
  <c r="GR42" i="2"/>
  <c r="GS42" i="2"/>
  <c r="GR43" i="2"/>
  <c r="GS43" i="2"/>
  <c r="GR44" i="2"/>
  <c r="GS44" i="2"/>
  <c r="GR45" i="2"/>
  <c r="GS45" i="2"/>
  <c r="GR46" i="2"/>
  <c r="GS46" i="2"/>
  <c r="GR47" i="2"/>
  <c r="GS47" i="2"/>
  <c r="GR48" i="2"/>
  <c r="GS48" i="2"/>
  <c r="GR49" i="2"/>
  <c r="GS49" i="2"/>
  <c r="GR50" i="2"/>
  <c r="GS50" i="2"/>
  <c r="GR51" i="2"/>
  <c r="GS51" i="2"/>
  <c r="GR52" i="2"/>
  <c r="GS52" i="2"/>
  <c r="GR53" i="2"/>
  <c r="GS53" i="2"/>
  <c r="GR54" i="2"/>
  <c r="GS54" i="2"/>
  <c r="GR55" i="2"/>
  <c r="GS55" i="2"/>
  <c r="GR56" i="2"/>
  <c r="GS56" i="2"/>
  <c r="GR57" i="2"/>
  <c r="GS57" i="2"/>
  <c r="GR58" i="2"/>
  <c r="GS58" i="2"/>
  <c r="GR59" i="2"/>
  <c r="GS59" i="2"/>
  <c r="GR60" i="2"/>
  <c r="GS60" i="2"/>
  <c r="GR61" i="2"/>
  <c r="GS61" i="2"/>
  <c r="GR62" i="2"/>
  <c r="GS62" i="2"/>
  <c r="GR63" i="2"/>
  <c r="GS63" i="2"/>
  <c r="GR64" i="2"/>
  <c r="GS64" i="2"/>
  <c r="GR65" i="2"/>
  <c r="GS65" i="2"/>
  <c r="GR66" i="2"/>
  <c r="GS66" i="2"/>
  <c r="GR67" i="2"/>
  <c r="GS67" i="2"/>
  <c r="GR68" i="2"/>
  <c r="GS68" i="2"/>
  <c r="GR69" i="2"/>
  <c r="GS69" i="2"/>
  <c r="GR70" i="2"/>
  <c r="GS70" i="2"/>
  <c r="GR71" i="2"/>
  <c r="GS71" i="2"/>
  <c r="GR72" i="2"/>
  <c r="GS72" i="2"/>
  <c r="GR73" i="2"/>
  <c r="GS73" i="2"/>
  <c r="GR74" i="2"/>
  <c r="GS74" i="2"/>
  <c r="GR75" i="2"/>
  <c r="GS75" i="2"/>
  <c r="GR76" i="2"/>
  <c r="GS76" i="2"/>
  <c r="GR77" i="2"/>
  <c r="GS77" i="2"/>
  <c r="GR78" i="2"/>
  <c r="GS78" i="2"/>
  <c r="GR79" i="2"/>
  <c r="GS79" i="2"/>
  <c r="GR80" i="2"/>
  <c r="GS80" i="2"/>
  <c r="GR81" i="2"/>
  <c r="GS81" i="2"/>
  <c r="GR82" i="2"/>
  <c r="GS82" i="2"/>
  <c r="GR83" i="2"/>
  <c r="GS83" i="2"/>
  <c r="GR84" i="2"/>
  <c r="GS84" i="2"/>
  <c r="GR85" i="2"/>
  <c r="GS85" i="2"/>
  <c r="GR86" i="2"/>
  <c r="GS86" i="2"/>
  <c r="GR87" i="2"/>
  <c r="GS87" i="2"/>
  <c r="GR88" i="2"/>
  <c r="GS88" i="2"/>
  <c r="GR89" i="2"/>
  <c r="GS89" i="2"/>
  <c r="GR90" i="2"/>
  <c r="GS90" i="2"/>
  <c r="GR91" i="2"/>
  <c r="GS91" i="2"/>
  <c r="GR92" i="2"/>
  <c r="GS92" i="2"/>
  <c r="GR93" i="2"/>
  <c r="GS93" i="2"/>
  <c r="GR94" i="2"/>
  <c r="GS94" i="2"/>
  <c r="GR95" i="2"/>
  <c r="GS95" i="2"/>
  <c r="GR96" i="2"/>
  <c r="GS96" i="2"/>
  <c r="GR97" i="2"/>
  <c r="GS97" i="2"/>
  <c r="GR98" i="2"/>
  <c r="GS98" i="2"/>
  <c r="GR99" i="2"/>
  <c r="GS99" i="2"/>
  <c r="GR100" i="2"/>
  <c r="GS100" i="2"/>
  <c r="GR101" i="2"/>
  <c r="GS101" i="2"/>
  <c r="GR102" i="2"/>
  <c r="GS102" i="2"/>
  <c r="GR103" i="2"/>
  <c r="GS103" i="2"/>
  <c r="GR104" i="2"/>
  <c r="GS104" i="2"/>
  <c r="GR105" i="2"/>
  <c r="GS105" i="2"/>
  <c r="GR106" i="2"/>
  <c r="GS106" i="2"/>
  <c r="GR107" i="2"/>
  <c r="GS107" i="2"/>
  <c r="GR108" i="2"/>
  <c r="GS108" i="2"/>
  <c r="GR109" i="2"/>
  <c r="GS109" i="2"/>
  <c r="GR110" i="2"/>
  <c r="GS110" i="2"/>
  <c r="GR111" i="2"/>
  <c r="GS111" i="2"/>
  <c r="GR112" i="2"/>
  <c r="GS112" i="2"/>
  <c r="GR113" i="2"/>
  <c r="GS113" i="2"/>
  <c r="GR114" i="2"/>
  <c r="GS114" i="2"/>
  <c r="GR115" i="2"/>
  <c r="GS115" i="2"/>
  <c r="GR116" i="2"/>
  <c r="GS116" i="2"/>
  <c r="GR117" i="2"/>
  <c r="GS117" i="2"/>
  <c r="GR118" i="2"/>
  <c r="GS118" i="2"/>
  <c r="GR119" i="2"/>
  <c r="GS119" i="2"/>
  <c r="GR120" i="2"/>
  <c r="GS120" i="2"/>
  <c r="GR121" i="2"/>
  <c r="GS121" i="2"/>
  <c r="GR122" i="2"/>
  <c r="GS122" i="2"/>
  <c r="GR123" i="2"/>
  <c r="GS123" i="2"/>
  <c r="GR124" i="2"/>
  <c r="GS124" i="2"/>
  <c r="GR125" i="2"/>
  <c r="GS125" i="2"/>
  <c r="GR126" i="2"/>
  <c r="GS126" i="2"/>
  <c r="GR127" i="2"/>
  <c r="GS127" i="2"/>
  <c r="GR128" i="2"/>
  <c r="GS128" i="2"/>
  <c r="GR129" i="2"/>
  <c r="GS129" i="2"/>
  <c r="GR130" i="2"/>
  <c r="GS130" i="2"/>
  <c r="GR131" i="2"/>
  <c r="GS131" i="2"/>
  <c r="GR132" i="2"/>
  <c r="GS132" i="2"/>
  <c r="GR133" i="2"/>
  <c r="GS133" i="2"/>
  <c r="GR134" i="2"/>
  <c r="GS134" i="2"/>
  <c r="GR135" i="2"/>
  <c r="GS135" i="2"/>
  <c r="GR136" i="2"/>
  <c r="GS136" i="2"/>
  <c r="GR137" i="2"/>
  <c r="GS137" i="2"/>
  <c r="GR138" i="2"/>
  <c r="GS138" i="2"/>
  <c r="GR139" i="2"/>
  <c r="GS139" i="2"/>
  <c r="GR140" i="2"/>
  <c r="GS140" i="2"/>
  <c r="GR141" i="2"/>
  <c r="GS141" i="2"/>
  <c r="GR142" i="2"/>
  <c r="GS142" i="2"/>
  <c r="GR143" i="2"/>
  <c r="GS143" i="2"/>
  <c r="GR144" i="2"/>
  <c r="GS144" i="2"/>
  <c r="GR145" i="2"/>
  <c r="GS145" i="2"/>
  <c r="GR146" i="2"/>
  <c r="GS146" i="2"/>
  <c r="GR147" i="2"/>
  <c r="GS147" i="2"/>
  <c r="GR148" i="2"/>
  <c r="GS148" i="2"/>
  <c r="GR149" i="2"/>
  <c r="GS149" i="2"/>
  <c r="GR150" i="2"/>
  <c r="GS150" i="2"/>
  <c r="GR151" i="2"/>
  <c r="GS151" i="2"/>
  <c r="GR152" i="2"/>
  <c r="GS152" i="2"/>
  <c r="GR153" i="2"/>
  <c r="GS153" i="2"/>
  <c r="GR154" i="2"/>
  <c r="GS154" i="2"/>
  <c r="GR155" i="2"/>
  <c r="GS155" i="2"/>
  <c r="GR156" i="2"/>
  <c r="GS156" i="2"/>
  <c r="GR157" i="2"/>
  <c r="GS157" i="2"/>
  <c r="GR158" i="2"/>
  <c r="GS158" i="2"/>
  <c r="GR159" i="2"/>
  <c r="GS159" i="2"/>
  <c r="GR160" i="2"/>
  <c r="GS160" i="2"/>
  <c r="GR161" i="2"/>
  <c r="GS161" i="2"/>
  <c r="GR162" i="2"/>
  <c r="GS162" i="2"/>
  <c r="GR163" i="2"/>
  <c r="GS163" i="2"/>
  <c r="GR164" i="2"/>
  <c r="GS164" i="2"/>
  <c r="GR165" i="2"/>
  <c r="GS165" i="2"/>
  <c r="GR166" i="2"/>
  <c r="GS166" i="2"/>
  <c r="GR167" i="2"/>
  <c r="GS167" i="2"/>
  <c r="GR168" i="2"/>
  <c r="GS168" i="2"/>
  <c r="GR169" i="2"/>
  <c r="GS169" i="2"/>
  <c r="GR170" i="2"/>
  <c r="GS170" i="2"/>
  <c r="GR171" i="2"/>
  <c r="GS171" i="2"/>
  <c r="GR172" i="2"/>
  <c r="GS172" i="2"/>
  <c r="GR173" i="2"/>
  <c r="GS173" i="2"/>
  <c r="GR174" i="2"/>
  <c r="GS174" i="2"/>
  <c r="GR175" i="2"/>
  <c r="GS175" i="2"/>
  <c r="GR176" i="2"/>
  <c r="GS176" i="2"/>
  <c r="GR177" i="2"/>
  <c r="GS177" i="2"/>
  <c r="GR178" i="2"/>
  <c r="GS178" i="2"/>
  <c r="GR179" i="2"/>
  <c r="GS179" i="2"/>
  <c r="GR180" i="2"/>
  <c r="GS180" i="2"/>
  <c r="GR181" i="2"/>
  <c r="GS181" i="2"/>
  <c r="GR182" i="2"/>
  <c r="GS182" i="2"/>
  <c r="GR183" i="2"/>
  <c r="GS183" i="2"/>
  <c r="GR184" i="2"/>
  <c r="GS184" i="2"/>
  <c r="GR185" i="2"/>
  <c r="GS185" i="2"/>
  <c r="GR186" i="2"/>
  <c r="GS186" i="2"/>
  <c r="GR187" i="2"/>
  <c r="GS187" i="2"/>
  <c r="GR188" i="2"/>
  <c r="GS188" i="2"/>
  <c r="GR189" i="2"/>
  <c r="GS189" i="2"/>
  <c r="GR190" i="2"/>
  <c r="GS190" i="2"/>
  <c r="GR191" i="2"/>
  <c r="GS191" i="2"/>
  <c r="GR192" i="2"/>
  <c r="GS192" i="2"/>
  <c r="GR193" i="2"/>
  <c r="GS193" i="2"/>
  <c r="GR194" i="2"/>
  <c r="GS194" i="2"/>
  <c r="GR195" i="2"/>
  <c r="GS195" i="2"/>
  <c r="GR196" i="2"/>
  <c r="GS196" i="2"/>
  <c r="GR197" i="2"/>
  <c r="GS197" i="2"/>
  <c r="GR198" i="2"/>
  <c r="GS198" i="2"/>
  <c r="GR199" i="2"/>
  <c r="GS199" i="2"/>
  <c r="GR200" i="2"/>
  <c r="GS200" i="2"/>
  <c r="GR201" i="2"/>
  <c r="GS201" i="2"/>
  <c r="GC2" i="2"/>
  <c r="GC3" i="2"/>
  <c r="GC4" i="2"/>
  <c r="GC5" i="2"/>
  <c r="GC6" i="2"/>
  <c r="GC7" i="2"/>
  <c r="GC8" i="2"/>
  <c r="GC9" i="2"/>
  <c r="GC10" i="2"/>
  <c r="GC11" i="2"/>
  <c r="GC12" i="2"/>
  <c r="GC13" i="2"/>
  <c r="GC14" i="2"/>
  <c r="GC15" i="2"/>
  <c r="GC16" i="2"/>
  <c r="GC17" i="2"/>
  <c r="GC18" i="2"/>
  <c r="GC19" i="2"/>
  <c r="GC20" i="2"/>
  <c r="GC21" i="2"/>
  <c r="GC22" i="2"/>
  <c r="GC23" i="2"/>
  <c r="GC24" i="2"/>
  <c r="GC25" i="2"/>
  <c r="GC26" i="2"/>
  <c r="GC27" i="2"/>
  <c r="GC28" i="2"/>
  <c r="GC29" i="2"/>
  <c r="GC30" i="2"/>
  <c r="GC31" i="2"/>
  <c r="GC32" i="2"/>
  <c r="GC33" i="2"/>
  <c r="GC34" i="2"/>
  <c r="GC35" i="2"/>
  <c r="GC36" i="2"/>
  <c r="GC37" i="2"/>
  <c r="GC38" i="2"/>
  <c r="GC39" i="2"/>
  <c r="GC40" i="2"/>
  <c r="GC41" i="2"/>
  <c r="GC42" i="2"/>
  <c r="GC43" i="2"/>
  <c r="GC44" i="2"/>
  <c r="GC45" i="2"/>
  <c r="GC46" i="2"/>
  <c r="GC47" i="2"/>
  <c r="GC48" i="2"/>
  <c r="GC49" i="2"/>
  <c r="GC50" i="2"/>
  <c r="GC51" i="2"/>
  <c r="GC52" i="2"/>
  <c r="GC53" i="2"/>
  <c r="GC54" i="2"/>
  <c r="GC55" i="2"/>
  <c r="GC56" i="2"/>
  <c r="GC57" i="2"/>
  <c r="GC58" i="2"/>
  <c r="GC59" i="2"/>
  <c r="GC60" i="2"/>
  <c r="GC61" i="2"/>
  <c r="GC62" i="2"/>
  <c r="GC63" i="2"/>
  <c r="GC64" i="2"/>
  <c r="GC65" i="2"/>
  <c r="GC66" i="2"/>
  <c r="GC67" i="2"/>
  <c r="GC68" i="2"/>
  <c r="GC69" i="2"/>
  <c r="GC70" i="2"/>
  <c r="GC71" i="2"/>
  <c r="GC72" i="2"/>
  <c r="GC73" i="2"/>
  <c r="GC74" i="2"/>
  <c r="GC75" i="2"/>
  <c r="GC76" i="2"/>
  <c r="GC77" i="2"/>
  <c r="GC78" i="2"/>
  <c r="GC79" i="2"/>
  <c r="GC80" i="2"/>
  <c r="GC81" i="2"/>
  <c r="GC82" i="2"/>
  <c r="GC83" i="2"/>
  <c r="GC84" i="2"/>
  <c r="GC85" i="2"/>
  <c r="GC86" i="2"/>
  <c r="GC87" i="2"/>
  <c r="GC88" i="2"/>
  <c r="GC89" i="2"/>
  <c r="GC90" i="2"/>
  <c r="GC91" i="2"/>
  <c r="GC92" i="2"/>
  <c r="GC93" i="2"/>
  <c r="GC94" i="2"/>
  <c r="GC95" i="2"/>
  <c r="GC96" i="2"/>
  <c r="GC97" i="2"/>
  <c r="GC98" i="2"/>
  <c r="GC99" i="2"/>
  <c r="GC100" i="2"/>
  <c r="GC101" i="2"/>
  <c r="GC102" i="2"/>
  <c r="GC103" i="2"/>
  <c r="GC104" i="2"/>
  <c r="GC105" i="2"/>
  <c r="GC106" i="2"/>
  <c r="GC107" i="2"/>
  <c r="GC108" i="2"/>
  <c r="GC109" i="2"/>
  <c r="GC110" i="2"/>
  <c r="GC111" i="2"/>
  <c r="GC112" i="2"/>
  <c r="GC113" i="2"/>
  <c r="GC114" i="2"/>
  <c r="GC115" i="2"/>
  <c r="GC116" i="2"/>
  <c r="GC117" i="2"/>
  <c r="GC118" i="2"/>
  <c r="GC119" i="2"/>
  <c r="GC120" i="2"/>
  <c r="GC121" i="2"/>
  <c r="GC122" i="2"/>
  <c r="GC123" i="2"/>
  <c r="GC124" i="2"/>
  <c r="GC125" i="2"/>
  <c r="GC126" i="2"/>
  <c r="GC127" i="2"/>
  <c r="GC128" i="2"/>
  <c r="GC129" i="2"/>
  <c r="GC130" i="2"/>
  <c r="GC131" i="2"/>
  <c r="GC132" i="2"/>
  <c r="GC133" i="2"/>
  <c r="GC134" i="2"/>
  <c r="GC135" i="2"/>
  <c r="GC136" i="2"/>
  <c r="GC137" i="2"/>
  <c r="GC138" i="2"/>
  <c r="GC139" i="2"/>
  <c r="GC140" i="2"/>
  <c r="GC141" i="2"/>
  <c r="GC142" i="2"/>
  <c r="GC143" i="2"/>
  <c r="GC144" i="2"/>
  <c r="GC145" i="2"/>
  <c r="GC146" i="2"/>
  <c r="GC147" i="2"/>
  <c r="GC148" i="2"/>
  <c r="GC149" i="2"/>
  <c r="GC150" i="2"/>
  <c r="GC151" i="2"/>
  <c r="GC152" i="2"/>
  <c r="GC153" i="2"/>
  <c r="GC154" i="2"/>
  <c r="GC155" i="2"/>
  <c r="GC156" i="2"/>
  <c r="GC157" i="2"/>
  <c r="GC158" i="2"/>
  <c r="GC159" i="2"/>
  <c r="GC160" i="2"/>
  <c r="GC161" i="2"/>
  <c r="GC162" i="2"/>
  <c r="GC163" i="2"/>
  <c r="GC164" i="2"/>
  <c r="GC165" i="2"/>
  <c r="GC166" i="2"/>
  <c r="GC167" i="2"/>
  <c r="GC168" i="2"/>
  <c r="GC169" i="2"/>
  <c r="GC170" i="2"/>
  <c r="GC171" i="2"/>
  <c r="GC172" i="2"/>
  <c r="GC173" i="2"/>
  <c r="GC174" i="2"/>
  <c r="GC175" i="2"/>
  <c r="GC176" i="2"/>
  <c r="GC177" i="2"/>
  <c r="GC178" i="2"/>
  <c r="GC179" i="2"/>
  <c r="GC180" i="2"/>
  <c r="GC181" i="2"/>
  <c r="GC182" i="2"/>
  <c r="GC183" i="2"/>
  <c r="GC184" i="2"/>
  <c r="GC185" i="2"/>
  <c r="GC186" i="2"/>
  <c r="GC187" i="2"/>
  <c r="GC188" i="2"/>
  <c r="GC189" i="2"/>
  <c r="GC190" i="2"/>
  <c r="GC191" i="2"/>
  <c r="GC192" i="2"/>
  <c r="GC193" i="2"/>
  <c r="GC194" i="2"/>
  <c r="GC195" i="2"/>
  <c r="GC196" i="2"/>
  <c r="GC197" i="2"/>
  <c r="GC198" i="2"/>
  <c r="GC199" i="2"/>
  <c r="GC200" i="2"/>
  <c r="GC201" i="2"/>
  <c r="GW21" i="2"/>
  <c r="B2" i="2"/>
  <c r="C2" i="2"/>
  <c r="D2" i="2"/>
  <c r="E2" i="2"/>
  <c r="F2" i="2"/>
  <c r="J2" i="2"/>
  <c r="K2" i="2"/>
  <c r="L2" i="2"/>
  <c r="B3" i="2"/>
  <c r="C3" i="2"/>
  <c r="D3" i="2"/>
  <c r="E3" i="2"/>
  <c r="F3" i="2"/>
  <c r="L3" i="2"/>
  <c r="B4" i="2"/>
  <c r="C4" i="2"/>
  <c r="D4" i="2"/>
  <c r="E4" i="2"/>
  <c r="F4" i="2"/>
  <c r="L4" i="2"/>
  <c r="B5" i="2"/>
  <c r="C5" i="2"/>
  <c r="D5" i="2"/>
  <c r="E5" i="2"/>
  <c r="F5" i="2"/>
  <c r="L5" i="2"/>
  <c r="B6" i="2"/>
  <c r="C6" i="2"/>
  <c r="D6" i="2"/>
  <c r="E6" i="2"/>
  <c r="F6" i="2"/>
  <c r="L6" i="2"/>
  <c r="B7" i="2"/>
  <c r="C7" i="2"/>
  <c r="D7" i="2"/>
  <c r="E7" i="2"/>
  <c r="F7" i="2"/>
  <c r="L7" i="2"/>
  <c r="B8" i="2"/>
  <c r="C8" i="2"/>
  <c r="D8" i="2"/>
  <c r="E8" i="2"/>
  <c r="F8" i="2"/>
  <c r="L8" i="2"/>
  <c r="B9" i="2"/>
  <c r="C9" i="2"/>
  <c r="D9" i="2"/>
  <c r="E9" i="2"/>
  <c r="F9" i="2"/>
  <c r="L9" i="2"/>
  <c r="B10" i="2"/>
  <c r="C10" i="2"/>
  <c r="D10" i="2"/>
  <c r="E10" i="2"/>
  <c r="F10" i="2"/>
  <c r="L10" i="2"/>
  <c r="B11" i="2"/>
  <c r="C11" i="2"/>
  <c r="D11" i="2"/>
  <c r="E11" i="2"/>
  <c r="F11" i="2"/>
  <c r="L11" i="2"/>
  <c r="B12" i="2"/>
  <c r="C12" i="2"/>
  <c r="D12" i="2"/>
  <c r="E12" i="2"/>
  <c r="F12" i="2"/>
  <c r="L12" i="2"/>
  <c r="B13" i="2"/>
  <c r="C13" i="2"/>
  <c r="D13" i="2"/>
  <c r="E13" i="2"/>
  <c r="F13" i="2"/>
  <c r="L13" i="2"/>
  <c r="J3" i="2"/>
  <c r="K3" i="2"/>
  <c r="J4" i="2"/>
  <c r="K4" i="2"/>
  <c r="J5" i="2"/>
  <c r="K5" i="2"/>
  <c r="J6" i="2"/>
  <c r="K6" i="2"/>
  <c r="J7" i="2"/>
  <c r="K7" i="2"/>
  <c r="J8" i="2"/>
  <c r="K8" i="2"/>
  <c r="J9" i="2"/>
  <c r="K9" i="2"/>
  <c r="J10" i="2"/>
  <c r="K10" i="2"/>
  <c r="J11" i="2"/>
  <c r="K11" i="2"/>
  <c r="J12" i="2"/>
  <c r="K12" i="2"/>
  <c r="J13" i="2"/>
  <c r="K13" i="2"/>
  <c r="W2" i="8"/>
  <c r="W3" i="8"/>
  <c r="W4" i="8"/>
  <c r="W5" i="8"/>
  <c r="W6" i="8"/>
  <c r="W7" i="8"/>
  <c r="W8" i="8"/>
  <c r="W9" i="8"/>
  <c r="W10" i="8"/>
  <c r="W11" i="8"/>
  <c r="W12" i="8"/>
  <c r="W13" i="8"/>
  <c r="W14" i="8"/>
  <c r="W15" i="8"/>
  <c r="W16" i="8"/>
  <c r="W17" i="8"/>
  <c r="W18" i="8"/>
  <c r="W19" i="8"/>
  <c r="W20" i="8"/>
  <c r="W21" i="8"/>
  <c r="W22" i="8"/>
  <c r="W23" i="8"/>
  <c r="W24" i="8"/>
  <c r="W25" i="8"/>
  <c r="W26" i="8"/>
  <c r="W27" i="8"/>
  <c r="W28" i="8"/>
  <c r="W29" i="8"/>
  <c r="W30" i="8"/>
  <c r="W31" i="8"/>
  <c r="W32" i="8"/>
  <c r="W33" i="8"/>
  <c r="W34" i="8"/>
  <c r="W35" i="8"/>
  <c r="W36" i="8"/>
  <c r="W37" i="8"/>
  <c r="W38" i="8"/>
  <c r="W39" i="8"/>
  <c r="W40" i="8"/>
  <c r="W41" i="8"/>
  <c r="W42" i="8"/>
  <c r="W43" i="8"/>
  <c r="W44" i="8"/>
  <c r="W45" i="8"/>
  <c r="W46" i="8"/>
  <c r="W47" i="8"/>
  <c r="W48" i="8"/>
  <c r="W49" i="8"/>
  <c r="W50" i="8"/>
  <c r="W51" i="8"/>
  <c r="W52" i="8"/>
  <c r="W53" i="8"/>
  <c r="W54" i="8"/>
  <c r="W55" i="8"/>
  <c r="W56" i="8"/>
  <c r="W57" i="8"/>
  <c r="W58" i="8"/>
  <c r="W59" i="8"/>
  <c r="W60" i="8"/>
  <c r="W61" i="8"/>
  <c r="W62" i="8"/>
  <c r="W63" i="8"/>
  <c r="W64" i="8"/>
  <c r="W65" i="8"/>
  <c r="W66" i="8"/>
  <c r="W67" i="8"/>
  <c r="W68" i="8"/>
  <c r="W69" i="8"/>
  <c r="W70" i="8"/>
  <c r="W71" i="8"/>
  <c r="W72" i="8"/>
  <c r="W73" i="8"/>
  <c r="W74" i="8"/>
  <c r="W75" i="8"/>
  <c r="W76" i="8"/>
  <c r="W77" i="8"/>
  <c r="W78" i="8"/>
  <c r="W79" i="8"/>
  <c r="W80" i="8"/>
  <c r="W81" i="8"/>
  <c r="W82" i="8"/>
  <c r="W83" i="8"/>
  <c r="W84" i="8"/>
  <c r="W85" i="8"/>
  <c r="W86" i="8"/>
  <c r="W87" i="8"/>
  <c r="W88" i="8"/>
  <c r="W89" i="8"/>
  <c r="W90" i="8"/>
  <c r="W91" i="8"/>
  <c r="W92" i="8"/>
  <c r="W93" i="8"/>
  <c r="W94" i="8"/>
  <c r="W95" i="8"/>
  <c r="W96" i="8"/>
  <c r="W97" i="8"/>
  <c r="W98" i="8"/>
  <c r="W99" i="8"/>
  <c r="W100" i="8"/>
  <c r="W101" i="8"/>
  <c r="W102" i="8"/>
  <c r="W103" i="8"/>
  <c r="W104" i="8"/>
  <c r="W105" i="8"/>
  <c r="W106" i="8"/>
  <c r="W107" i="8"/>
  <c r="W108" i="8"/>
  <c r="W109" i="8"/>
  <c r="W110" i="8"/>
  <c r="W111" i="8"/>
  <c r="W112" i="8"/>
  <c r="W113" i="8"/>
  <c r="W114" i="8"/>
  <c r="W115" i="8"/>
  <c r="W116" i="8"/>
  <c r="W117" i="8"/>
  <c r="W118" i="8"/>
  <c r="W119" i="8"/>
  <c r="W120" i="8"/>
  <c r="W121" i="8"/>
  <c r="W122" i="8"/>
  <c r="W123" i="8"/>
  <c r="W124" i="8"/>
  <c r="W125" i="8"/>
  <c r="W126" i="8"/>
  <c r="W127" i="8"/>
  <c r="W128" i="8"/>
  <c r="W129" i="8"/>
  <c r="W130" i="8"/>
  <c r="W131" i="8"/>
  <c r="W132" i="8"/>
  <c r="W133" i="8"/>
  <c r="W134" i="8"/>
  <c r="W135" i="8"/>
  <c r="W136" i="8"/>
  <c r="W137" i="8"/>
  <c r="W138" i="8"/>
  <c r="W139" i="8"/>
  <c r="W140" i="8"/>
  <c r="W141" i="8"/>
  <c r="W142" i="8"/>
  <c r="W143" i="8"/>
  <c r="W144" i="8"/>
  <c r="W145" i="8"/>
  <c r="W146" i="8"/>
  <c r="W147" i="8"/>
  <c r="W148" i="8"/>
  <c r="W149" i="8"/>
  <c r="W150" i="8"/>
  <c r="W151" i="8"/>
  <c r="W152" i="8"/>
  <c r="W153" i="8"/>
  <c r="W154" i="8"/>
  <c r="W155" i="8"/>
  <c r="W156" i="8"/>
  <c r="W157" i="8"/>
  <c r="W158" i="8"/>
  <c r="W159" i="8"/>
  <c r="W160" i="8"/>
  <c r="W161" i="8"/>
  <c r="W162" i="8"/>
  <c r="W163" i="8"/>
  <c r="W164" i="8"/>
  <c r="W165" i="8"/>
  <c r="W166" i="8"/>
  <c r="W167" i="8"/>
  <c r="W168" i="8"/>
  <c r="W169" i="8"/>
  <c r="W170" i="8"/>
  <c r="W171" i="8"/>
  <c r="W172" i="8"/>
  <c r="W173" i="8"/>
  <c r="W174" i="8"/>
  <c r="W175" i="8"/>
  <c r="W176" i="8"/>
  <c r="W177" i="8"/>
  <c r="W178" i="8"/>
  <c r="W179" i="8"/>
  <c r="W180" i="8"/>
  <c r="W181" i="8"/>
  <c r="W182" i="8"/>
  <c r="W183" i="8"/>
  <c r="W184" i="8"/>
  <c r="W185" i="8"/>
  <c r="W186" i="8"/>
  <c r="W187" i="8"/>
  <c r="W188" i="8"/>
  <c r="W189" i="8"/>
  <c r="W190" i="8"/>
  <c r="W191" i="8"/>
  <c r="W192" i="8"/>
  <c r="W193" i="8"/>
  <c r="W194" i="8"/>
  <c r="W195" i="8"/>
  <c r="W196" i="8"/>
  <c r="W197" i="8"/>
  <c r="W198" i="8"/>
  <c r="W199" i="8"/>
  <c r="W200" i="8"/>
  <c r="W201" i="8"/>
  <c r="HY13" i="2"/>
  <c r="HY14" i="2"/>
  <c r="HZ6" i="2"/>
  <c r="HZ7" i="2"/>
  <c r="HZ8" i="2"/>
  <c r="HZ9" i="2"/>
  <c r="HY10" i="2"/>
  <c r="Y39" i="8"/>
  <c r="HZ5" i="2"/>
  <c r="HZ4" i="2"/>
  <c r="HZ3" i="2"/>
  <c r="HY4" i="2"/>
  <c r="Y33" i="8"/>
  <c r="HY5" i="2"/>
  <c r="Y34" i="8"/>
  <c r="HY6" i="2"/>
  <c r="Y35" i="8"/>
  <c r="HY7" i="2"/>
  <c r="Y36" i="8"/>
  <c r="HY8" i="2"/>
  <c r="Y37" i="8"/>
  <c r="HY9" i="2"/>
  <c r="Y38" i="8"/>
  <c r="HZ2" i="2"/>
  <c r="HY3" i="2"/>
  <c r="Y32" i="8"/>
  <c r="Y31" i="8"/>
  <c r="EP1" i="2"/>
  <c r="FV2" i="2"/>
  <c r="FV3" i="2"/>
  <c r="FV4" i="2"/>
  <c r="FV5" i="2"/>
  <c r="FV6" i="2"/>
  <c r="FV7" i="2"/>
  <c r="FV8" i="2"/>
  <c r="FV9" i="2"/>
  <c r="FV10" i="2"/>
  <c r="FV11" i="2"/>
  <c r="FV12" i="2"/>
  <c r="FV13" i="2"/>
  <c r="FV14" i="2"/>
  <c r="FV15" i="2"/>
  <c r="FV16" i="2"/>
  <c r="FV17" i="2"/>
  <c r="FV18" i="2"/>
  <c r="FV19" i="2"/>
  <c r="FV20" i="2"/>
  <c r="FV21" i="2"/>
  <c r="FV22" i="2"/>
  <c r="FV23" i="2"/>
  <c r="FV24" i="2"/>
  <c r="FV25" i="2"/>
  <c r="FV26" i="2"/>
  <c r="FV27" i="2"/>
  <c r="FV28" i="2"/>
  <c r="FV29" i="2"/>
  <c r="FV30" i="2"/>
  <c r="FV31" i="2"/>
  <c r="FV32" i="2"/>
  <c r="FV33" i="2"/>
  <c r="FV34" i="2"/>
  <c r="FV35" i="2"/>
  <c r="FV36" i="2"/>
  <c r="FV37" i="2"/>
  <c r="FV38" i="2"/>
  <c r="FV39" i="2"/>
  <c r="FV40" i="2"/>
  <c r="FV41" i="2"/>
  <c r="FV42" i="2"/>
  <c r="FV43" i="2"/>
  <c r="FV44" i="2"/>
  <c r="FV45" i="2"/>
  <c r="FV46" i="2"/>
  <c r="FV47" i="2"/>
  <c r="FV48" i="2"/>
  <c r="FV49" i="2"/>
  <c r="FV50" i="2"/>
  <c r="FV51" i="2"/>
  <c r="FV52" i="2"/>
  <c r="FV53" i="2"/>
  <c r="FV54" i="2"/>
  <c r="FV55" i="2"/>
  <c r="FV56" i="2"/>
  <c r="FV57" i="2"/>
  <c r="FV58" i="2"/>
  <c r="FV59" i="2"/>
  <c r="FV60" i="2"/>
  <c r="FV61" i="2"/>
  <c r="FV62" i="2"/>
  <c r="FV63" i="2"/>
  <c r="FV64" i="2"/>
  <c r="FV65" i="2"/>
  <c r="FV66" i="2"/>
  <c r="FV67" i="2"/>
  <c r="FV68" i="2"/>
  <c r="FV69" i="2"/>
  <c r="FV70" i="2"/>
  <c r="FV71" i="2"/>
  <c r="FV72" i="2"/>
  <c r="FV73" i="2"/>
  <c r="FV74" i="2"/>
  <c r="FV75" i="2"/>
  <c r="FV76" i="2"/>
  <c r="FV77" i="2"/>
  <c r="FV78" i="2"/>
  <c r="FV79" i="2"/>
  <c r="FV80" i="2"/>
  <c r="FV81" i="2"/>
  <c r="FV82" i="2"/>
  <c r="FV83" i="2"/>
  <c r="FV84" i="2"/>
  <c r="FV85" i="2"/>
  <c r="FV86" i="2"/>
  <c r="FV87" i="2"/>
  <c r="FV88" i="2"/>
  <c r="FV89" i="2"/>
  <c r="FV90" i="2"/>
  <c r="FV91" i="2"/>
  <c r="FV92" i="2"/>
  <c r="FV93" i="2"/>
  <c r="FV94" i="2"/>
  <c r="FV95" i="2"/>
  <c r="FV96" i="2"/>
  <c r="FV97" i="2"/>
  <c r="FV98" i="2"/>
  <c r="FV99" i="2"/>
  <c r="FV100" i="2"/>
  <c r="FV101" i="2"/>
  <c r="FV102" i="2"/>
  <c r="FV103" i="2"/>
  <c r="FV104" i="2"/>
  <c r="FV105" i="2"/>
  <c r="FV106" i="2"/>
  <c r="FV107" i="2"/>
  <c r="FV108" i="2"/>
  <c r="FV109" i="2"/>
  <c r="FV110" i="2"/>
  <c r="FV111" i="2"/>
  <c r="FV112" i="2"/>
  <c r="FV113" i="2"/>
  <c r="FV114" i="2"/>
  <c r="FV115" i="2"/>
  <c r="FV116" i="2"/>
  <c r="FV117" i="2"/>
  <c r="FV118" i="2"/>
  <c r="FV119" i="2"/>
  <c r="FV120" i="2"/>
  <c r="FV121" i="2"/>
  <c r="FV122" i="2"/>
  <c r="FV123" i="2"/>
  <c r="FV124" i="2"/>
  <c r="FV125" i="2"/>
  <c r="FV126" i="2"/>
  <c r="FV127" i="2"/>
  <c r="FV128" i="2"/>
  <c r="FV129" i="2"/>
  <c r="FV130" i="2"/>
  <c r="FV131" i="2"/>
  <c r="FV132" i="2"/>
  <c r="FV133" i="2"/>
  <c r="FV134" i="2"/>
  <c r="FV135" i="2"/>
  <c r="FV136" i="2"/>
  <c r="FV137" i="2"/>
  <c r="FV138" i="2"/>
  <c r="FV139" i="2"/>
  <c r="FV140" i="2"/>
  <c r="FV141" i="2"/>
  <c r="FV142" i="2"/>
  <c r="FV143" i="2"/>
  <c r="FV144" i="2"/>
  <c r="FV145" i="2"/>
  <c r="FV146" i="2"/>
  <c r="FV147" i="2"/>
  <c r="FV148" i="2"/>
  <c r="FV149" i="2"/>
  <c r="FV150" i="2"/>
  <c r="FV151" i="2"/>
  <c r="FV152" i="2"/>
  <c r="FV153" i="2"/>
  <c r="FV154" i="2"/>
  <c r="FV155" i="2"/>
  <c r="FV156" i="2"/>
  <c r="FV157" i="2"/>
  <c r="FV158" i="2"/>
  <c r="FV159" i="2"/>
  <c r="FV160" i="2"/>
  <c r="FV161" i="2"/>
  <c r="FV162" i="2"/>
  <c r="FV163" i="2"/>
  <c r="FV164" i="2"/>
  <c r="FV165" i="2"/>
  <c r="FV166" i="2"/>
  <c r="FV167" i="2"/>
  <c r="FV168" i="2"/>
  <c r="FV169" i="2"/>
  <c r="FV170" i="2"/>
  <c r="FV171" i="2"/>
  <c r="FV172" i="2"/>
  <c r="FV173" i="2"/>
  <c r="FV174" i="2"/>
  <c r="FV175" i="2"/>
  <c r="FV176" i="2"/>
  <c r="FV177" i="2"/>
  <c r="FV178" i="2"/>
  <c r="FV179" i="2"/>
  <c r="FV180" i="2"/>
  <c r="FV181" i="2"/>
  <c r="FV182" i="2"/>
  <c r="FV183" i="2"/>
  <c r="FV184" i="2"/>
  <c r="FV185" i="2"/>
  <c r="FV186" i="2"/>
  <c r="FV187" i="2"/>
  <c r="FV188" i="2"/>
  <c r="FV189" i="2"/>
  <c r="FV190" i="2"/>
  <c r="FV191" i="2"/>
  <c r="FV192" i="2"/>
  <c r="FV193" i="2"/>
  <c r="FV194" i="2"/>
  <c r="FV195" i="2"/>
  <c r="FV196" i="2"/>
  <c r="FV197" i="2"/>
  <c r="FV198" i="2"/>
  <c r="FV199" i="2"/>
  <c r="FV200" i="2"/>
  <c r="FV201" i="2"/>
  <c r="GL14" i="2"/>
  <c r="GL15" i="2"/>
  <c r="GL16" i="2"/>
  <c r="GL17" i="2"/>
  <c r="GL18" i="2"/>
  <c r="GL19" i="2"/>
  <c r="GL20" i="2"/>
  <c r="GL21" i="2"/>
  <c r="GL22" i="2"/>
  <c r="GL23" i="2"/>
  <c r="GL24" i="2"/>
  <c r="GL25" i="2"/>
  <c r="GL26" i="2"/>
  <c r="GL27" i="2"/>
  <c r="GL28" i="2"/>
  <c r="GL29" i="2"/>
  <c r="GL30" i="2"/>
  <c r="GL31" i="2"/>
  <c r="GL32" i="2"/>
  <c r="GL33" i="2"/>
  <c r="GL34" i="2"/>
  <c r="GL35" i="2"/>
  <c r="GL36" i="2"/>
  <c r="GL37" i="2"/>
  <c r="GL38" i="2"/>
  <c r="GL39" i="2"/>
  <c r="GL40" i="2"/>
  <c r="GL41" i="2"/>
  <c r="GL42" i="2"/>
  <c r="GL43" i="2"/>
  <c r="GL44" i="2"/>
  <c r="GL45" i="2"/>
  <c r="GL46" i="2"/>
  <c r="GL47" i="2"/>
  <c r="GL48" i="2"/>
  <c r="GL49" i="2"/>
  <c r="GL50" i="2"/>
  <c r="GL51" i="2"/>
  <c r="GL52" i="2"/>
  <c r="GL53" i="2"/>
  <c r="GL54" i="2"/>
  <c r="GL55" i="2"/>
  <c r="GL56" i="2"/>
  <c r="GL57" i="2"/>
  <c r="GL58" i="2"/>
  <c r="GL59" i="2"/>
  <c r="GL60" i="2"/>
  <c r="GL61" i="2"/>
  <c r="GL62" i="2"/>
  <c r="GL63" i="2"/>
  <c r="GL64" i="2"/>
  <c r="GL65" i="2"/>
  <c r="GL66" i="2"/>
  <c r="GL67" i="2"/>
  <c r="GL68" i="2"/>
  <c r="GL69" i="2"/>
  <c r="GL70" i="2"/>
  <c r="GL71" i="2"/>
  <c r="GL72" i="2"/>
  <c r="GL73" i="2"/>
  <c r="GL74" i="2"/>
  <c r="GL75" i="2"/>
  <c r="GL76" i="2"/>
  <c r="GL77" i="2"/>
  <c r="GL78" i="2"/>
  <c r="GL79" i="2"/>
  <c r="GL80" i="2"/>
  <c r="GL81" i="2"/>
  <c r="GL82" i="2"/>
  <c r="GL83" i="2"/>
  <c r="GL84" i="2"/>
  <c r="GL85" i="2"/>
  <c r="GL86" i="2"/>
  <c r="GL87" i="2"/>
  <c r="GL88" i="2"/>
  <c r="GL89" i="2"/>
  <c r="GL90" i="2"/>
  <c r="GL91" i="2"/>
  <c r="GL92" i="2"/>
  <c r="GL93" i="2"/>
  <c r="GL94" i="2"/>
  <c r="GL95" i="2"/>
  <c r="GL96" i="2"/>
  <c r="GL97" i="2"/>
  <c r="GL98" i="2"/>
  <c r="GL99" i="2"/>
  <c r="GL100" i="2"/>
  <c r="GL101" i="2"/>
  <c r="GL102" i="2"/>
  <c r="GL103" i="2"/>
  <c r="GL104" i="2"/>
  <c r="GL105" i="2"/>
  <c r="GL106" i="2"/>
  <c r="GL107" i="2"/>
  <c r="GL108" i="2"/>
  <c r="GL109" i="2"/>
  <c r="GL110" i="2"/>
  <c r="GL111" i="2"/>
  <c r="GL112" i="2"/>
  <c r="GL113" i="2"/>
  <c r="GL114" i="2"/>
  <c r="GL115" i="2"/>
  <c r="GL116" i="2"/>
  <c r="GL117" i="2"/>
  <c r="GL118" i="2"/>
  <c r="GL119" i="2"/>
  <c r="GL120" i="2"/>
  <c r="GL121" i="2"/>
  <c r="GL122" i="2"/>
  <c r="GL123" i="2"/>
  <c r="GL124" i="2"/>
  <c r="GL125" i="2"/>
  <c r="GL126" i="2"/>
  <c r="GL127" i="2"/>
  <c r="GL128" i="2"/>
  <c r="GL129" i="2"/>
  <c r="GL130" i="2"/>
  <c r="GL131" i="2"/>
  <c r="GL132" i="2"/>
  <c r="GL133" i="2"/>
  <c r="GL134" i="2"/>
  <c r="GL135" i="2"/>
  <c r="GL136" i="2"/>
  <c r="GL137" i="2"/>
  <c r="GL138" i="2"/>
  <c r="GL139" i="2"/>
  <c r="GL140" i="2"/>
  <c r="GL141" i="2"/>
  <c r="GL142" i="2"/>
  <c r="GL143" i="2"/>
  <c r="GL144" i="2"/>
  <c r="GL145" i="2"/>
  <c r="GL146" i="2"/>
  <c r="GL147" i="2"/>
  <c r="GL148" i="2"/>
  <c r="GL149" i="2"/>
  <c r="GL150" i="2"/>
  <c r="GL151" i="2"/>
  <c r="GL152" i="2"/>
  <c r="GL153" i="2"/>
  <c r="GL154" i="2"/>
  <c r="GL155" i="2"/>
  <c r="GL156" i="2"/>
  <c r="GL157" i="2"/>
  <c r="GL158" i="2"/>
  <c r="GL159" i="2"/>
  <c r="GL160" i="2"/>
  <c r="GL161" i="2"/>
  <c r="GL162" i="2"/>
  <c r="GL163" i="2"/>
  <c r="GL164" i="2"/>
  <c r="GL165" i="2"/>
  <c r="GL166" i="2"/>
  <c r="GL167" i="2"/>
  <c r="GL168" i="2"/>
  <c r="GL169" i="2"/>
  <c r="GL170" i="2"/>
  <c r="GL171" i="2"/>
  <c r="GL172" i="2"/>
  <c r="GL173" i="2"/>
  <c r="GL174" i="2"/>
  <c r="GL175" i="2"/>
  <c r="GL176" i="2"/>
  <c r="GL177" i="2"/>
  <c r="GL178" i="2"/>
  <c r="GL179" i="2"/>
  <c r="GL180" i="2"/>
  <c r="GL181" i="2"/>
  <c r="GL182" i="2"/>
  <c r="GL183" i="2"/>
  <c r="GL184" i="2"/>
  <c r="GL185" i="2"/>
  <c r="GL186" i="2"/>
  <c r="GL187" i="2"/>
  <c r="GL188" i="2"/>
  <c r="GL189" i="2"/>
  <c r="GL190" i="2"/>
  <c r="GL191" i="2"/>
  <c r="GL192" i="2"/>
  <c r="GL193" i="2"/>
  <c r="GL194" i="2"/>
  <c r="GL195" i="2"/>
  <c r="GL196" i="2"/>
  <c r="GL197" i="2"/>
  <c r="GL198" i="2"/>
  <c r="GL199" i="2"/>
  <c r="GL200" i="2"/>
  <c r="GL201" i="2"/>
  <c r="BH2" i="2"/>
  <c r="BH3" i="2"/>
  <c r="BH4" i="2"/>
  <c r="BH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40" i="2"/>
  <c r="BH41" i="2"/>
  <c r="BH42" i="2"/>
  <c r="BH43" i="2"/>
  <c r="BH44" i="2"/>
  <c r="BH45" i="2"/>
  <c r="BH46" i="2"/>
  <c r="BH47" i="2"/>
  <c r="BH48" i="2"/>
  <c r="BH49" i="2"/>
  <c r="BH50" i="2"/>
  <c r="BH51" i="2"/>
  <c r="BH52" i="2"/>
  <c r="BH53" i="2"/>
  <c r="BH54" i="2"/>
  <c r="BH55" i="2"/>
  <c r="BH56" i="2"/>
  <c r="BH57" i="2"/>
  <c r="BH58" i="2"/>
  <c r="BH59" i="2"/>
  <c r="BH60" i="2"/>
  <c r="BH61" i="2"/>
  <c r="BH62" i="2"/>
  <c r="BH63" i="2"/>
  <c r="BH64" i="2"/>
  <c r="BH65" i="2"/>
  <c r="BH66" i="2"/>
  <c r="BH67" i="2"/>
  <c r="BH68" i="2"/>
  <c r="BH69" i="2"/>
  <c r="BH70" i="2"/>
  <c r="BH71" i="2"/>
  <c r="BH72" i="2"/>
  <c r="BH73" i="2"/>
  <c r="BH74" i="2"/>
  <c r="BH75" i="2"/>
  <c r="BH76" i="2"/>
  <c r="BH77" i="2"/>
  <c r="BH78" i="2"/>
  <c r="BH79" i="2"/>
  <c r="BH80" i="2"/>
  <c r="BH81" i="2"/>
  <c r="BH82" i="2"/>
  <c r="BH83" i="2"/>
  <c r="BH84" i="2"/>
  <c r="BH85" i="2"/>
  <c r="BH86" i="2"/>
  <c r="BH87" i="2"/>
  <c r="BH88" i="2"/>
  <c r="BH89" i="2"/>
  <c r="BH90" i="2"/>
  <c r="BH91" i="2"/>
  <c r="BH92" i="2"/>
  <c r="BH93" i="2"/>
  <c r="BH94" i="2"/>
  <c r="BH95" i="2"/>
  <c r="BH96" i="2"/>
  <c r="BH97" i="2"/>
  <c r="BH98" i="2"/>
  <c r="BH99" i="2"/>
  <c r="BH100" i="2"/>
  <c r="BH101" i="2"/>
  <c r="BH102" i="2"/>
  <c r="BH103" i="2"/>
  <c r="BH104" i="2"/>
  <c r="BH105" i="2"/>
  <c r="BH106" i="2"/>
  <c r="BH107" i="2"/>
  <c r="BH108" i="2"/>
  <c r="BH109" i="2"/>
  <c r="BH110" i="2"/>
  <c r="BH111" i="2"/>
  <c r="BH112" i="2"/>
  <c r="BH113" i="2"/>
  <c r="BH114" i="2"/>
  <c r="BH115" i="2"/>
  <c r="BH116" i="2"/>
  <c r="BH117" i="2"/>
  <c r="BH118" i="2"/>
  <c r="BH119" i="2"/>
  <c r="BH120" i="2"/>
  <c r="BH121" i="2"/>
  <c r="BH122" i="2"/>
  <c r="BH123" i="2"/>
  <c r="BH124" i="2"/>
  <c r="BH125" i="2"/>
  <c r="BH126" i="2"/>
  <c r="BH127" i="2"/>
  <c r="BH128" i="2"/>
  <c r="BH129" i="2"/>
  <c r="BH130" i="2"/>
  <c r="BH131" i="2"/>
  <c r="BH132" i="2"/>
  <c r="BH133" i="2"/>
  <c r="BH134" i="2"/>
  <c r="BH135" i="2"/>
  <c r="BH136" i="2"/>
  <c r="BH137" i="2"/>
  <c r="BH138" i="2"/>
  <c r="BH139" i="2"/>
  <c r="BH140" i="2"/>
  <c r="BH141" i="2"/>
  <c r="BH142" i="2"/>
  <c r="BH143" i="2"/>
  <c r="BH144" i="2"/>
  <c r="BH145" i="2"/>
  <c r="BH146" i="2"/>
  <c r="BH147" i="2"/>
  <c r="BH148" i="2"/>
  <c r="BH149" i="2"/>
  <c r="BH150" i="2"/>
  <c r="BH151" i="2"/>
  <c r="BH152" i="2"/>
  <c r="BH153" i="2"/>
  <c r="BH154" i="2"/>
  <c r="BH155" i="2"/>
  <c r="BH156" i="2"/>
  <c r="BH157" i="2"/>
  <c r="BH158" i="2"/>
  <c r="BH159" i="2"/>
  <c r="BH160" i="2"/>
  <c r="BH161" i="2"/>
  <c r="BH162" i="2"/>
  <c r="BH163" i="2"/>
  <c r="BH164" i="2"/>
  <c r="BH165" i="2"/>
  <c r="BH166" i="2"/>
  <c r="BH167" i="2"/>
  <c r="BH168" i="2"/>
  <c r="BH169" i="2"/>
  <c r="BH170" i="2"/>
  <c r="BH171" i="2"/>
  <c r="BH172" i="2"/>
  <c r="BH173" i="2"/>
  <c r="BH174" i="2"/>
  <c r="BH175" i="2"/>
  <c r="BH176" i="2"/>
  <c r="BH177" i="2"/>
  <c r="BH178" i="2"/>
  <c r="BH179" i="2"/>
  <c r="BH180" i="2"/>
  <c r="BH181" i="2"/>
  <c r="BH182" i="2"/>
  <c r="BH183" i="2"/>
  <c r="BH184" i="2"/>
  <c r="BH185" i="2"/>
  <c r="BH186" i="2"/>
  <c r="BH187" i="2"/>
  <c r="BH188" i="2"/>
  <c r="BH189" i="2"/>
  <c r="BH190" i="2"/>
  <c r="BH191" i="2"/>
  <c r="BH192" i="2"/>
  <c r="BH193" i="2"/>
  <c r="BH194" i="2"/>
  <c r="BH195" i="2"/>
  <c r="BH196" i="2"/>
  <c r="BH197" i="2"/>
  <c r="BH198" i="2"/>
  <c r="BH199" i="2"/>
  <c r="BH200" i="2"/>
  <c r="BH201" i="2"/>
  <c r="B27" i="5"/>
  <c r="GZ2" i="2"/>
  <c r="GE9" i="2"/>
  <c r="HB2" i="2"/>
  <c r="HC2" i="2"/>
  <c r="GZ3" i="2"/>
  <c r="HC3" i="2"/>
  <c r="GZ4" i="2"/>
  <c r="HC4" i="2"/>
  <c r="GZ5" i="2"/>
  <c r="HC5" i="2"/>
  <c r="GZ6" i="2"/>
  <c r="HC6" i="2"/>
  <c r="GZ7" i="2"/>
  <c r="HC7" i="2"/>
  <c r="GZ8" i="2"/>
  <c r="HC8" i="2"/>
  <c r="GZ9" i="2"/>
  <c r="HC9" i="2"/>
  <c r="GZ10" i="2"/>
  <c r="HC10" i="2"/>
  <c r="GZ11" i="2"/>
  <c r="HC11" i="2"/>
  <c r="GZ12" i="2"/>
  <c r="HC12" i="2"/>
  <c r="GZ13" i="2"/>
  <c r="HC13" i="2"/>
  <c r="GZ14" i="2"/>
  <c r="HC14" i="2"/>
  <c r="GZ15" i="2"/>
  <c r="HC15" i="2"/>
  <c r="GZ16" i="2"/>
  <c r="HC16" i="2"/>
  <c r="GZ17" i="2"/>
  <c r="HC17" i="2"/>
  <c r="GZ18" i="2"/>
  <c r="HC18" i="2"/>
  <c r="GZ19" i="2"/>
  <c r="HC19" i="2"/>
  <c r="GZ20" i="2"/>
  <c r="HC20" i="2"/>
  <c r="GZ21" i="2"/>
  <c r="HC21" i="2"/>
  <c r="GZ22" i="2"/>
  <c r="HC22" i="2"/>
  <c r="GZ23" i="2"/>
  <c r="HC23" i="2"/>
  <c r="GZ24" i="2"/>
  <c r="HC24" i="2"/>
  <c r="GZ25" i="2"/>
  <c r="HC25" i="2"/>
  <c r="GZ26" i="2"/>
  <c r="HC26" i="2"/>
  <c r="GZ27" i="2"/>
  <c r="HC27" i="2"/>
  <c r="GZ28" i="2"/>
  <c r="HC28" i="2"/>
  <c r="GZ29" i="2"/>
  <c r="HC29" i="2"/>
  <c r="GZ30" i="2"/>
  <c r="HC30" i="2"/>
  <c r="GZ31" i="2"/>
  <c r="HC31" i="2"/>
  <c r="GZ32" i="2"/>
  <c r="HC32" i="2"/>
  <c r="GZ33" i="2"/>
  <c r="HC33" i="2"/>
  <c r="GZ34" i="2"/>
  <c r="HC34" i="2"/>
  <c r="GZ35" i="2"/>
  <c r="HC35" i="2"/>
  <c r="GZ36" i="2"/>
  <c r="HC36" i="2"/>
  <c r="GZ37" i="2"/>
  <c r="HC37" i="2"/>
  <c r="GZ38" i="2"/>
  <c r="HC38" i="2"/>
  <c r="GZ39" i="2"/>
  <c r="HC39" i="2"/>
  <c r="GZ40" i="2"/>
  <c r="HC40" i="2"/>
  <c r="GZ41" i="2"/>
  <c r="HC41" i="2"/>
  <c r="GT2" i="2"/>
  <c r="GT3" i="2"/>
  <c r="GT4" i="2"/>
  <c r="GT5" i="2"/>
  <c r="GT6" i="2"/>
  <c r="GT7" i="2"/>
  <c r="GT8" i="2"/>
  <c r="GT9" i="2"/>
  <c r="GT10" i="2"/>
  <c r="GT11" i="2"/>
  <c r="GT12" i="2"/>
  <c r="GT13" i="2"/>
  <c r="GT14" i="2"/>
  <c r="GT15" i="2"/>
  <c r="GT16" i="2"/>
  <c r="GT17" i="2"/>
  <c r="GT18" i="2"/>
  <c r="GT19" i="2"/>
  <c r="GT20" i="2"/>
  <c r="GT21" i="2"/>
  <c r="GT22" i="2"/>
  <c r="GT23" i="2"/>
  <c r="GT24" i="2"/>
  <c r="GT25" i="2"/>
  <c r="GT26" i="2"/>
  <c r="GT27" i="2"/>
  <c r="GT28" i="2"/>
  <c r="GT29" i="2"/>
  <c r="GT30" i="2"/>
  <c r="GT31" i="2"/>
  <c r="GT32" i="2"/>
  <c r="GT33" i="2"/>
  <c r="GT34" i="2"/>
  <c r="GT35" i="2"/>
  <c r="GT36" i="2"/>
  <c r="GT37" i="2"/>
  <c r="GT38" i="2"/>
  <c r="GT39" i="2"/>
  <c r="GT40" i="2"/>
  <c r="GT41" i="2"/>
  <c r="GT42" i="2"/>
  <c r="GT43" i="2"/>
  <c r="GT44" i="2"/>
  <c r="GT45" i="2"/>
  <c r="GT46" i="2"/>
  <c r="GT47" i="2"/>
  <c r="GT48" i="2"/>
  <c r="GT49" i="2"/>
  <c r="GT50" i="2"/>
  <c r="GT51" i="2"/>
  <c r="GT52" i="2"/>
  <c r="GT53" i="2"/>
  <c r="GT54" i="2"/>
  <c r="GT55" i="2"/>
  <c r="GT56" i="2"/>
  <c r="GT57" i="2"/>
  <c r="GT58" i="2"/>
  <c r="GT59" i="2"/>
  <c r="GT60" i="2"/>
  <c r="GT61" i="2"/>
  <c r="GT62" i="2"/>
  <c r="GT63" i="2"/>
  <c r="GT64" i="2"/>
  <c r="GT65" i="2"/>
  <c r="GT66" i="2"/>
  <c r="GT67" i="2"/>
  <c r="GT68" i="2"/>
  <c r="GT69" i="2"/>
  <c r="GT70" i="2"/>
  <c r="GT71" i="2"/>
  <c r="GT72" i="2"/>
  <c r="GT73" i="2"/>
  <c r="GT74" i="2"/>
  <c r="GT75" i="2"/>
  <c r="GT76" i="2"/>
  <c r="GT77" i="2"/>
  <c r="GT78" i="2"/>
  <c r="GT79" i="2"/>
  <c r="GT80" i="2"/>
  <c r="GT81" i="2"/>
  <c r="GT82" i="2"/>
  <c r="GT83" i="2"/>
  <c r="GT84" i="2"/>
  <c r="GT85" i="2"/>
  <c r="GT86" i="2"/>
  <c r="GT87" i="2"/>
  <c r="GT88" i="2"/>
  <c r="GT89" i="2"/>
  <c r="GT90" i="2"/>
  <c r="GT91" i="2"/>
  <c r="GT92" i="2"/>
  <c r="GT93" i="2"/>
  <c r="GT94" i="2"/>
  <c r="GT95" i="2"/>
  <c r="GT96" i="2"/>
  <c r="GT97" i="2"/>
  <c r="GT98" i="2"/>
  <c r="GT99" i="2"/>
  <c r="GT100" i="2"/>
  <c r="GT101" i="2"/>
  <c r="GT102" i="2"/>
  <c r="GT103" i="2"/>
  <c r="GT104" i="2"/>
  <c r="GT105" i="2"/>
  <c r="GT106" i="2"/>
  <c r="GT107" i="2"/>
  <c r="GT108" i="2"/>
  <c r="GT109" i="2"/>
  <c r="GT110" i="2"/>
  <c r="GT111" i="2"/>
  <c r="GT112" i="2"/>
  <c r="GT113" i="2"/>
  <c r="GT114" i="2"/>
  <c r="GT115" i="2"/>
  <c r="GT116" i="2"/>
  <c r="GT117" i="2"/>
  <c r="GT118" i="2"/>
  <c r="GT119" i="2"/>
  <c r="GT120" i="2"/>
  <c r="GT121" i="2"/>
  <c r="GT122" i="2"/>
  <c r="GT123" i="2"/>
  <c r="GT124" i="2"/>
  <c r="GT125" i="2"/>
  <c r="GT126" i="2"/>
  <c r="GT127" i="2"/>
  <c r="GT128" i="2"/>
  <c r="GT129" i="2"/>
  <c r="GT130" i="2"/>
  <c r="GT131" i="2"/>
  <c r="GT132" i="2"/>
  <c r="GT133" i="2"/>
  <c r="GT134" i="2"/>
  <c r="GT135" i="2"/>
  <c r="GT136" i="2"/>
  <c r="GT137" i="2"/>
  <c r="GT138" i="2"/>
  <c r="GT139" i="2"/>
  <c r="GT140" i="2"/>
  <c r="GT141" i="2"/>
  <c r="GT142" i="2"/>
  <c r="GT143" i="2"/>
  <c r="GT144" i="2"/>
  <c r="GT145" i="2"/>
  <c r="GT146" i="2"/>
  <c r="GT147" i="2"/>
  <c r="GT148" i="2"/>
  <c r="GT149" i="2"/>
  <c r="GT150" i="2"/>
  <c r="GT151" i="2"/>
  <c r="GT152" i="2"/>
  <c r="GT153" i="2"/>
  <c r="GT154" i="2"/>
  <c r="GT155" i="2"/>
  <c r="GT156" i="2"/>
  <c r="GT157" i="2"/>
  <c r="GT158" i="2"/>
  <c r="GT159" i="2"/>
  <c r="GT160" i="2"/>
  <c r="GT161" i="2"/>
  <c r="GT162" i="2"/>
  <c r="GT163" i="2"/>
  <c r="GT164" i="2"/>
  <c r="GT165" i="2"/>
  <c r="GT166" i="2"/>
  <c r="GT167" i="2"/>
  <c r="GT168" i="2"/>
  <c r="GT169" i="2"/>
  <c r="GT170" i="2"/>
  <c r="GT171" i="2"/>
  <c r="GT172" i="2"/>
  <c r="GT173" i="2"/>
  <c r="GT174" i="2"/>
  <c r="GT175" i="2"/>
  <c r="GT176" i="2"/>
  <c r="GT177" i="2"/>
  <c r="GT178" i="2"/>
  <c r="GT179" i="2"/>
  <c r="GT180" i="2"/>
  <c r="GT181" i="2"/>
  <c r="GT182" i="2"/>
  <c r="GT183" i="2"/>
  <c r="GT184" i="2"/>
  <c r="GT185" i="2"/>
  <c r="GT186" i="2"/>
  <c r="GT187" i="2"/>
  <c r="GT188" i="2"/>
  <c r="GT189" i="2"/>
  <c r="GT190" i="2"/>
  <c r="GT191" i="2"/>
  <c r="GT192" i="2"/>
  <c r="GT193" i="2"/>
  <c r="GT194" i="2"/>
  <c r="GT195" i="2"/>
  <c r="GT196" i="2"/>
  <c r="GT197" i="2"/>
  <c r="GT198" i="2"/>
  <c r="GT199" i="2"/>
  <c r="GT200" i="2"/>
  <c r="GT201" i="2"/>
  <c r="GW17" i="2"/>
  <c r="GD9" i="2"/>
  <c r="HA2" i="2"/>
  <c r="HA3" i="2"/>
  <c r="HA4" i="2"/>
  <c r="HA5" i="2"/>
  <c r="HA6" i="2"/>
  <c r="HA7" i="2"/>
  <c r="HA8" i="2"/>
  <c r="HA9" i="2"/>
  <c r="HA10" i="2"/>
  <c r="HA11" i="2"/>
  <c r="HA12" i="2"/>
  <c r="HA13" i="2"/>
  <c r="HA14" i="2"/>
  <c r="HA15" i="2"/>
  <c r="HA16" i="2"/>
  <c r="HA17" i="2"/>
  <c r="HA18" i="2"/>
  <c r="HA19" i="2"/>
  <c r="HA20" i="2"/>
  <c r="HA21" i="2"/>
  <c r="HA22" i="2"/>
  <c r="HA23" i="2"/>
  <c r="HA24" i="2"/>
  <c r="HA25" i="2"/>
  <c r="HA26" i="2"/>
  <c r="HA27" i="2"/>
  <c r="HA28" i="2"/>
  <c r="HA29" i="2"/>
  <c r="HA30" i="2"/>
  <c r="HA31" i="2"/>
  <c r="HA32" i="2"/>
  <c r="HA33" i="2"/>
  <c r="HA34" i="2"/>
  <c r="HA35" i="2"/>
  <c r="HA36" i="2"/>
  <c r="HA37" i="2"/>
  <c r="HA38" i="2"/>
  <c r="HA39" i="2"/>
  <c r="HA40" i="2"/>
  <c r="HA41" i="2"/>
  <c r="FT2" i="2"/>
  <c r="FT3" i="2"/>
  <c r="FT4" i="2"/>
  <c r="FT5" i="2"/>
  <c r="FT6" i="2"/>
  <c r="FT7" i="2"/>
  <c r="FT8" i="2"/>
  <c r="FT9" i="2"/>
  <c r="FT10" i="2"/>
  <c r="FT11" i="2"/>
  <c r="FT12" i="2"/>
  <c r="FT13" i="2"/>
  <c r="FT14" i="2"/>
  <c r="FT15" i="2"/>
  <c r="FT16" i="2"/>
  <c r="FT17" i="2"/>
  <c r="FT18" i="2"/>
  <c r="FT19" i="2"/>
  <c r="FT20" i="2"/>
  <c r="FT21" i="2"/>
  <c r="FT22" i="2"/>
  <c r="FT23" i="2"/>
  <c r="FT24" i="2"/>
  <c r="FT25" i="2"/>
  <c r="FT26" i="2"/>
  <c r="FT27" i="2"/>
  <c r="FT28" i="2"/>
  <c r="FT29" i="2"/>
  <c r="FT30" i="2"/>
  <c r="FT31" i="2"/>
  <c r="FT32" i="2"/>
  <c r="FT33" i="2"/>
  <c r="FT34" i="2"/>
  <c r="FT35" i="2"/>
  <c r="FT36" i="2"/>
  <c r="FT37" i="2"/>
  <c r="FT38" i="2"/>
  <c r="FT39" i="2"/>
  <c r="FT40" i="2"/>
  <c r="FT41" i="2"/>
  <c r="FT42" i="2"/>
  <c r="FT43" i="2"/>
  <c r="FT44" i="2"/>
  <c r="FT45" i="2"/>
  <c r="FT46" i="2"/>
  <c r="FT47" i="2"/>
  <c r="FT48" i="2"/>
  <c r="FT49" i="2"/>
  <c r="FT50" i="2"/>
  <c r="FT51" i="2"/>
  <c r="FT52" i="2"/>
  <c r="FT53" i="2"/>
  <c r="FT54" i="2"/>
  <c r="FT55" i="2"/>
  <c r="FT56" i="2"/>
  <c r="FT57" i="2"/>
  <c r="FT58" i="2"/>
  <c r="FT59" i="2"/>
  <c r="FT60" i="2"/>
  <c r="FT61" i="2"/>
  <c r="FT62" i="2"/>
  <c r="FT63" i="2"/>
  <c r="FT64" i="2"/>
  <c r="FT65" i="2"/>
  <c r="FT66" i="2"/>
  <c r="FT67" i="2"/>
  <c r="FT68" i="2"/>
  <c r="FT69" i="2"/>
  <c r="FT70" i="2"/>
  <c r="FT71" i="2"/>
  <c r="FT72" i="2"/>
  <c r="FT73" i="2"/>
  <c r="FT74" i="2"/>
  <c r="FT75" i="2"/>
  <c r="FT76" i="2"/>
  <c r="FT77" i="2"/>
  <c r="FT78" i="2"/>
  <c r="FT79" i="2"/>
  <c r="FT80" i="2"/>
  <c r="FT81" i="2"/>
  <c r="FT82" i="2"/>
  <c r="FT83" i="2"/>
  <c r="FT84" i="2"/>
  <c r="FT85" i="2"/>
  <c r="FT86" i="2"/>
  <c r="FT87" i="2"/>
  <c r="FT88" i="2"/>
  <c r="FT89" i="2"/>
  <c r="FT90" i="2"/>
  <c r="FT91" i="2"/>
  <c r="FT92" i="2"/>
  <c r="FT93" i="2"/>
  <c r="FT94" i="2"/>
  <c r="FT95" i="2"/>
  <c r="FT96" i="2"/>
  <c r="FT97" i="2"/>
  <c r="FT98" i="2"/>
  <c r="FT99" i="2"/>
  <c r="FT100" i="2"/>
  <c r="FT101" i="2"/>
  <c r="FT102" i="2"/>
  <c r="FT103" i="2"/>
  <c r="FT104" i="2"/>
  <c r="FT105" i="2"/>
  <c r="FT106" i="2"/>
  <c r="FT107" i="2"/>
  <c r="FT108" i="2"/>
  <c r="FT109" i="2"/>
  <c r="FT110" i="2"/>
  <c r="FT111" i="2"/>
  <c r="FT112" i="2"/>
  <c r="FT113" i="2"/>
  <c r="FT114" i="2"/>
  <c r="FT115" i="2"/>
  <c r="FT116" i="2"/>
  <c r="FT117" i="2"/>
  <c r="FT118" i="2"/>
  <c r="FT119" i="2"/>
  <c r="FT120" i="2"/>
  <c r="FT121" i="2"/>
  <c r="FT122" i="2"/>
  <c r="FT123" i="2"/>
  <c r="FT124" i="2"/>
  <c r="FT125" i="2"/>
  <c r="FT126" i="2"/>
  <c r="FT127" i="2"/>
  <c r="FT128" i="2"/>
  <c r="FT129" i="2"/>
  <c r="FT130" i="2"/>
  <c r="FT131" i="2"/>
  <c r="FT132" i="2"/>
  <c r="FT133" i="2"/>
  <c r="FT134" i="2"/>
  <c r="FT135" i="2"/>
  <c r="FT136" i="2"/>
  <c r="FT137" i="2"/>
  <c r="FT138" i="2"/>
  <c r="FT139" i="2"/>
  <c r="FT140" i="2"/>
  <c r="FT141" i="2"/>
  <c r="FT142" i="2"/>
  <c r="FT143" i="2"/>
  <c r="FT144" i="2"/>
  <c r="FT145" i="2"/>
  <c r="FT146" i="2"/>
  <c r="FT147" i="2"/>
  <c r="FT148" i="2"/>
  <c r="FT149" i="2"/>
  <c r="FT150" i="2"/>
  <c r="FT151" i="2"/>
  <c r="FT152" i="2"/>
  <c r="FT153" i="2"/>
  <c r="FT154" i="2"/>
  <c r="FT155" i="2"/>
  <c r="FT156" i="2"/>
  <c r="FT157" i="2"/>
  <c r="FT158" i="2"/>
  <c r="FT159" i="2"/>
  <c r="FT160" i="2"/>
  <c r="FT161" i="2"/>
  <c r="FT162" i="2"/>
  <c r="FT163" i="2"/>
  <c r="FT164" i="2"/>
  <c r="FT165" i="2"/>
  <c r="FT166" i="2"/>
  <c r="FT167" i="2"/>
  <c r="FT168" i="2"/>
  <c r="FT169" i="2"/>
  <c r="FT170" i="2"/>
  <c r="FT171" i="2"/>
  <c r="FT172" i="2"/>
  <c r="FT173" i="2"/>
  <c r="FT174" i="2"/>
  <c r="FT175" i="2"/>
  <c r="FT176" i="2"/>
  <c r="FT177" i="2"/>
  <c r="FT178" i="2"/>
  <c r="FT179" i="2"/>
  <c r="FT180" i="2"/>
  <c r="FT181" i="2"/>
  <c r="FT182" i="2"/>
  <c r="FT183" i="2"/>
  <c r="FT184" i="2"/>
  <c r="FT185" i="2"/>
  <c r="FT186" i="2"/>
  <c r="FT187" i="2"/>
  <c r="FT188" i="2"/>
  <c r="FT189" i="2"/>
  <c r="FT190" i="2"/>
  <c r="FT191" i="2"/>
  <c r="FT192" i="2"/>
  <c r="FT193" i="2"/>
  <c r="FT194" i="2"/>
  <c r="FT195" i="2"/>
  <c r="FT196" i="2"/>
  <c r="FT197" i="2"/>
  <c r="FT198" i="2"/>
  <c r="FT199" i="2"/>
  <c r="FT200" i="2"/>
  <c r="FT201" i="2"/>
  <c r="GV3" i="2"/>
  <c r="HA1" i="2"/>
  <c r="L29" i="8"/>
  <c r="L39" i="8"/>
  <c r="L32" i="8"/>
  <c r="HD2" i="2"/>
  <c r="HD3" i="2"/>
  <c r="HD4" i="2"/>
  <c r="HD5" i="2"/>
  <c r="HD6" i="2"/>
  <c r="HD7" i="2"/>
  <c r="HD8" i="2"/>
  <c r="HD9" i="2"/>
  <c r="HD10" i="2"/>
  <c r="HD11" i="2"/>
  <c r="HD12" i="2"/>
  <c r="HD13" i="2"/>
  <c r="HD14" i="2"/>
  <c r="HD15" i="2"/>
  <c r="HD16" i="2"/>
  <c r="HD17" i="2"/>
  <c r="HD18" i="2"/>
  <c r="HD19" i="2"/>
  <c r="HD20" i="2"/>
  <c r="HD21" i="2"/>
  <c r="HD22" i="2"/>
  <c r="HD23" i="2"/>
  <c r="HD24" i="2"/>
  <c r="HD25" i="2"/>
  <c r="HD26" i="2"/>
  <c r="HD27" i="2"/>
  <c r="HD28" i="2"/>
  <c r="HD29" i="2"/>
  <c r="HD30" i="2"/>
  <c r="HD31" i="2"/>
  <c r="HD32" i="2"/>
  <c r="HD33" i="2"/>
  <c r="HD34" i="2"/>
  <c r="HD35" i="2"/>
  <c r="HD36" i="2"/>
  <c r="HD37" i="2"/>
  <c r="HD38" i="2"/>
  <c r="HD39" i="2"/>
  <c r="HD40" i="2"/>
  <c r="HD41" i="2"/>
  <c r="I37" i="8"/>
  <c r="I38" i="8"/>
  <c r="I30" i="8"/>
  <c r="GH11" i="2"/>
  <c r="GH12" i="2"/>
  <c r="I33" i="8"/>
  <c r="GH20" i="2"/>
  <c r="J2" i="1"/>
  <c r="DQ2" i="2"/>
  <c r="B4" i="9"/>
  <c r="DC2" i="2"/>
  <c r="DD2" i="2"/>
  <c r="J3" i="1"/>
  <c r="DC3" i="2"/>
  <c r="DD3" i="2"/>
  <c r="J4" i="1"/>
  <c r="DC4" i="2"/>
  <c r="DD4" i="2"/>
  <c r="J5" i="1"/>
  <c r="DC5" i="2"/>
  <c r="DD5" i="2"/>
  <c r="J6" i="1"/>
  <c r="DC6" i="2"/>
  <c r="DD6" i="2"/>
  <c r="J7" i="1"/>
  <c r="DC7" i="2"/>
  <c r="DD7" i="2"/>
  <c r="J8" i="1"/>
  <c r="DC8" i="2"/>
  <c r="DD8" i="2"/>
  <c r="J9" i="1"/>
  <c r="DC9" i="2"/>
  <c r="DD9" i="2"/>
  <c r="J10" i="1"/>
  <c r="DC10" i="2"/>
  <c r="DD10" i="2"/>
  <c r="J11" i="1"/>
  <c r="DC11" i="2"/>
  <c r="DD11" i="2"/>
  <c r="J12" i="1"/>
  <c r="DC12" i="2"/>
  <c r="DD12" i="2"/>
  <c r="J13" i="1"/>
  <c r="DC13" i="2"/>
  <c r="DD13" i="2"/>
  <c r="J14" i="1"/>
  <c r="DD14" i="2"/>
  <c r="J15" i="1"/>
  <c r="DD15" i="2"/>
  <c r="J16" i="1"/>
  <c r="DD16" i="2"/>
  <c r="J17" i="1"/>
  <c r="DD17" i="2"/>
  <c r="J18" i="1"/>
  <c r="DD18" i="2"/>
  <c r="J19" i="1"/>
  <c r="DD19" i="2"/>
  <c r="J20" i="1"/>
  <c r="DD20" i="2"/>
  <c r="J21" i="1"/>
  <c r="DD21" i="2"/>
  <c r="J22" i="1"/>
  <c r="DD22" i="2"/>
  <c r="J23" i="1"/>
  <c r="DD23" i="2"/>
  <c r="J24" i="1"/>
  <c r="DD24" i="2"/>
  <c r="J25" i="1"/>
  <c r="DD25" i="2"/>
  <c r="J26" i="1"/>
  <c r="DD26" i="2"/>
  <c r="J27" i="1"/>
  <c r="DD27" i="2"/>
  <c r="J28" i="1"/>
  <c r="DD28" i="2"/>
  <c r="J29" i="1"/>
  <c r="DD29" i="2"/>
  <c r="J30" i="1"/>
  <c r="DD30" i="2"/>
  <c r="J31" i="1"/>
  <c r="DD31" i="2"/>
  <c r="J32" i="1"/>
  <c r="DD32" i="2"/>
  <c r="J33" i="1"/>
  <c r="DD33" i="2"/>
  <c r="J34" i="1"/>
  <c r="DD34" i="2"/>
  <c r="J35" i="1"/>
  <c r="DD35" i="2"/>
  <c r="J36" i="1"/>
  <c r="DD36" i="2"/>
  <c r="J37" i="1"/>
  <c r="DD37" i="2"/>
  <c r="J38" i="1"/>
  <c r="DD38" i="2"/>
  <c r="J39" i="1"/>
  <c r="DD39" i="2"/>
  <c r="J40" i="1"/>
  <c r="DD40" i="2"/>
  <c r="J41" i="1"/>
  <c r="DD41" i="2"/>
  <c r="J42" i="1"/>
  <c r="DD42" i="2"/>
  <c r="J43" i="1"/>
  <c r="DD43" i="2"/>
  <c r="J44" i="1"/>
  <c r="DD44" i="2"/>
  <c r="J45" i="1"/>
  <c r="DD45" i="2"/>
  <c r="J46" i="1"/>
  <c r="DD46" i="2"/>
  <c r="J47" i="1"/>
  <c r="DD47" i="2"/>
  <c r="J48" i="1"/>
  <c r="DD48" i="2"/>
  <c r="J49" i="1"/>
  <c r="DD49" i="2"/>
  <c r="J50" i="1"/>
  <c r="DD50" i="2"/>
  <c r="J51" i="1"/>
  <c r="DD51" i="2"/>
  <c r="J52" i="1"/>
  <c r="DD52" i="2"/>
  <c r="J53" i="1"/>
  <c r="DD53" i="2"/>
  <c r="J54" i="1"/>
  <c r="DD54" i="2"/>
  <c r="J55" i="1"/>
  <c r="DD55" i="2"/>
  <c r="J56" i="1"/>
  <c r="DD56" i="2"/>
  <c r="J57" i="1"/>
  <c r="DD57" i="2"/>
  <c r="J58" i="1"/>
  <c r="DD58" i="2"/>
  <c r="J59" i="1"/>
  <c r="DD59" i="2"/>
  <c r="J60" i="1"/>
  <c r="DD60" i="2"/>
  <c r="J61" i="1"/>
  <c r="DD61" i="2"/>
  <c r="J62" i="1"/>
  <c r="DD62" i="2"/>
  <c r="J63" i="1"/>
  <c r="DD63" i="2"/>
  <c r="J64" i="1"/>
  <c r="DD64" i="2"/>
  <c r="J65" i="1"/>
  <c r="DD65" i="2"/>
  <c r="J66" i="1"/>
  <c r="DD66" i="2"/>
  <c r="J67" i="1"/>
  <c r="DD67" i="2"/>
  <c r="J68" i="1"/>
  <c r="DD68" i="2"/>
  <c r="J69" i="1"/>
  <c r="DD69" i="2"/>
  <c r="J70" i="1"/>
  <c r="DD70" i="2"/>
  <c r="J71" i="1"/>
  <c r="DD71" i="2"/>
  <c r="J72" i="1"/>
  <c r="DD72" i="2"/>
  <c r="J73" i="1"/>
  <c r="DD73" i="2"/>
  <c r="J74" i="1"/>
  <c r="DD74" i="2"/>
  <c r="J75" i="1"/>
  <c r="DD75" i="2"/>
  <c r="J76" i="1"/>
  <c r="DD76" i="2"/>
  <c r="J77" i="1"/>
  <c r="DD77" i="2"/>
  <c r="J78" i="1"/>
  <c r="DD78" i="2"/>
  <c r="J79" i="1"/>
  <c r="DD79" i="2"/>
  <c r="J80" i="1"/>
  <c r="DD80" i="2"/>
  <c r="J81" i="1"/>
  <c r="DD81" i="2"/>
  <c r="J82" i="1"/>
  <c r="DD82" i="2"/>
  <c r="J83" i="1"/>
  <c r="DD83" i="2"/>
  <c r="J84" i="1"/>
  <c r="DD84" i="2"/>
  <c r="J85" i="1"/>
  <c r="DD85" i="2"/>
  <c r="J86" i="1"/>
  <c r="DD86" i="2"/>
  <c r="J87" i="1"/>
  <c r="DD87" i="2"/>
  <c r="J88" i="1"/>
  <c r="DD88" i="2"/>
  <c r="J89" i="1"/>
  <c r="DD89" i="2"/>
  <c r="J90" i="1"/>
  <c r="DD90" i="2"/>
  <c r="J91" i="1"/>
  <c r="DD91" i="2"/>
  <c r="J92" i="1"/>
  <c r="DD92" i="2"/>
  <c r="J93" i="1"/>
  <c r="DD93" i="2"/>
  <c r="J94" i="1"/>
  <c r="DD94" i="2"/>
  <c r="J95" i="1"/>
  <c r="DD95" i="2"/>
  <c r="J96" i="1"/>
  <c r="DD96" i="2"/>
  <c r="J97" i="1"/>
  <c r="DD97" i="2"/>
  <c r="J98" i="1"/>
  <c r="DD98" i="2"/>
  <c r="J99" i="1"/>
  <c r="DD99" i="2"/>
  <c r="J100" i="1"/>
  <c r="DD100" i="2"/>
  <c r="J101" i="1"/>
  <c r="DD101" i="2"/>
  <c r="J102" i="1"/>
  <c r="DD102" i="2"/>
  <c r="J103" i="1"/>
  <c r="DD103" i="2"/>
  <c r="J104" i="1"/>
  <c r="DD104" i="2"/>
  <c r="J105" i="1"/>
  <c r="DD105" i="2"/>
  <c r="J106" i="1"/>
  <c r="DD106" i="2"/>
  <c r="J107" i="1"/>
  <c r="DD107" i="2"/>
  <c r="J108" i="1"/>
  <c r="DD108" i="2"/>
  <c r="J109" i="1"/>
  <c r="DD109" i="2"/>
  <c r="J110" i="1"/>
  <c r="DD110" i="2"/>
  <c r="J111" i="1"/>
  <c r="DD111" i="2"/>
  <c r="J112" i="1"/>
  <c r="DD112" i="2"/>
  <c r="J113" i="1"/>
  <c r="DD113" i="2"/>
  <c r="J114" i="1"/>
  <c r="DD114" i="2"/>
  <c r="J115" i="1"/>
  <c r="DD115" i="2"/>
  <c r="J116" i="1"/>
  <c r="DD116" i="2"/>
  <c r="J117" i="1"/>
  <c r="DD117" i="2"/>
  <c r="J118" i="1"/>
  <c r="DD118" i="2"/>
  <c r="J119" i="1"/>
  <c r="DD119" i="2"/>
  <c r="J120" i="1"/>
  <c r="DD120" i="2"/>
  <c r="J121" i="1"/>
  <c r="DD121" i="2"/>
  <c r="J122" i="1"/>
  <c r="DD122" i="2"/>
  <c r="J123" i="1"/>
  <c r="DD123" i="2"/>
  <c r="J124" i="1"/>
  <c r="DD124" i="2"/>
  <c r="J125" i="1"/>
  <c r="DD125" i="2"/>
  <c r="J126" i="1"/>
  <c r="DD126" i="2"/>
  <c r="J127" i="1"/>
  <c r="DD127" i="2"/>
  <c r="J128" i="1"/>
  <c r="DD128" i="2"/>
  <c r="J129" i="1"/>
  <c r="DD129" i="2"/>
  <c r="J130" i="1"/>
  <c r="DD130" i="2"/>
  <c r="J131" i="1"/>
  <c r="DD131" i="2"/>
  <c r="J132" i="1"/>
  <c r="DD132" i="2"/>
  <c r="J133" i="1"/>
  <c r="DD133" i="2"/>
  <c r="J134" i="1"/>
  <c r="DD134" i="2"/>
  <c r="J135" i="1"/>
  <c r="DD135" i="2"/>
  <c r="J136" i="1"/>
  <c r="DD136" i="2"/>
  <c r="J137" i="1"/>
  <c r="DD137" i="2"/>
  <c r="J138" i="1"/>
  <c r="DD138" i="2"/>
  <c r="J139" i="1"/>
  <c r="DD139" i="2"/>
  <c r="J140" i="1"/>
  <c r="DD140" i="2"/>
  <c r="J141" i="1"/>
  <c r="DD141" i="2"/>
  <c r="J142" i="1"/>
  <c r="DD142" i="2"/>
  <c r="J143" i="1"/>
  <c r="DD143" i="2"/>
  <c r="J144" i="1"/>
  <c r="DD144" i="2"/>
  <c r="J145" i="1"/>
  <c r="DD145" i="2"/>
  <c r="J146" i="1"/>
  <c r="DD146" i="2"/>
  <c r="J147" i="1"/>
  <c r="DD147" i="2"/>
  <c r="J148" i="1"/>
  <c r="DD148" i="2"/>
  <c r="J149" i="1"/>
  <c r="DD149" i="2"/>
  <c r="J150" i="1"/>
  <c r="DD150" i="2"/>
  <c r="J151" i="1"/>
  <c r="DD151" i="2"/>
  <c r="J152" i="1"/>
  <c r="DD152" i="2"/>
  <c r="J153" i="1"/>
  <c r="DD153" i="2"/>
  <c r="J154" i="1"/>
  <c r="DD154" i="2"/>
  <c r="J155" i="1"/>
  <c r="DD155" i="2"/>
  <c r="J156" i="1"/>
  <c r="DD156" i="2"/>
  <c r="J157" i="1"/>
  <c r="DD157" i="2"/>
  <c r="J158" i="1"/>
  <c r="DD158" i="2"/>
  <c r="J159" i="1"/>
  <c r="DD159" i="2"/>
  <c r="J160" i="1"/>
  <c r="DD160" i="2"/>
  <c r="J161" i="1"/>
  <c r="DD161" i="2"/>
  <c r="J162" i="1"/>
  <c r="DD162" i="2"/>
  <c r="J163" i="1"/>
  <c r="DD163" i="2"/>
  <c r="J164" i="1"/>
  <c r="DD164" i="2"/>
  <c r="J165" i="1"/>
  <c r="DD165" i="2"/>
  <c r="J166" i="1"/>
  <c r="DD166" i="2"/>
  <c r="J167" i="1"/>
  <c r="DD167" i="2"/>
  <c r="J168" i="1"/>
  <c r="DD168" i="2"/>
  <c r="J169" i="1"/>
  <c r="DD169" i="2"/>
  <c r="J170" i="1"/>
  <c r="DD170" i="2"/>
  <c r="J171" i="1"/>
  <c r="DD171" i="2"/>
  <c r="J172" i="1"/>
  <c r="DD172" i="2"/>
  <c r="J173" i="1"/>
  <c r="DD173" i="2"/>
  <c r="J174" i="1"/>
  <c r="DD174" i="2"/>
  <c r="J175" i="1"/>
  <c r="DD175" i="2"/>
  <c r="J176" i="1"/>
  <c r="DD176" i="2"/>
  <c r="J177" i="1"/>
  <c r="DD177" i="2"/>
  <c r="J178" i="1"/>
  <c r="DD178" i="2"/>
  <c r="J179" i="1"/>
  <c r="DD179" i="2"/>
  <c r="J180" i="1"/>
  <c r="DD180" i="2"/>
  <c r="J181" i="1"/>
  <c r="DD181" i="2"/>
  <c r="J182" i="1"/>
  <c r="DD182" i="2"/>
  <c r="J183" i="1"/>
  <c r="DD183" i="2"/>
  <c r="J184" i="1"/>
  <c r="DD184" i="2"/>
  <c r="J185" i="1"/>
  <c r="DD185" i="2"/>
  <c r="J186" i="1"/>
  <c r="DD186" i="2"/>
  <c r="J187" i="1"/>
  <c r="DD187" i="2"/>
  <c r="J188" i="1"/>
  <c r="DD188" i="2"/>
  <c r="J189" i="1"/>
  <c r="DD189" i="2"/>
  <c r="J190" i="1"/>
  <c r="DD190" i="2"/>
  <c r="J191" i="1"/>
  <c r="DD191" i="2"/>
  <c r="J192" i="1"/>
  <c r="DD192" i="2"/>
  <c r="J193" i="1"/>
  <c r="DD193" i="2"/>
  <c r="J194" i="1"/>
  <c r="DD194" i="2"/>
  <c r="J195" i="1"/>
  <c r="DD195" i="2"/>
  <c r="J196" i="1"/>
  <c r="DD196" i="2"/>
  <c r="J197" i="1"/>
  <c r="DD197" i="2"/>
  <c r="J198" i="1"/>
  <c r="DD198" i="2"/>
  <c r="J199" i="1"/>
  <c r="DD199" i="2"/>
  <c r="J200" i="1"/>
  <c r="DD200" i="2"/>
  <c r="J201" i="1"/>
  <c r="DD201" i="2"/>
  <c r="DB1" i="2"/>
  <c r="DB2" i="2"/>
  <c r="DB3" i="2"/>
  <c r="DB4" i="2"/>
  <c r="DB5" i="2"/>
  <c r="DB6" i="2"/>
  <c r="DB7" i="2"/>
  <c r="DB8" i="2"/>
  <c r="DB9" i="2"/>
  <c r="DB10" i="2"/>
  <c r="DB11" i="2"/>
  <c r="DB12" i="2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/>
  <c r="DB108" i="2"/>
  <c r="DB109" i="2"/>
  <c r="DB110" i="2"/>
  <c r="DB111" i="2"/>
  <c r="DB112" i="2"/>
  <c r="DB113" i="2"/>
  <c r="DB114" i="2"/>
  <c r="DB115" i="2"/>
  <c r="DB116" i="2"/>
  <c r="DB117" i="2"/>
  <c r="DB118" i="2"/>
  <c r="DB119" i="2"/>
  <c r="DB120" i="2"/>
  <c r="DB121" i="2"/>
  <c r="DB122" i="2"/>
  <c r="DB123" i="2"/>
  <c r="DB124" i="2"/>
  <c r="DB125" i="2"/>
  <c r="DB126" i="2"/>
  <c r="DB127" i="2"/>
  <c r="DB128" i="2"/>
  <c r="DB129" i="2"/>
  <c r="DB130" i="2"/>
  <c r="DB131" i="2"/>
  <c r="DB132" i="2"/>
  <c r="DB133" i="2"/>
  <c r="DB134" i="2"/>
  <c r="DB135" i="2"/>
  <c r="DB136" i="2"/>
  <c r="DB137" i="2"/>
  <c r="DB138" i="2"/>
  <c r="DB139" i="2"/>
  <c r="DB140" i="2"/>
  <c r="DB141" i="2"/>
  <c r="DB142" i="2"/>
  <c r="DB143" i="2"/>
  <c r="DB144" i="2"/>
  <c r="DB145" i="2"/>
  <c r="DB146" i="2"/>
  <c r="DB147" i="2"/>
  <c r="DB148" i="2"/>
  <c r="DB149" i="2"/>
  <c r="DB150" i="2"/>
  <c r="DB151" i="2"/>
  <c r="DB152" i="2"/>
  <c r="DB153" i="2"/>
  <c r="DB154" i="2"/>
  <c r="DB155" i="2"/>
  <c r="DB156" i="2"/>
  <c r="DB157" i="2"/>
  <c r="DB158" i="2"/>
  <c r="DB159" i="2"/>
  <c r="DB160" i="2"/>
  <c r="DB161" i="2"/>
  <c r="DB162" i="2"/>
  <c r="DB163" i="2"/>
  <c r="DB164" i="2"/>
  <c r="DB165" i="2"/>
  <c r="DB166" i="2"/>
  <c r="DB167" i="2"/>
  <c r="DB168" i="2"/>
  <c r="DB169" i="2"/>
  <c r="DB170" i="2"/>
  <c r="DB171" i="2"/>
  <c r="DB172" i="2"/>
  <c r="DB173" i="2"/>
  <c r="DB174" i="2"/>
  <c r="DB175" i="2"/>
  <c r="DB176" i="2"/>
  <c r="DB177" i="2"/>
  <c r="DB178" i="2"/>
  <c r="DB179" i="2"/>
  <c r="DB180" i="2"/>
  <c r="DB181" i="2"/>
  <c r="DB182" i="2"/>
  <c r="DB183" i="2"/>
  <c r="DB184" i="2"/>
  <c r="DB185" i="2"/>
  <c r="DB186" i="2"/>
  <c r="DB187" i="2"/>
  <c r="DB188" i="2"/>
  <c r="DB189" i="2"/>
  <c r="DB190" i="2"/>
  <c r="DB191" i="2"/>
  <c r="DB192" i="2"/>
  <c r="DB193" i="2"/>
  <c r="DB194" i="2"/>
  <c r="DB195" i="2"/>
  <c r="DB196" i="2"/>
  <c r="DB197" i="2"/>
  <c r="DB198" i="2"/>
  <c r="DB199" i="2"/>
  <c r="DB200" i="2"/>
  <c r="DB201" i="2"/>
  <c r="DT2" i="2"/>
  <c r="DS2" i="2"/>
  <c r="DW2" i="2"/>
  <c r="DX2" i="2"/>
  <c r="DE2" i="2"/>
  <c r="DE3" i="2"/>
  <c r="DE4" i="2"/>
  <c r="DE5" i="2"/>
  <c r="DQ6" i="2"/>
  <c r="DT6" i="2"/>
  <c r="DS6" i="2"/>
  <c r="DW6" i="2"/>
  <c r="DX6" i="2"/>
  <c r="DQ3" i="2"/>
  <c r="DQ4" i="2"/>
  <c r="DQ5" i="2"/>
  <c r="DE6" i="2"/>
  <c r="DE7" i="2"/>
  <c r="DE8" i="2"/>
  <c r="DE9" i="2"/>
  <c r="DE10" i="2"/>
  <c r="DE11" i="2"/>
  <c r="DE12" i="2"/>
  <c r="DE13" i="2"/>
  <c r="DE14" i="2"/>
  <c r="DE15" i="2"/>
  <c r="DE16" i="2"/>
  <c r="DE17" i="2"/>
  <c r="DE18" i="2"/>
  <c r="DE19" i="2"/>
  <c r="DE20" i="2"/>
  <c r="DE21" i="2"/>
  <c r="DE22" i="2"/>
  <c r="DE23" i="2"/>
  <c r="DE24" i="2"/>
  <c r="DE25" i="2"/>
  <c r="DE26" i="2"/>
  <c r="DE27" i="2"/>
  <c r="DE28" i="2"/>
  <c r="DE29" i="2"/>
  <c r="DE30" i="2"/>
  <c r="DE31" i="2"/>
  <c r="DE32" i="2"/>
  <c r="DE33" i="2"/>
  <c r="DE34" i="2"/>
  <c r="DE35" i="2"/>
  <c r="DE36" i="2"/>
  <c r="DE37" i="2"/>
  <c r="DE38" i="2"/>
  <c r="DE39" i="2"/>
  <c r="DE40" i="2"/>
  <c r="DE41" i="2"/>
  <c r="DE42" i="2"/>
  <c r="DE43" i="2"/>
  <c r="DE44" i="2"/>
  <c r="DE45" i="2"/>
  <c r="DE46" i="2"/>
  <c r="DE47" i="2"/>
  <c r="DE48" i="2"/>
  <c r="DE49" i="2"/>
  <c r="DE50" i="2"/>
  <c r="DE51" i="2"/>
  <c r="DE52" i="2"/>
  <c r="DE53" i="2"/>
  <c r="DE54" i="2"/>
  <c r="DE55" i="2"/>
  <c r="DE56" i="2"/>
  <c r="DE57" i="2"/>
  <c r="DE58" i="2"/>
  <c r="DE59" i="2"/>
  <c r="DE60" i="2"/>
  <c r="DE61" i="2"/>
  <c r="DE62" i="2"/>
  <c r="DE63" i="2"/>
  <c r="DE64" i="2"/>
  <c r="DE65" i="2"/>
  <c r="DE66" i="2"/>
  <c r="DE67" i="2"/>
  <c r="DE68" i="2"/>
  <c r="DE69" i="2"/>
  <c r="DE70" i="2"/>
  <c r="DE71" i="2"/>
  <c r="DE72" i="2"/>
  <c r="DE73" i="2"/>
  <c r="DE74" i="2"/>
  <c r="DE75" i="2"/>
  <c r="DE76" i="2"/>
  <c r="DE77" i="2"/>
  <c r="DE78" i="2"/>
  <c r="DE79" i="2"/>
  <c r="DE80" i="2"/>
  <c r="DE81" i="2"/>
  <c r="DE82" i="2"/>
  <c r="DE83" i="2"/>
  <c r="DE84" i="2"/>
  <c r="DE85" i="2"/>
  <c r="DE86" i="2"/>
  <c r="DE87" i="2"/>
  <c r="DE88" i="2"/>
  <c r="DE89" i="2"/>
  <c r="DE90" i="2"/>
  <c r="DE91" i="2"/>
  <c r="DE92" i="2"/>
  <c r="DE93" i="2"/>
  <c r="DE94" i="2"/>
  <c r="DE95" i="2"/>
  <c r="DE96" i="2"/>
  <c r="DE97" i="2"/>
  <c r="DE98" i="2"/>
  <c r="DE99" i="2"/>
  <c r="DE100" i="2"/>
  <c r="DE101" i="2"/>
  <c r="DE102" i="2"/>
  <c r="DE103" i="2"/>
  <c r="DE104" i="2"/>
  <c r="DE105" i="2"/>
  <c r="DE106" i="2"/>
  <c r="DE107" i="2"/>
  <c r="DE108" i="2"/>
  <c r="DE109" i="2"/>
  <c r="DE110" i="2"/>
  <c r="DE111" i="2"/>
  <c r="DE112" i="2"/>
  <c r="DE113" i="2"/>
  <c r="DE114" i="2"/>
  <c r="DE115" i="2"/>
  <c r="DE116" i="2"/>
  <c r="DE117" i="2"/>
  <c r="DE118" i="2"/>
  <c r="DE119" i="2"/>
  <c r="DE120" i="2"/>
  <c r="DE121" i="2"/>
  <c r="DE122" i="2"/>
  <c r="DE123" i="2"/>
  <c r="DE124" i="2"/>
  <c r="DE125" i="2"/>
  <c r="DE126" i="2"/>
  <c r="DE127" i="2"/>
  <c r="DE128" i="2"/>
  <c r="DE129" i="2"/>
  <c r="DE130" i="2"/>
  <c r="DE131" i="2"/>
  <c r="DE132" i="2"/>
  <c r="DE133" i="2"/>
  <c r="DE134" i="2"/>
  <c r="DE135" i="2"/>
  <c r="DE136" i="2"/>
  <c r="DE137" i="2"/>
  <c r="DE138" i="2"/>
  <c r="DE139" i="2"/>
  <c r="DE140" i="2"/>
  <c r="DE141" i="2"/>
  <c r="DE142" i="2"/>
  <c r="DE143" i="2"/>
  <c r="DE144" i="2"/>
  <c r="DE145" i="2"/>
  <c r="DE146" i="2"/>
  <c r="DE147" i="2"/>
  <c r="DE148" i="2"/>
  <c r="DE149" i="2"/>
  <c r="DE150" i="2"/>
  <c r="DE151" i="2"/>
  <c r="DE152" i="2"/>
  <c r="DE153" i="2"/>
  <c r="DE154" i="2"/>
  <c r="DE155" i="2"/>
  <c r="DE156" i="2"/>
  <c r="DE157" i="2"/>
  <c r="DE158" i="2"/>
  <c r="DE159" i="2"/>
  <c r="DE160" i="2"/>
  <c r="DE161" i="2"/>
  <c r="DE162" i="2"/>
  <c r="DE163" i="2"/>
  <c r="DE164" i="2"/>
  <c r="DE165" i="2"/>
  <c r="DE166" i="2"/>
  <c r="DE167" i="2"/>
  <c r="DE168" i="2"/>
  <c r="DE169" i="2"/>
  <c r="DE170" i="2"/>
  <c r="DE171" i="2"/>
  <c r="DE172" i="2"/>
  <c r="DE173" i="2"/>
  <c r="DE174" i="2"/>
  <c r="DE175" i="2"/>
  <c r="DE176" i="2"/>
  <c r="DE177" i="2"/>
  <c r="DE178" i="2"/>
  <c r="DE179" i="2"/>
  <c r="DE180" i="2"/>
  <c r="DE181" i="2"/>
  <c r="DE182" i="2"/>
  <c r="DE183" i="2"/>
  <c r="DE184" i="2"/>
  <c r="DE185" i="2"/>
  <c r="DE186" i="2"/>
  <c r="DE187" i="2"/>
  <c r="DE188" i="2"/>
  <c r="DE189" i="2"/>
  <c r="DE190" i="2"/>
  <c r="DE191" i="2"/>
  <c r="DE192" i="2"/>
  <c r="DE193" i="2"/>
  <c r="DE194" i="2"/>
  <c r="DE195" i="2"/>
  <c r="DE196" i="2"/>
  <c r="DE197" i="2"/>
  <c r="DE198" i="2"/>
  <c r="DE199" i="2"/>
  <c r="DE200" i="2"/>
  <c r="DE201" i="2"/>
  <c r="B24" i="9"/>
  <c r="B21" i="9"/>
  <c r="J32" i="10"/>
  <c r="DS3" i="2"/>
  <c r="DS4" i="2"/>
  <c r="DS5" i="2"/>
  <c r="DQ7" i="2"/>
  <c r="DS7" i="2"/>
  <c r="DQ8" i="2"/>
  <c r="DS8" i="2"/>
  <c r="DQ9" i="2"/>
  <c r="DS9" i="2"/>
  <c r="DQ10" i="2"/>
  <c r="DS10" i="2"/>
  <c r="DQ11" i="2"/>
  <c r="DS11" i="2"/>
  <c r="DQ12" i="2"/>
  <c r="DS12" i="2"/>
  <c r="DQ13" i="2"/>
  <c r="DS13" i="2"/>
  <c r="DQ14" i="2"/>
  <c r="DS14" i="2"/>
  <c r="DQ15" i="2"/>
  <c r="DS15" i="2"/>
  <c r="DQ16" i="2"/>
  <c r="DS16" i="2"/>
  <c r="DQ17" i="2"/>
  <c r="DS17" i="2"/>
  <c r="DQ18" i="2"/>
  <c r="DS18" i="2"/>
  <c r="DQ19" i="2"/>
  <c r="DS19" i="2"/>
  <c r="DQ20" i="2"/>
  <c r="DS20" i="2"/>
  <c r="DQ21" i="2"/>
  <c r="DS21" i="2"/>
  <c r="DQ22" i="2"/>
  <c r="DS22" i="2"/>
  <c r="DQ23" i="2"/>
  <c r="DS23" i="2"/>
  <c r="DQ24" i="2"/>
  <c r="DS24" i="2"/>
  <c r="DQ25" i="2"/>
  <c r="DS25" i="2"/>
  <c r="DQ26" i="2"/>
  <c r="DS26" i="2"/>
  <c r="DQ27" i="2"/>
  <c r="DS27" i="2"/>
  <c r="DQ28" i="2"/>
  <c r="DS28" i="2"/>
  <c r="DQ29" i="2"/>
  <c r="DS29" i="2"/>
  <c r="DQ30" i="2"/>
  <c r="DS30" i="2"/>
  <c r="DQ31" i="2"/>
  <c r="DS31" i="2"/>
  <c r="DQ32" i="2"/>
  <c r="DS32" i="2"/>
  <c r="DQ33" i="2"/>
  <c r="DS33" i="2"/>
  <c r="DQ34" i="2"/>
  <c r="DS34" i="2"/>
  <c r="DQ35" i="2"/>
  <c r="DS35" i="2"/>
  <c r="DQ36" i="2"/>
  <c r="DS36" i="2"/>
  <c r="DQ37" i="2"/>
  <c r="DS37" i="2"/>
  <c r="DQ38" i="2"/>
  <c r="DS38" i="2"/>
  <c r="DQ39" i="2"/>
  <c r="DS39" i="2"/>
  <c r="DQ40" i="2"/>
  <c r="DS40" i="2"/>
  <c r="DQ41" i="2"/>
  <c r="DS41" i="2"/>
  <c r="DQ42" i="2"/>
  <c r="DS42" i="2"/>
  <c r="DQ43" i="2"/>
  <c r="DS43" i="2"/>
  <c r="DQ44" i="2"/>
  <c r="DS44" i="2"/>
  <c r="DQ45" i="2"/>
  <c r="DS45" i="2"/>
  <c r="DQ46" i="2"/>
  <c r="DS46" i="2"/>
  <c r="DQ47" i="2"/>
  <c r="DS47" i="2"/>
  <c r="DQ48" i="2"/>
  <c r="DS48" i="2"/>
  <c r="DQ49" i="2"/>
  <c r="DS49" i="2"/>
  <c r="DQ50" i="2"/>
  <c r="DS50" i="2"/>
  <c r="DQ51" i="2"/>
  <c r="DS51" i="2"/>
  <c r="DQ52" i="2"/>
  <c r="DS52" i="2"/>
  <c r="DQ53" i="2"/>
  <c r="DS53" i="2"/>
  <c r="DQ54" i="2"/>
  <c r="DS54" i="2"/>
  <c r="DQ55" i="2"/>
  <c r="DS55" i="2"/>
  <c r="DQ56" i="2"/>
  <c r="DS56" i="2"/>
  <c r="DQ57" i="2"/>
  <c r="DS57" i="2"/>
  <c r="DQ58" i="2"/>
  <c r="DS58" i="2"/>
  <c r="DQ59" i="2"/>
  <c r="DS59" i="2"/>
  <c r="DQ60" i="2"/>
  <c r="DS60" i="2"/>
  <c r="DQ61" i="2"/>
  <c r="DS61" i="2"/>
  <c r="DQ62" i="2"/>
  <c r="DS62" i="2"/>
  <c r="DQ63" i="2"/>
  <c r="DS63" i="2"/>
  <c r="DQ64" i="2"/>
  <c r="DS64" i="2"/>
  <c r="DQ65" i="2"/>
  <c r="DS65" i="2"/>
  <c r="DQ66" i="2"/>
  <c r="DS66" i="2"/>
  <c r="DQ67" i="2"/>
  <c r="DS67" i="2"/>
  <c r="DQ68" i="2"/>
  <c r="DS68" i="2"/>
  <c r="DQ69" i="2"/>
  <c r="DS69" i="2"/>
  <c r="DQ70" i="2"/>
  <c r="DS70" i="2"/>
  <c r="DQ71" i="2"/>
  <c r="DS71" i="2"/>
  <c r="DQ72" i="2"/>
  <c r="DS72" i="2"/>
  <c r="DQ73" i="2"/>
  <c r="DS73" i="2"/>
  <c r="DQ74" i="2"/>
  <c r="DS74" i="2"/>
  <c r="DQ75" i="2"/>
  <c r="DS75" i="2"/>
  <c r="DQ76" i="2"/>
  <c r="DS76" i="2"/>
  <c r="DQ77" i="2"/>
  <c r="DS77" i="2"/>
  <c r="DQ78" i="2"/>
  <c r="DS78" i="2"/>
  <c r="DQ79" i="2"/>
  <c r="DS79" i="2"/>
  <c r="DQ80" i="2"/>
  <c r="DS80" i="2"/>
  <c r="DQ81" i="2"/>
  <c r="DS81" i="2"/>
  <c r="DQ82" i="2"/>
  <c r="DS82" i="2"/>
  <c r="DQ83" i="2"/>
  <c r="DS83" i="2"/>
  <c r="DQ84" i="2"/>
  <c r="DS84" i="2"/>
  <c r="DQ85" i="2"/>
  <c r="DS85" i="2"/>
  <c r="DQ86" i="2"/>
  <c r="DS86" i="2"/>
  <c r="DQ87" i="2"/>
  <c r="DS87" i="2"/>
  <c r="DQ88" i="2"/>
  <c r="DS88" i="2"/>
  <c r="DQ89" i="2"/>
  <c r="DS89" i="2"/>
  <c r="DQ90" i="2"/>
  <c r="DS90" i="2"/>
  <c r="DQ91" i="2"/>
  <c r="DS91" i="2"/>
  <c r="DQ92" i="2"/>
  <c r="DS92" i="2"/>
  <c r="DQ93" i="2"/>
  <c r="DS93" i="2"/>
  <c r="DQ94" i="2"/>
  <c r="DS94" i="2"/>
  <c r="DQ95" i="2"/>
  <c r="DS95" i="2"/>
  <c r="DQ96" i="2"/>
  <c r="DS96" i="2"/>
  <c r="DQ97" i="2"/>
  <c r="DS97" i="2"/>
  <c r="DQ98" i="2"/>
  <c r="DS98" i="2"/>
  <c r="DQ99" i="2"/>
  <c r="DS99" i="2"/>
  <c r="DQ100" i="2"/>
  <c r="DS100" i="2"/>
  <c r="DQ101" i="2"/>
  <c r="DS101" i="2"/>
  <c r="DQ102" i="2"/>
  <c r="DS102" i="2"/>
  <c r="DQ103" i="2"/>
  <c r="DS103" i="2"/>
  <c r="DQ104" i="2"/>
  <c r="DS104" i="2"/>
  <c r="DQ105" i="2"/>
  <c r="DS105" i="2"/>
  <c r="DQ106" i="2"/>
  <c r="DS106" i="2"/>
  <c r="DQ107" i="2"/>
  <c r="DS107" i="2"/>
  <c r="DQ108" i="2"/>
  <c r="DS108" i="2"/>
  <c r="DQ109" i="2"/>
  <c r="DS109" i="2"/>
  <c r="DQ110" i="2"/>
  <c r="DS110" i="2"/>
  <c r="DQ111" i="2"/>
  <c r="DS111" i="2"/>
  <c r="DQ112" i="2"/>
  <c r="DS112" i="2"/>
  <c r="DQ113" i="2"/>
  <c r="DS113" i="2"/>
  <c r="DQ114" i="2"/>
  <c r="DS114" i="2"/>
  <c r="DQ115" i="2"/>
  <c r="DS115" i="2"/>
  <c r="DQ116" i="2"/>
  <c r="DS116" i="2"/>
  <c r="DQ117" i="2"/>
  <c r="DS117" i="2"/>
  <c r="DQ118" i="2"/>
  <c r="DS118" i="2"/>
  <c r="DQ119" i="2"/>
  <c r="DS119" i="2"/>
  <c r="DQ120" i="2"/>
  <c r="DS120" i="2"/>
  <c r="DQ121" i="2"/>
  <c r="DS121" i="2"/>
  <c r="DQ122" i="2"/>
  <c r="DS122" i="2"/>
  <c r="DQ123" i="2"/>
  <c r="DS123" i="2"/>
  <c r="DQ124" i="2"/>
  <c r="DS124" i="2"/>
  <c r="DQ125" i="2"/>
  <c r="DS125" i="2"/>
  <c r="DQ126" i="2"/>
  <c r="DS126" i="2"/>
  <c r="DQ127" i="2"/>
  <c r="DS127" i="2"/>
  <c r="DQ128" i="2"/>
  <c r="DS128" i="2"/>
  <c r="DQ129" i="2"/>
  <c r="DS129" i="2"/>
  <c r="DQ130" i="2"/>
  <c r="DS130" i="2"/>
  <c r="DQ131" i="2"/>
  <c r="DS131" i="2"/>
  <c r="DQ132" i="2"/>
  <c r="DS132" i="2"/>
  <c r="DQ133" i="2"/>
  <c r="DS133" i="2"/>
  <c r="DQ134" i="2"/>
  <c r="DS134" i="2"/>
  <c r="DQ135" i="2"/>
  <c r="DS135" i="2"/>
  <c r="DQ136" i="2"/>
  <c r="DS136" i="2"/>
  <c r="DQ137" i="2"/>
  <c r="DS137" i="2"/>
  <c r="DQ138" i="2"/>
  <c r="DS138" i="2"/>
  <c r="DQ139" i="2"/>
  <c r="DS139" i="2"/>
  <c r="DQ140" i="2"/>
  <c r="DS140" i="2"/>
  <c r="DQ141" i="2"/>
  <c r="DS141" i="2"/>
  <c r="DQ142" i="2"/>
  <c r="DS142" i="2"/>
  <c r="DQ143" i="2"/>
  <c r="DS143" i="2"/>
  <c r="DQ144" i="2"/>
  <c r="DS144" i="2"/>
  <c r="DQ145" i="2"/>
  <c r="DS145" i="2"/>
  <c r="DQ146" i="2"/>
  <c r="DS146" i="2"/>
  <c r="DQ147" i="2"/>
  <c r="DS147" i="2"/>
  <c r="DQ148" i="2"/>
  <c r="DS148" i="2"/>
  <c r="DQ149" i="2"/>
  <c r="DS149" i="2"/>
  <c r="DQ150" i="2"/>
  <c r="DS150" i="2"/>
  <c r="DQ151" i="2"/>
  <c r="DS151" i="2"/>
  <c r="DQ152" i="2"/>
  <c r="DS152" i="2"/>
  <c r="DQ153" i="2"/>
  <c r="DS153" i="2"/>
  <c r="DQ154" i="2"/>
  <c r="DS154" i="2"/>
  <c r="DQ155" i="2"/>
  <c r="DS155" i="2"/>
  <c r="DQ156" i="2"/>
  <c r="DS156" i="2"/>
  <c r="DQ157" i="2"/>
  <c r="DS157" i="2"/>
  <c r="DQ158" i="2"/>
  <c r="DS158" i="2"/>
  <c r="DQ159" i="2"/>
  <c r="DS159" i="2"/>
  <c r="DQ160" i="2"/>
  <c r="DS160" i="2"/>
  <c r="DQ161" i="2"/>
  <c r="DS161" i="2"/>
  <c r="DQ162" i="2"/>
  <c r="DS162" i="2"/>
  <c r="DQ163" i="2"/>
  <c r="DS163" i="2"/>
  <c r="DQ164" i="2"/>
  <c r="DS164" i="2"/>
  <c r="DQ165" i="2"/>
  <c r="DS165" i="2"/>
  <c r="DQ166" i="2"/>
  <c r="DS166" i="2"/>
  <c r="DQ167" i="2"/>
  <c r="DS167" i="2"/>
  <c r="DQ168" i="2"/>
  <c r="DS168" i="2"/>
  <c r="DQ169" i="2"/>
  <c r="DS169" i="2"/>
  <c r="DQ170" i="2"/>
  <c r="DS170" i="2"/>
  <c r="DQ171" i="2"/>
  <c r="DS171" i="2"/>
  <c r="DQ172" i="2"/>
  <c r="DS172" i="2"/>
  <c r="DQ173" i="2"/>
  <c r="DS173" i="2"/>
  <c r="DQ174" i="2"/>
  <c r="DS174" i="2"/>
  <c r="DQ175" i="2"/>
  <c r="DS175" i="2"/>
  <c r="DQ176" i="2"/>
  <c r="DS176" i="2"/>
  <c r="DQ177" i="2"/>
  <c r="DS177" i="2"/>
  <c r="DQ178" i="2"/>
  <c r="DS178" i="2"/>
  <c r="DQ179" i="2"/>
  <c r="DS179" i="2"/>
  <c r="DQ180" i="2"/>
  <c r="DS180" i="2"/>
  <c r="DQ181" i="2"/>
  <c r="DS181" i="2"/>
  <c r="DQ182" i="2"/>
  <c r="DS182" i="2"/>
  <c r="DQ183" i="2"/>
  <c r="DS183" i="2"/>
  <c r="DQ184" i="2"/>
  <c r="DS184" i="2"/>
  <c r="DQ185" i="2"/>
  <c r="DS185" i="2"/>
  <c r="DQ186" i="2"/>
  <c r="DS186" i="2"/>
  <c r="DQ187" i="2"/>
  <c r="DS187" i="2"/>
  <c r="DQ188" i="2"/>
  <c r="DS188" i="2"/>
  <c r="DQ189" i="2"/>
  <c r="DS189" i="2"/>
  <c r="DQ190" i="2"/>
  <c r="DS190" i="2"/>
  <c r="DQ191" i="2"/>
  <c r="DS191" i="2"/>
  <c r="DQ192" i="2"/>
  <c r="DS192" i="2"/>
  <c r="DQ193" i="2"/>
  <c r="DS193" i="2"/>
  <c r="DQ194" i="2"/>
  <c r="DS194" i="2"/>
  <c r="DQ195" i="2"/>
  <c r="DS195" i="2"/>
  <c r="DQ196" i="2"/>
  <c r="DS196" i="2"/>
  <c r="DQ197" i="2"/>
  <c r="DS197" i="2"/>
  <c r="DQ198" i="2"/>
  <c r="DS198" i="2"/>
  <c r="DQ199" i="2"/>
  <c r="DS199" i="2"/>
  <c r="DQ200" i="2"/>
  <c r="DS200" i="2"/>
  <c r="DQ201" i="2"/>
  <c r="DS201" i="2"/>
  <c r="DR2" i="2"/>
  <c r="DP2" i="2"/>
  <c r="DZ2" i="2"/>
  <c r="DA2" i="2"/>
  <c r="DJ2" i="2"/>
  <c r="DA3" i="2"/>
  <c r="DJ3" i="2"/>
  <c r="DA4" i="2"/>
  <c r="DJ4" i="2"/>
  <c r="DA5" i="2"/>
  <c r="DJ5" i="2"/>
  <c r="DZ6" i="2"/>
  <c r="DA6" i="2"/>
  <c r="DJ6" i="2"/>
  <c r="DA7" i="2"/>
  <c r="DJ7" i="2"/>
  <c r="DA8" i="2"/>
  <c r="DJ8" i="2"/>
  <c r="DA9" i="2"/>
  <c r="DJ9" i="2"/>
  <c r="DA10" i="2"/>
  <c r="DJ10" i="2"/>
  <c r="DA11" i="2"/>
  <c r="DJ11" i="2"/>
  <c r="DA12" i="2"/>
  <c r="DJ12" i="2"/>
  <c r="DA13" i="2"/>
  <c r="DJ13" i="2"/>
  <c r="DJ14" i="2"/>
  <c r="DJ15" i="2"/>
  <c r="DJ16" i="2"/>
  <c r="DJ17" i="2"/>
  <c r="DJ18" i="2"/>
  <c r="DJ19" i="2"/>
  <c r="DJ20" i="2"/>
  <c r="DJ21" i="2"/>
  <c r="DJ22" i="2"/>
  <c r="DJ23" i="2"/>
  <c r="DJ24" i="2"/>
  <c r="DJ25" i="2"/>
  <c r="DJ26" i="2"/>
  <c r="DJ27" i="2"/>
  <c r="DJ28" i="2"/>
  <c r="DJ29" i="2"/>
  <c r="DJ30" i="2"/>
  <c r="DJ31" i="2"/>
  <c r="DJ32" i="2"/>
  <c r="DJ33" i="2"/>
  <c r="DJ34" i="2"/>
  <c r="DJ35" i="2"/>
  <c r="DJ36" i="2"/>
  <c r="DJ37" i="2"/>
  <c r="DJ38" i="2"/>
  <c r="DJ39" i="2"/>
  <c r="DJ40" i="2"/>
  <c r="DJ41" i="2"/>
  <c r="DJ42" i="2"/>
  <c r="DJ43" i="2"/>
  <c r="DJ44" i="2"/>
  <c r="DJ45" i="2"/>
  <c r="DJ46" i="2"/>
  <c r="DJ47" i="2"/>
  <c r="DJ48" i="2"/>
  <c r="DJ49" i="2"/>
  <c r="DJ50" i="2"/>
  <c r="DJ51" i="2"/>
  <c r="DJ52" i="2"/>
  <c r="DJ53" i="2"/>
  <c r="DJ54" i="2"/>
  <c r="DJ55" i="2"/>
  <c r="DJ56" i="2"/>
  <c r="DJ57" i="2"/>
  <c r="DJ58" i="2"/>
  <c r="DJ59" i="2"/>
  <c r="DJ60" i="2"/>
  <c r="DJ61" i="2"/>
  <c r="DJ62" i="2"/>
  <c r="DJ63" i="2"/>
  <c r="DJ64" i="2"/>
  <c r="DJ65" i="2"/>
  <c r="DJ66" i="2"/>
  <c r="DJ67" i="2"/>
  <c r="DJ68" i="2"/>
  <c r="DJ69" i="2"/>
  <c r="DJ70" i="2"/>
  <c r="DJ71" i="2"/>
  <c r="DJ72" i="2"/>
  <c r="DJ73" i="2"/>
  <c r="DJ74" i="2"/>
  <c r="DJ75" i="2"/>
  <c r="DJ76" i="2"/>
  <c r="DJ77" i="2"/>
  <c r="DJ78" i="2"/>
  <c r="DJ79" i="2"/>
  <c r="DJ80" i="2"/>
  <c r="DJ81" i="2"/>
  <c r="DJ82" i="2"/>
  <c r="DJ83" i="2"/>
  <c r="DJ84" i="2"/>
  <c r="DJ85" i="2"/>
  <c r="DJ86" i="2"/>
  <c r="DJ87" i="2"/>
  <c r="DJ88" i="2"/>
  <c r="DJ89" i="2"/>
  <c r="DJ90" i="2"/>
  <c r="DJ91" i="2"/>
  <c r="DJ92" i="2"/>
  <c r="DJ93" i="2"/>
  <c r="DJ94" i="2"/>
  <c r="DJ95" i="2"/>
  <c r="DJ96" i="2"/>
  <c r="DJ97" i="2"/>
  <c r="DJ98" i="2"/>
  <c r="DJ99" i="2"/>
  <c r="DJ100" i="2"/>
  <c r="DJ101" i="2"/>
  <c r="DJ102" i="2"/>
  <c r="DJ103" i="2"/>
  <c r="DJ104" i="2"/>
  <c r="DJ105" i="2"/>
  <c r="DJ106" i="2"/>
  <c r="DJ107" i="2"/>
  <c r="DJ108" i="2"/>
  <c r="DJ109" i="2"/>
  <c r="DJ110" i="2"/>
  <c r="DJ111" i="2"/>
  <c r="DJ112" i="2"/>
  <c r="DJ113" i="2"/>
  <c r="DJ114" i="2"/>
  <c r="DJ115" i="2"/>
  <c r="DJ116" i="2"/>
  <c r="DJ117" i="2"/>
  <c r="DJ118" i="2"/>
  <c r="DJ119" i="2"/>
  <c r="DJ120" i="2"/>
  <c r="DJ121" i="2"/>
  <c r="DJ122" i="2"/>
  <c r="DJ123" i="2"/>
  <c r="DJ124" i="2"/>
  <c r="DJ125" i="2"/>
  <c r="DJ126" i="2"/>
  <c r="DJ127" i="2"/>
  <c r="DJ128" i="2"/>
  <c r="DJ129" i="2"/>
  <c r="DJ130" i="2"/>
  <c r="DJ131" i="2"/>
  <c r="DJ132" i="2"/>
  <c r="DJ133" i="2"/>
  <c r="DJ134" i="2"/>
  <c r="DJ135" i="2"/>
  <c r="DJ136" i="2"/>
  <c r="DJ137" i="2"/>
  <c r="DJ138" i="2"/>
  <c r="DJ139" i="2"/>
  <c r="DJ140" i="2"/>
  <c r="DJ141" i="2"/>
  <c r="DJ142" i="2"/>
  <c r="DJ143" i="2"/>
  <c r="DJ144" i="2"/>
  <c r="DJ145" i="2"/>
  <c r="DJ146" i="2"/>
  <c r="DJ147" i="2"/>
  <c r="DJ148" i="2"/>
  <c r="DJ149" i="2"/>
  <c r="DJ150" i="2"/>
  <c r="DJ151" i="2"/>
  <c r="DJ152" i="2"/>
  <c r="DJ153" i="2"/>
  <c r="DJ154" i="2"/>
  <c r="DJ155" i="2"/>
  <c r="DJ156" i="2"/>
  <c r="DJ157" i="2"/>
  <c r="DJ158" i="2"/>
  <c r="DJ159" i="2"/>
  <c r="DJ160" i="2"/>
  <c r="DJ161" i="2"/>
  <c r="DJ162" i="2"/>
  <c r="DJ163" i="2"/>
  <c r="DJ164" i="2"/>
  <c r="DJ165" i="2"/>
  <c r="DJ166" i="2"/>
  <c r="DJ167" i="2"/>
  <c r="DJ168" i="2"/>
  <c r="DJ169" i="2"/>
  <c r="DJ170" i="2"/>
  <c r="DJ171" i="2"/>
  <c r="DJ172" i="2"/>
  <c r="DJ173" i="2"/>
  <c r="DJ174" i="2"/>
  <c r="DJ175" i="2"/>
  <c r="DJ176" i="2"/>
  <c r="DJ177" i="2"/>
  <c r="DJ178" i="2"/>
  <c r="DJ179" i="2"/>
  <c r="DJ180" i="2"/>
  <c r="DJ181" i="2"/>
  <c r="DJ182" i="2"/>
  <c r="DJ183" i="2"/>
  <c r="DJ184" i="2"/>
  <c r="DJ185" i="2"/>
  <c r="DJ186" i="2"/>
  <c r="DJ187" i="2"/>
  <c r="DJ188" i="2"/>
  <c r="DJ189" i="2"/>
  <c r="DJ190" i="2"/>
  <c r="DJ191" i="2"/>
  <c r="DJ192" i="2"/>
  <c r="DJ193" i="2"/>
  <c r="DJ194" i="2"/>
  <c r="DJ195" i="2"/>
  <c r="DJ196" i="2"/>
  <c r="DJ197" i="2"/>
  <c r="DJ198" i="2"/>
  <c r="DJ199" i="2"/>
  <c r="DJ200" i="2"/>
  <c r="DJ201" i="2"/>
  <c r="EA2" i="2"/>
  <c r="EJ2" i="2"/>
  <c r="ED2" i="2"/>
  <c r="EG1" i="2"/>
  <c r="EG2" i="2"/>
  <c r="EE1" i="2"/>
  <c r="EE2" i="2"/>
  <c r="EI2" i="2"/>
  <c r="EC2" i="2"/>
  <c r="EF1" i="2"/>
  <c r="EF2" i="2"/>
  <c r="EH2" i="2"/>
  <c r="DG1" i="2"/>
  <c r="DG2" i="2"/>
  <c r="AN2" i="2"/>
  <c r="DH2" i="2"/>
  <c r="DM2" i="2"/>
  <c r="DI2" i="2"/>
  <c r="DN2" i="2"/>
  <c r="AN3" i="2"/>
  <c r="DI3" i="2"/>
  <c r="AN4" i="2"/>
  <c r="DI4" i="2"/>
  <c r="AN5" i="2"/>
  <c r="DI5" i="2"/>
  <c r="AN6" i="2"/>
  <c r="DI6" i="2"/>
  <c r="AN7" i="2"/>
  <c r="DI7" i="2"/>
  <c r="AN8" i="2"/>
  <c r="DI8" i="2"/>
  <c r="AN9" i="2"/>
  <c r="DI9" i="2"/>
  <c r="AN10" i="2"/>
  <c r="DI10" i="2"/>
  <c r="AN11" i="2"/>
  <c r="DI11" i="2"/>
  <c r="AN12" i="2"/>
  <c r="DI12" i="2"/>
  <c r="AN13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I107" i="2"/>
  <c r="DI108" i="2"/>
  <c r="DI109" i="2"/>
  <c r="DI110" i="2"/>
  <c r="DI111" i="2"/>
  <c r="DI112" i="2"/>
  <c r="DI113" i="2"/>
  <c r="DI114" i="2"/>
  <c r="DI115" i="2"/>
  <c r="DI116" i="2"/>
  <c r="DI117" i="2"/>
  <c r="DI118" i="2"/>
  <c r="DI119" i="2"/>
  <c r="DI120" i="2"/>
  <c r="DI121" i="2"/>
  <c r="DI122" i="2"/>
  <c r="DI123" i="2"/>
  <c r="DI124" i="2"/>
  <c r="DI125" i="2"/>
  <c r="DI126" i="2"/>
  <c r="DI127" i="2"/>
  <c r="DI128" i="2"/>
  <c r="DI129" i="2"/>
  <c r="DI130" i="2"/>
  <c r="DI131" i="2"/>
  <c r="DI132" i="2"/>
  <c r="DI133" i="2"/>
  <c r="DI134" i="2"/>
  <c r="DI135" i="2"/>
  <c r="DI136" i="2"/>
  <c r="DI137" i="2"/>
  <c r="DI138" i="2"/>
  <c r="DI139" i="2"/>
  <c r="DI140" i="2"/>
  <c r="DI141" i="2"/>
  <c r="DI142" i="2"/>
  <c r="DI143" i="2"/>
  <c r="DI144" i="2"/>
  <c r="DI145" i="2"/>
  <c r="DI146" i="2"/>
  <c r="DI147" i="2"/>
  <c r="DI148" i="2"/>
  <c r="DI149" i="2"/>
  <c r="DI150" i="2"/>
  <c r="DI151" i="2"/>
  <c r="DI152" i="2"/>
  <c r="DI153" i="2"/>
  <c r="DI154" i="2"/>
  <c r="DI155" i="2"/>
  <c r="DI156" i="2"/>
  <c r="DI157" i="2"/>
  <c r="DI158" i="2"/>
  <c r="DI159" i="2"/>
  <c r="DI160" i="2"/>
  <c r="DI161" i="2"/>
  <c r="DI162" i="2"/>
  <c r="DI163" i="2"/>
  <c r="DI164" i="2"/>
  <c r="DI165" i="2"/>
  <c r="DI166" i="2"/>
  <c r="DI167" i="2"/>
  <c r="DI168" i="2"/>
  <c r="DI169" i="2"/>
  <c r="DI170" i="2"/>
  <c r="DI171" i="2"/>
  <c r="DI172" i="2"/>
  <c r="DI173" i="2"/>
  <c r="DI174" i="2"/>
  <c r="DI175" i="2"/>
  <c r="DI176" i="2"/>
  <c r="DI177" i="2"/>
  <c r="DI178" i="2"/>
  <c r="DI179" i="2"/>
  <c r="DI180" i="2"/>
  <c r="DI181" i="2"/>
  <c r="DI182" i="2"/>
  <c r="DI183" i="2"/>
  <c r="DI184" i="2"/>
  <c r="DI185" i="2"/>
  <c r="DI186" i="2"/>
  <c r="DI187" i="2"/>
  <c r="DI188" i="2"/>
  <c r="DI189" i="2"/>
  <c r="DI190" i="2"/>
  <c r="DI191" i="2"/>
  <c r="DI192" i="2"/>
  <c r="DI193" i="2"/>
  <c r="DI194" i="2"/>
  <c r="DI195" i="2"/>
  <c r="DI196" i="2"/>
  <c r="DI197" i="2"/>
  <c r="DI198" i="2"/>
  <c r="DI199" i="2"/>
  <c r="DI200" i="2"/>
  <c r="DI201" i="2"/>
  <c r="DH3" i="2"/>
  <c r="DH4" i="2"/>
  <c r="DH5" i="2"/>
  <c r="DH6" i="2"/>
  <c r="DH7" i="2"/>
  <c r="DH8" i="2"/>
  <c r="DH9" i="2"/>
  <c r="DH10" i="2"/>
  <c r="DH11" i="2"/>
  <c r="DH12" i="2"/>
  <c r="DH13" i="2"/>
  <c r="DH14" i="2"/>
  <c r="DH15" i="2"/>
  <c r="DH16" i="2"/>
  <c r="DH17" i="2"/>
  <c r="DH18" i="2"/>
  <c r="DH19" i="2"/>
  <c r="DH20" i="2"/>
  <c r="DH21" i="2"/>
  <c r="DH22" i="2"/>
  <c r="DH23" i="2"/>
  <c r="DH24" i="2"/>
  <c r="DH25" i="2"/>
  <c r="DH26" i="2"/>
  <c r="DH27" i="2"/>
  <c r="DH28" i="2"/>
  <c r="DH29" i="2"/>
  <c r="DH30" i="2"/>
  <c r="DH31" i="2"/>
  <c r="DH32" i="2"/>
  <c r="DH33" i="2"/>
  <c r="DH34" i="2"/>
  <c r="DH35" i="2"/>
  <c r="DH36" i="2"/>
  <c r="DH37" i="2"/>
  <c r="DH38" i="2"/>
  <c r="DH39" i="2"/>
  <c r="DH40" i="2"/>
  <c r="DH41" i="2"/>
  <c r="DH42" i="2"/>
  <c r="DH43" i="2"/>
  <c r="DH44" i="2"/>
  <c r="DH45" i="2"/>
  <c r="DH46" i="2"/>
  <c r="DH47" i="2"/>
  <c r="DH48" i="2"/>
  <c r="DH49" i="2"/>
  <c r="DH50" i="2"/>
  <c r="DH51" i="2"/>
  <c r="DH52" i="2"/>
  <c r="DH53" i="2"/>
  <c r="DH54" i="2"/>
  <c r="DH55" i="2"/>
  <c r="DH56" i="2"/>
  <c r="DH57" i="2"/>
  <c r="DH58" i="2"/>
  <c r="DH59" i="2"/>
  <c r="DH60" i="2"/>
  <c r="DH61" i="2"/>
  <c r="DH62" i="2"/>
  <c r="DH63" i="2"/>
  <c r="DH64" i="2"/>
  <c r="DH65" i="2"/>
  <c r="DH66" i="2"/>
  <c r="DH67" i="2"/>
  <c r="DH68" i="2"/>
  <c r="DH69" i="2"/>
  <c r="DH70" i="2"/>
  <c r="DH71" i="2"/>
  <c r="DH72" i="2"/>
  <c r="DH73" i="2"/>
  <c r="DH74" i="2"/>
  <c r="DH75" i="2"/>
  <c r="DH76" i="2"/>
  <c r="DH77" i="2"/>
  <c r="DH78" i="2"/>
  <c r="DH79" i="2"/>
  <c r="DH80" i="2"/>
  <c r="DH81" i="2"/>
  <c r="DH82" i="2"/>
  <c r="DH83" i="2"/>
  <c r="DH84" i="2"/>
  <c r="DH85" i="2"/>
  <c r="DH86" i="2"/>
  <c r="DH87" i="2"/>
  <c r="DH88" i="2"/>
  <c r="DH89" i="2"/>
  <c r="DH90" i="2"/>
  <c r="DH91" i="2"/>
  <c r="DH92" i="2"/>
  <c r="DH93" i="2"/>
  <c r="DH94" i="2"/>
  <c r="DH95" i="2"/>
  <c r="DH96" i="2"/>
  <c r="DH97" i="2"/>
  <c r="DH98" i="2"/>
  <c r="DH99" i="2"/>
  <c r="DH100" i="2"/>
  <c r="DH101" i="2"/>
  <c r="DH102" i="2"/>
  <c r="DH103" i="2"/>
  <c r="DH104" i="2"/>
  <c r="DH105" i="2"/>
  <c r="DH106" i="2"/>
  <c r="DH107" i="2"/>
  <c r="DH108" i="2"/>
  <c r="DH109" i="2"/>
  <c r="DH110" i="2"/>
  <c r="DH111" i="2"/>
  <c r="DH112" i="2"/>
  <c r="DH113" i="2"/>
  <c r="DH114" i="2"/>
  <c r="DH115" i="2"/>
  <c r="DH116" i="2"/>
  <c r="DH117" i="2"/>
  <c r="DH118" i="2"/>
  <c r="DH119" i="2"/>
  <c r="DH120" i="2"/>
  <c r="DH121" i="2"/>
  <c r="DH122" i="2"/>
  <c r="DH123" i="2"/>
  <c r="DH124" i="2"/>
  <c r="DH125" i="2"/>
  <c r="DH126" i="2"/>
  <c r="DH127" i="2"/>
  <c r="DH128" i="2"/>
  <c r="DH129" i="2"/>
  <c r="DH130" i="2"/>
  <c r="DH131" i="2"/>
  <c r="DH132" i="2"/>
  <c r="DH133" i="2"/>
  <c r="DH134" i="2"/>
  <c r="DH135" i="2"/>
  <c r="DH136" i="2"/>
  <c r="DH137" i="2"/>
  <c r="DH138" i="2"/>
  <c r="DH139" i="2"/>
  <c r="DH140" i="2"/>
  <c r="DH141" i="2"/>
  <c r="DH142" i="2"/>
  <c r="DH143" i="2"/>
  <c r="DH144" i="2"/>
  <c r="DH145" i="2"/>
  <c r="DH146" i="2"/>
  <c r="DH147" i="2"/>
  <c r="DH148" i="2"/>
  <c r="DH149" i="2"/>
  <c r="DH150" i="2"/>
  <c r="DH151" i="2"/>
  <c r="DH152" i="2"/>
  <c r="DH153" i="2"/>
  <c r="DH154" i="2"/>
  <c r="DH155" i="2"/>
  <c r="DH156" i="2"/>
  <c r="DH157" i="2"/>
  <c r="DH158" i="2"/>
  <c r="DH159" i="2"/>
  <c r="DH160" i="2"/>
  <c r="DH161" i="2"/>
  <c r="DH162" i="2"/>
  <c r="DH163" i="2"/>
  <c r="DH164" i="2"/>
  <c r="DH165" i="2"/>
  <c r="DH166" i="2"/>
  <c r="DH167" i="2"/>
  <c r="DH168" i="2"/>
  <c r="DH169" i="2"/>
  <c r="DH170" i="2"/>
  <c r="DH171" i="2"/>
  <c r="DH172" i="2"/>
  <c r="DH173" i="2"/>
  <c r="DH174" i="2"/>
  <c r="DH175" i="2"/>
  <c r="DH176" i="2"/>
  <c r="DH177" i="2"/>
  <c r="DH178" i="2"/>
  <c r="DH179" i="2"/>
  <c r="DH180" i="2"/>
  <c r="DH181" i="2"/>
  <c r="DH182" i="2"/>
  <c r="DH183" i="2"/>
  <c r="DH184" i="2"/>
  <c r="DH185" i="2"/>
  <c r="DH186" i="2"/>
  <c r="DH187" i="2"/>
  <c r="DH188" i="2"/>
  <c r="DH189" i="2"/>
  <c r="DH190" i="2"/>
  <c r="DH191" i="2"/>
  <c r="DH192" i="2"/>
  <c r="DH193" i="2"/>
  <c r="DH194" i="2"/>
  <c r="DH195" i="2"/>
  <c r="DH196" i="2"/>
  <c r="DH197" i="2"/>
  <c r="DH198" i="2"/>
  <c r="DH199" i="2"/>
  <c r="DH200" i="2"/>
  <c r="DH201" i="2"/>
  <c r="EP2" i="2"/>
  <c r="DT3" i="2"/>
  <c r="EP3" i="2"/>
  <c r="DT4" i="2"/>
  <c r="EP4" i="2"/>
  <c r="DT5" i="2"/>
  <c r="EP5" i="2"/>
  <c r="EP6" i="2"/>
  <c r="DT7" i="2"/>
  <c r="EP7" i="2"/>
  <c r="DT8" i="2"/>
  <c r="EP8" i="2"/>
  <c r="DT9" i="2"/>
  <c r="EP9" i="2"/>
  <c r="DT10" i="2"/>
  <c r="EP10" i="2"/>
  <c r="DT11" i="2"/>
  <c r="EP11" i="2"/>
  <c r="DT12" i="2"/>
  <c r="EP12" i="2"/>
  <c r="DT13" i="2"/>
  <c r="EP13" i="2"/>
  <c r="DT14" i="2"/>
  <c r="EP14" i="2"/>
  <c r="DT15" i="2"/>
  <c r="EP15" i="2"/>
  <c r="DT16" i="2"/>
  <c r="EP16" i="2"/>
  <c r="DT17" i="2"/>
  <c r="EP17" i="2"/>
  <c r="DT18" i="2"/>
  <c r="EP18" i="2"/>
  <c r="DT19" i="2"/>
  <c r="EP19" i="2"/>
  <c r="DT20" i="2"/>
  <c r="EP20" i="2"/>
  <c r="DT21" i="2"/>
  <c r="EP21" i="2"/>
  <c r="DT22" i="2"/>
  <c r="EP22" i="2"/>
  <c r="DT23" i="2"/>
  <c r="EP23" i="2"/>
  <c r="DT24" i="2"/>
  <c r="EP24" i="2"/>
  <c r="DT25" i="2"/>
  <c r="EP25" i="2"/>
  <c r="DT26" i="2"/>
  <c r="EP26" i="2"/>
  <c r="DT27" i="2"/>
  <c r="EP27" i="2"/>
  <c r="DT28" i="2"/>
  <c r="EP28" i="2"/>
  <c r="DT29" i="2"/>
  <c r="EP29" i="2"/>
  <c r="DT30" i="2"/>
  <c r="EP30" i="2"/>
  <c r="DT31" i="2"/>
  <c r="EP31" i="2"/>
  <c r="DT32" i="2"/>
  <c r="EP32" i="2"/>
  <c r="DT33" i="2"/>
  <c r="EP33" i="2"/>
  <c r="DT34" i="2"/>
  <c r="EP34" i="2"/>
  <c r="DT35" i="2"/>
  <c r="EP35" i="2"/>
  <c r="DT36" i="2"/>
  <c r="EP36" i="2"/>
  <c r="DT37" i="2"/>
  <c r="EP37" i="2"/>
  <c r="DT38" i="2"/>
  <c r="EP38" i="2"/>
  <c r="DT39" i="2"/>
  <c r="EP39" i="2"/>
  <c r="DT40" i="2"/>
  <c r="EP40" i="2"/>
  <c r="DT41" i="2"/>
  <c r="EP41" i="2"/>
  <c r="DT42" i="2"/>
  <c r="EP42" i="2"/>
  <c r="DT43" i="2"/>
  <c r="EP43" i="2"/>
  <c r="DT44" i="2"/>
  <c r="EP44" i="2"/>
  <c r="DT45" i="2"/>
  <c r="EP45" i="2"/>
  <c r="DT46" i="2"/>
  <c r="EP46" i="2"/>
  <c r="DT47" i="2"/>
  <c r="EP47" i="2"/>
  <c r="DT48" i="2"/>
  <c r="EP48" i="2"/>
  <c r="DT49" i="2"/>
  <c r="EP49" i="2"/>
  <c r="DT50" i="2"/>
  <c r="EP50" i="2"/>
  <c r="DT51" i="2"/>
  <c r="EP51" i="2"/>
  <c r="DT52" i="2"/>
  <c r="EP52" i="2"/>
  <c r="DT53" i="2"/>
  <c r="EP53" i="2"/>
  <c r="DT54" i="2"/>
  <c r="EP54" i="2"/>
  <c r="DT55" i="2"/>
  <c r="EP55" i="2"/>
  <c r="DT56" i="2"/>
  <c r="EP56" i="2"/>
  <c r="DT57" i="2"/>
  <c r="EP57" i="2"/>
  <c r="DT58" i="2"/>
  <c r="EP58" i="2"/>
  <c r="DT59" i="2"/>
  <c r="EP59" i="2"/>
  <c r="DT60" i="2"/>
  <c r="EP60" i="2"/>
  <c r="DT61" i="2"/>
  <c r="EP61" i="2"/>
  <c r="DT62" i="2"/>
  <c r="EP62" i="2"/>
  <c r="DT63" i="2"/>
  <c r="EP63" i="2"/>
  <c r="DT64" i="2"/>
  <c r="EP64" i="2"/>
  <c r="DT65" i="2"/>
  <c r="EP65" i="2"/>
  <c r="DT66" i="2"/>
  <c r="EP66" i="2"/>
  <c r="DT67" i="2"/>
  <c r="EP67" i="2"/>
  <c r="DT68" i="2"/>
  <c r="EP68" i="2"/>
  <c r="DT69" i="2"/>
  <c r="EP69" i="2"/>
  <c r="DT70" i="2"/>
  <c r="EP70" i="2"/>
  <c r="DT71" i="2"/>
  <c r="EP71" i="2"/>
  <c r="DT72" i="2"/>
  <c r="EP72" i="2"/>
  <c r="DT73" i="2"/>
  <c r="EP73" i="2"/>
  <c r="DT74" i="2"/>
  <c r="EP74" i="2"/>
  <c r="DT75" i="2"/>
  <c r="EP75" i="2"/>
  <c r="DT76" i="2"/>
  <c r="EP76" i="2"/>
  <c r="DT77" i="2"/>
  <c r="EP77" i="2"/>
  <c r="DT78" i="2"/>
  <c r="EP78" i="2"/>
  <c r="DT79" i="2"/>
  <c r="EP79" i="2"/>
  <c r="DT80" i="2"/>
  <c r="EP80" i="2"/>
  <c r="DT81" i="2"/>
  <c r="EP81" i="2"/>
  <c r="DT82" i="2"/>
  <c r="EP82" i="2"/>
  <c r="DT83" i="2"/>
  <c r="EP83" i="2"/>
  <c r="DT84" i="2"/>
  <c r="EP84" i="2"/>
  <c r="DT85" i="2"/>
  <c r="EP85" i="2"/>
  <c r="DT86" i="2"/>
  <c r="EP86" i="2"/>
  <c r="DT87" i="2"/>
  <c r="EP87" i="2"/>
  <c r="DT88" i="2"/>
  <c r="EP88" i="2"/>
  <c r="DT89" i="2"/>
  <c r="EP89" i="2"/>
  <c r="DT90" i="2"/>
  <c r="EP90" i="2"/>
  <c r="DT91" i="2"/>
  <c r="EP91" i="2"/>
  <c r="DT92" i="2"/>
  <c r="EP92" i="2"/>
  <c r="DT93" i="2"/>
  <c r="EP93" i="2"/>
  <c r="DT94" i="2"/>
  <c r="EP94" i="2"/>
  <c r="DT95" i="2"/>
  <c r="EP95" i="2"/>
  <c r="DT96" i="2"/>
  <c r="EP96" i="2"/>
  <c r="DT97" i="2"/>
  <c r="EP97" i="2"/>
  <c r="DT98" i="2"/>
  <c r="EP98" i="2"/>
  <c r="DT99" i="2"/>
  <c r="EP99" i="2"/>
  <c r="DT100" i="2"/>
  <c r="EP100" i="2"/>
  <c r="DT101" i="2"/>
  <c r="EP101" i="2"/>
  <c r="DT102" i="2"/>
  <c r="EP102" i="2"/>
  <c r="DT103" i="2"/>
  <c r="EP103" i="2"/>
  <c r="DT104" i="2"/>
  <c r="EP104" i="2"/>
  <c r="DT105" i="2"/>
  <c r="EP105" i="2"/>
  <c r="DT106" i="2"/>
  <c r="EP106" i="2"/>
  <c r="DT107" i="2"/>
  <c r="EP107" i="2"/>
  <c r="DT108" i="2"/>
  <c r="EP108" i="2"/>
  <c r="DT109" i="2"/>
  <c r="EP109" i="2"/>
  <c r="DT110" i="2"/>
  <c r="EP110" i="2"/>
  <c r="DT111" i="2"/>
  <c r="EP111" i="2"/>
  <c r="DT112" i="2"/>
  <c r="EP112" i="2"/>
  <c r="DT113" i="2"/>
  <c r="EP113" i="2"/>
  <c r="DT114" i="2"/>
  <c r="EP114" i="2"/>
  <c r="DT115" i="2"/>
  <c r="EP115" i="2"/>
  <c r="DT116" i="2"/>
  <c r="EP116" i="2"/>
  <c r="DT117" i="2"/>
  <c r="EP117" i="2"/>
  <c r="DT118" i="2"/>
  <c r="EP118" i="2"/>
  <c r="DT119" i="2"/>
  <c r="EP119" i="2"/>
  <c r="DT120" i="2"/>
  <c r="EP120" i="2"/>
  <c r="DT121" i="2"/>
  <c r="EP121" i="2"/>
  <c r="DT122" i="2"/>
  <c r="EP122" i="2"/>
  <c r="DT123" i="2"/>
  <c r="EP123" i="2"/>
  <c r="DT124" i="2"/>
  <c r="EP124" i="2"/>
  <c r="DT125" i="2"/>
  <c r="EP125" i="2"/>
  <c r="DT126" i="2"/>
  <c r="EP126" i="2"/>
  <c r="DT127" i="2"/>
  <c r="EP127" i="2"/>
  <c r="DT128" i="2"/>
  <c r="EP128" i="2"/>
  <c r="DT129" i="2"/>
  <c r="EP129" i="2"/>
  <c r="DT130" i="2"/>
  <c r="EP130" i="2"/>
  <c r="DT131" i="2"/>
  <c r="EP131" i="2"/>
  <c r="DT132" i="2"/>
  <c r="EP132" i="2"/>
  <c r="DT133" i="2"/>
  <c r="EP133" i="2"/>
  <c r="DT134" i="2"/>
  <c r="EP134" i="2"/>
  <c r="DT135" i="2"/>
  <c r="EP135" i="2"/>
  <c r="DT136" i="2"/>
  <c r="EP136" i="2"/>
  <c r="DT137" i="2"/>
  <c r="EP137" i="2"/>
  <c r="DT138" i="2"/>
  <c r="EP138" i="2"/>
  <c r="DT139" i="2"/>
  <c r="EP139" i="2"/>
  <c r="DT140" i="2"/>
  <c r="EP140" i="2"/>
  <c r="DT141" i="2"/>
  <c r="EP141" i="2"/>
  <c r="DT142" i="2"/>
  <c r="EP142" i="2"/>
  <c r="DT143" i="2"/>
  <c r="EP143" i="2"/>
  <c r="DT144" i="2"/>
  <c r="EP144" i="2"/>
  <c r="DT145" i="2"/>
  <c r="EP145" i="2"/>
  <c r="DT146" i="2"/>
  <c r="EP146" i="2"/>
  <c r="DT147" i="2"/>
  <c r="EP147" i="2"/>
  <c r="DT148" i="2"/>
  <c r="EP148" i="2"/>
  <c r="DT149" i="2"/>
  <c r="EP149" i="2"/>
  <c r="DT150" i="2"/>
  <c r="EP150" i="2"/>
  <c r="DT151" i="2"/>
  <c r="EP151" i="2"/>
  <c r="DT152" i="2"/>
  <c r="EP152" i="2"/>
  <c r="DT153" i="2"/>
  <c r="EP153" i="2"/>
  <c r="DT154" i="2"/>
  <c r="EP154" i="2"/>
  <c r="DT155" i="2"/>
  <c r="EP155" i="2"/>
  <c r="DT156" i="2"/>
  <c r="EP156" i="2"/>
  <c r="DT157" i="2"/>
  <c r="EP157" i="2"/>
  <c r="DT158" i="2"/>
  <c r="EP158" i="2"/>
  <c r="DT159" i="2"/>
  <c r="EP159" i="2"/>
  <c r="DT160" i="2"/>
  <c r="EP160" i="2"/>
  <c r="DT161" i="2"/>
  <c r="EP161" i="2"/>
  <c r="DT162" i="2"/>
  <c r="EP162" i="2"/>
  <c r="DT163" i="2"/>
  <c r="EP163" i="2"/>
  <c r="DT164" i="2"/>
  <c r="EP164" i="2"/>
  <c r="DT165" i="2"/>
  <c r="EP165" i="2"/>
  <c r="DT166" i="2"/>
  <c r="EP166" i="2"/>
  <c r="DT167" i="2"/>
  <c r="EP167" i="2"/>
  <c r="DT168" i="2"/>
  <c r="EP168" i="2"/>
  <c r="DT169" i="2"/>
  <c r="EP169" i="2"/>
  <c r="DT170" i="2"/>
  <c r="EP170" i="2"/>
  <c r="DT171" i="2"/>
  <c r="EP171" i="2"/>
  <c r="DT172" i="2"/>
  <c r="EP172" i="2"/>
  <c r="DT173" i="2"/>
  <c r="EP173" i="2"/>
  <c r="DT174" i="2"/>
  <c r="EP174" i="2"/>
  <c r="DT175" i="2"/>
  <c r="EP175" i="2"/>
  <c r="DT176" i="2"/>
  <c r="EP176" i="2"/>
  <c r="DT177" i="2"/>
  <c r="EP177" i="2"/>
  <c r="DT178" i="2"/>
  <c r="EP178" i="2"/>
  <c r="DT179" i="2"/>
  <c r="EP179" i="2"/>
  <c r="DT180" i="2"/>
  <c r="EP180" i="2"/>
  <c r="DT181" i="2"/>
  <c r="EP181" i="2"/>
  <c r="DT182" i="2"/>
  <c r="EP182" i="2"/>
  <c r="DT183" i="2"/>
  <c r="EP183" i="2"/>
  <c r="DT184" i="2"/>
  <c r="EP184" i="2"/>
  <c r="DT185" i="2"/>
  <c r="EP185" i="2"/>
  <c r="DT186" i="2"/>
  <c r="EP186" i="2"/>
  <c r="DT187" i="2"/>
  <c r="EP187" i="2"/>
  <c r="DT188" i="2"/>
  <c r="EP188" i="2"/>
  <c r="DT189" i="2"/>
  <c r="EP189" i="2"/>
  <c r="DT190" i="2"/>
  <c r="EP190" i="2"/>
  <c r="DT191" i="2"/>
  <c r="EP191" i="2"/>
  <c r="DT192" i="2"/>
  <c r="EP192" i="2"/>
  <c r="DT193" i="2"/>
  <c r="EP193" i="2"/>
  <c r="DT194" i="2"/>
  <c r="EP194" i="2"/>
  <c r="DT195" i="2"/>
  <c r="EP195" i="2"/>
  <c r="DT196" i="2"/>
  <c r="EP196" i="2"/>
  <c r="DT197" i="2"/>
  <c r="EP197" i="2"/>
  <c r="DT198" i="2"/>
  <c r="EP198" i="2"/>
  <c r="DT199" i="2"/>
  <c r="EP199" i="2"/>
  <c r="DT200" i="2"/>
  <c r="EP200" i="2"/>
  <c r="DT201" i="2"/>
  <c r="EP201" i="2"/>
  <c r="B23" i="9"/>
  <c r="DZ3" i="2"/>
  <c r="DZ4" i="2"/>
  <c r="DZ5" i="2"/>
  <c r="DZ7" i="2"/>
  <c r="DZ8" i="2"/>
  <c r="DZ9" i="2"/>
  <c r="DZ10" i="2"/>
  <c r="DZ11" i="2"/>
  <c r="DZ12" i="2"/>
  <c r="DZ13" i="2"/>
  <c r="DZ14" i="2"/>
  <c r="DZ15" i="2"/>
  <c r="DZ16" i="2"/>
  <c r="DZ17" i="2"/>
  <c r="DZ18" i="2"/>
  <c r="DZ19" i="2"/>
  <c r="DZ20" i="2"/>
  <c r="DZ21" i="2"/>
  <c r="DZ22" i="2"/>
  <c r="DZ23" i="2"/>
  <c r="DZ24" i="2"/>
  <c r="DZ25" i="2"/>
  <c r="DZ26" i="2"/>
  <c r="DZ27" i="2"/>
  <c r="DZ28" i="2"/>
  <c r="DZ29" i="2"/>
  <c r="DZ30" i="2"/>
  <c r="DZ31" i="2"/>
  <c r="DZ32" i="2"/>
  <c r="DZ33" i="2"/>
  <c r="DZ34" i="2"/>
  <c r="DZ35" i="2"/>
  <c r="DZ36" i="2"/>
  <c r="DZ37" i="2"/>
  <c r="DZ38" i="2"/>
  <c r="DZ39" i="2"/>
  <c r="DZ40" i="2"/>
  <c r="DZ41" i="2"/>
  <c r="DZ42" i="2"/>
  <c r="DZ43" i="2"/>
  <c r="DZ44" i="2"/>
  <c r="DZ45" i="2"/>
  <c r="DZ46" i="2"/>
  <c r="DZ47" i="2"/>
  <c r="DZ48" i="2"/>
  <c r="DZ49" i="2"/>
  <c r="DZ50" i="2"/>
  <c r="DZ51" i="2"/>
  <c r="DZ52" i="2"/>
  <c r="DZ53" i="2"/>
  <c r="DZ54" i="2"/>
  <c r="DZ55" i="2"/>
  <c r="DZ56" i="2"/>
  <c r="DZ57" i="2"/>
  <c r="DZ58" i="2"/>
  <c r="DZ59" i="2"/>
  <c r="DZ60" i="2"/>
  <c r="DZ61" i="2"/>
  <c r="DZ62" i="2"/>
  <c r="DZ63" i="2"/>
  <c r="DZ64" i="2"/>
  <c r="DZ65" i="2"/>
  <c r="DZ66" i="2"/>
  <c r="DZ67" i="2"/>
  <c r="DZ68" i="2"/>
  <c r="DZ69" i="2"/>
  <c r="DZ70" i="2"/>
  <c r="DZ71" i="2"/>
  <c r="DZ72" i="2"/>
  <c r="DZ73" i="2"/>
  <c r="DZ74" i="2"/>
  <c r="DZ75" i="2"/>
  <c r="DZ76" i="2"/>
  <c r="DZ77" i="2"/>
  <c r="DZ78" i="2"/>
  <c r="DZ79" i="2"/>
  <c r="DZ80" i="2"/>
  <c r="DZ81" i="2"/>
  <c r="DZ82" i="2"/>
  <c r="DZ83" i="2"/>
  <c r="DZ84" i="2"/>
  <c r="DZ85" i="2"/>
  <c r="DZ86" i="2"/>
  <c r="DZ87" i="2"/>
  <c r="DZ88" i="2"/>
  <c r="DZ89" i="2"/>
  <c r="DZ90" i="2"/>
  <c r="DZ91" i="2"/>
  <c r="DZ92" i="2"/>
  <c r="DZ93" i="2"/>
  <c r="DZ94" i="2"/>
  <c r="DZ95" i="2"/>
  <c r="DZ96" i="2"/>
  <c r="DZ97" i="2"/>
  <c r="DZ98" i="2"/>
  <c r="DZ99" i="2"/>
  <c r="DZ100" i="2"/>
  <c r="DZ101" i="2"/>
  <c r="DZ102" i="2"/>
  <c r="DZ103" i="2"/>
  <c r="DZ104" i="2"/>
  <c r="DZ105" i="2"/>
  <c r="DZ106" i="2"/>
  <c r="DZ107" i="2"/>
  <c r="DZ108" i="2"/>
  <c r="DZ109" i="2"/>
  <c r="DZ110" i="2"/>
  <c r="DZ111" i="2"/>
  <c r="DZ112" i="2"/>
  <c r="DZ113" i="2"/>
  <c r="DZ114" i="2"/>
  <c r="DZ115" i="2"/>
  <c r="DZ116" i="2"/>
  <c r="DZ117" i="2"/>
  <c r="DZ118" i="2"/>
  <c r="DZ119" i="2"/>
  <c r="DZ120" i="2"/>
  <c r="DZ121" i="2"/>
  <c r="DZ122" i="2"/>
  <c r="DZ123" i="2"/>
  <c r="DZ124" i="2"/>
  <c r="DZ125" i="2"/>
  <c r="DZ126" i="2"/>
  <c r="DZ127" i="2"/>
  <c r="DZ128" i="2"/>
  <c r="DZ129" i="2"/>
  <c r="DZ130" i="2"/>
  <c r="DZ131" i="2"/>
  <c r="DZ132" i="2"/>
  <c r="DZ133" i="2"/>
  <c r="DZ134" i="2"/>
  <c r="DZ135" i="2"/>
  <c r="DZ136" i="2"/>
  <c r="DZ137" i="2"/>
  <c r="DZ138" i="2"/>
  <c r="DZ139" i="2"/>
  <c r="DZ140" i="2"/>
  <c r="DZ141" i="2"/>
  <c r="DZ142" i="2"/>
  <c r="DZ143" i="2"/>
  <c r="DZ144" i="2"/>
  <c r="DZ145" i="2"/>
  <c r="DZ146" i="2"/>
  <c r="DZ147" i="2"/>
  <c r="DZ148" i="2"/>
  <c r="DZ149" i="2"/>
  <c r="DZ150" i="2"/>
  <c r="DZ151" i="2"/>
  <c r="DZ152" i="2"/>
  <c r="DZ153" i="2"/>
  <c r="DZ154" i="2"/>
  <c r="DZ155" i="2"/>
  <c r="DZ156" i="2"/>
  <c r="DZ157" i="2"/>
  <c r="DZ158" i="2"/>
  <c r="DZ159" i="2"/>
  <c r="DZ160" i="2"/>
  <c r="DZ161" i="2"/>
  <c r="DZ162" i="2"/>
  <c r="DZ163" i="2"/>
  <c r="DZ164" i="2"/>
  <c r="DZ165" i="2"/>
  <c r="DZ166" i="2"/>
  <c r="DZ167" i="2"/>
  <c r="DZ168" i="2"/>
  <c r="DZ169" i="2"/>
  <c r="DZ170" i="2"/>
  <c r="DZ171" i="2"/>
  <c r="DZ172" i="2"/>
  <c r="DZ173" i="2"/>
  <c r="DZ174" i="2"/>
  <c r="DZ175" i="2"/>
  <c r="DZ176" i="2"/>
  <c r="DZ177" i="2"/>
  <c r="DZ178" i="2"/>
  <c r="DZ179" i="2"/>
  <c r="DZ180" i="2"/>
  <c r="DZ181" i="2"/>
  <c r="DZ182" i="2"/>
  <c r="DZ183" i="2"/>
  <c r="DZ184" i="2"/>
  <c r="DZ185" i="2"/>
  <c r="DZ186" i="2"/>
  <c r="DZ187" i="2"/>
  <c r="DZ188" i="2"/>
  <c r="DZ189" i="2"/>
  <c r="DZ190" i="2"/>
  <c r="DZ191" i="2"/>
  <c r="DZ192" i="2"/>
  <c r="DZ193" i="2"/>
  <c r="DZ194" i="2"/>
  <c r="DZ195" i="2"/>
  <c r="DZ196" i="2"/>
  <c r="DZ197" i="2"/>
  <c r="DZ198" i="2"/>
  <c r="DZ199" i="2"/>
  <c r="DZ200" i="2"/>
  <c r="DZ201" i="2"/>
  <c r="DZ1" i="2"/>
  <c r="B19" i="9"/>
  <c r="C22" i="9"/>
  <c r="B22" i="9"/>
  <c r="B26" i="9"/>
  <c r="B18" i="9"/>
  <c r="C24" i="9"/>
  <c r="D24" i="9"/>
  <c r="C23" i="9"/>
  <c r="D23" i="9"/>
  <c r="D22" i="9"/>
  <c r="IF201" i="2"/>
  <c r="FY201" i="2"/>
  <c r="FX201" i="2"/>
  <c r="B9" i="5"/>
  <c r="AU201" i="2"/>
  <c r="IF200" i="2"/>
  <c r="FY200" i="2"/>
  <c r="FX200" i="2"/>
  <c r="AU200" i="2"/>
  <c r="IF199" i="2"/>
  <c r="FY199" i="2"/>
  <c r="FX199" i="2"/>
  <c r="AU199" i="2"/>
  <c r="IF198" i="2"/>
  <c r="FY198" i="2"/>
  <c r="FX198" i="2"/>
  <c r="AU198" i="2"/>
  <c r="IF197" i="2"/>
  <c r="FY197" i="2"/>
  <c r="FX197" i="2"/>
  <c r="AU197" i="2"/>
  <c r="IF196" i="2"/>
  <c r="FY196" i="2"/>
  <c r="FX196" i="2"/>
  <c r="AU196" i="2"/>
  <c r="IF195" i="2"/>
  <c r="FY195" i="2"/>
  <c r="FX195" i="2"/>
  <c r="AU195" i="2"/>
  <c r="IF194" i="2"/>
  <c r="FY194" i="2"/>
  <c r="FX194" i="2"/>
  <c r="AU194" i="2"/>
  <c r="IF193" i="2"/>
  <c r="FY193" i="2"/>
  <c r="FX193" i="2"/>
  <c r="AU193" i="2"/>
  <c r="IF192" i="2"/>
  <c r="FY192" i="2"/>
  <c r="FX192" i="2"/>
  <c r="AU192" i="2"/>
  <c r="IF191" i="2"/>
  <c r="FY191" i="2"/>
  <c r="FX191" i="2"/>
  <c r="AU191" i="2"/>
  <c r="IF190" i="2"/>
  <c r="FY190" i="2"/>
  <c r="FX190" i="2"/>
  <c r="AU190" i="2"/>
  <c r="IF189" i="2"/>
  <c r="FY189" i="2"/>
  <c r="FX189" i="2"/>
  <c r="AU189" i="2"/>
  <c r="IF188" i="2"/>
  <c r="FY188" i="2"/>
  <c r="FX188" i="2"/>
  <c r="AU188" i="2"/>
  <c r="IF187" i="2"/>
  <c r="FY187" i="2"/>
  <c r="FX187" i="2"/>
  <c r="AU187" i="2"/>
  <c r="IF186" i="2"/>
  <c r="FY186" i="2"/>
  <c r="FX186" i="2"/>
  <c r="AU186" i="2"/>
  <c r="IF185" i="2"/>
  <c r="FY185" i="2"/>
  <c r="FX185" i="2"/>
  <c r="AU185" i="2"/>
  <c r="IF184" i="2"/>
  <c r="FY184" i="2"/>
  <c r="FX184" i="2"/>
  <c r="AU184" i="2"/>
  <c r="IF183" i="2"/>
  <c r="FY183" i="2"/>
  <c r="FX183" i="2"/>
  <c r="AU183" i="2"/>
  <c r="IF182" i="2"/>
  <c r="FY182" i="2"/>
  <c r="FX182" i="2"/>
  <c r="AU182" i="2"/>
  <c r="IF181" i="2"/>
  <c r="FY181" i="2"/>
  <c r="FX181" i="2"/>
  <c r="AU181" i="2"/>
  <c r="IF180" i="2"/>
  <c r="FY180" i="2"/>
  <c r="FX180" i="2"/>
  <c r="AU180" i="2"/>
  <c r="IF179" i="2"/>
  <c r="FY179" i="2"/>
  <c r="FX179" i="2"/>
  <c r="AU179" i="2"/>
  <c r="IF178" i="2"/>
  <c r="FY178" i="2"/>
  <c r="FX178" i="2"/>
  <c r="AU178" i="2"/>
  <c r="IF177" i="2"/>
  <c r="FY177" i="2"/>
  <c r="FX177" i="2"/>
  <c r="AU177" i="2"/>
  <c r="IF176" i="2"/>
  <c r="FY176" i="2"/>
  <c r="FX176" i="2"/>
  <c r="AU176" i="2"/>
  <c r="IF175" i="2"/>
  <c r="FY175" i="2"/>
  <c r="FX175" i="2"/>
  <c r="AU175" i="2"/>
  <c r="IF174" i="2"/>
  <c r="FY174" i="2"/>
  <c r="FX174" i="2"/>
  <c r="AU174" i="2"/>
  <c r="IF173" i="2"/>
  <c r="FY173" i="2"/>
  <c r="FX173" i="2"/>
  <c r="AU173" i="2"/>
  <c r="IF172" i="2"/>
  <c r="FY172" i="2"/>
  <c r="FX172" i="2"/>
  <c r="AU172" i="2"/>
  <c r="IF171" i="2"/>
  <c r="FY171" i="2"/>
  <c r="FX171" i="2"/>
  <c r="AU171" i="2"/>
  <c r="IF170" i="2"/>
  <c r="FY170" i="2"/>
  <c r="FX170" i="2"/>
  <c r="AU170" i="2"/>
  <c r="IF169" i="2"/>
  <c r="FY169" i="2"/>
  <c r="FX169" i="2"/>
  <c r="AU169" i="2"/>
  <c r="IF168" i="2"/>
  <c r="FY168" i="2"/>
  <c r="FX168" i="2"/>
  <c r="AU168" i="2"/>
  <c r="IF167" i="2"/>
  <c r="FY167" i="2"/>
  <c r="FX167" i="2"/>
  <c r="AU167" i="2"/>
  <c r="IF166" i="2"/>
  <c r="FY166" i="2"/>
  <c r="FX166" i="2"/>
  <c r="AU166" i="2"/>
  <c r="IF165" i="2"/>
  <c r="FY165" i="2"/>
  <c r="FX165" i="2"/>
  <c r="AU165" i="2"/>
  <c r="IF164" i="2"/>
  <c r="FY164" i="2"/>
  <c r="FX164" i="2"/>
  <c r="AU164" i="2"/>
  <c r="IF163" i="2"/>
  <c r="FY163" i="2"/>
  <c r="FX163" i="2"/>
  <c r="AU163" i="2"/>
  <c r="IF162" i="2"/>
  <c r="FY162" i="2"/>
  <c r="FX162" i="2"/>
  <c r="AU162" i="2"/>
  <c r="IF161" i="2"/>
  <c r="FY161" i="2"/>
  <c r="FX161" i="2"/>
  <c r="AU161" i="2"/>
  <c r="IF160" i="2"/>
  <c r="FY160" i="2"/>
  <c r="FX160" i="2"/>
  <c r="AU160" i="2"/>
  <c r="IF159" i="2"/>
  <c r="FY159" i="2"/>
  <c r="FX159" i="2"/>
  <c r="AU159" i="2"/>
  <c r="IF158" i="2"/>
  <c r="FY158" i="2"/>
  <c r="FX158" i="2"/>
  <c r="AU158" i="2"/>
  <c r="IF157" i="2"/>
  <c r="FY157" i="2"/>
  <c r="FX157" i="2"/>
  <c r="AU157" i="2"/>
  <c r="IF156" i="2"/>
  <c r="FY156" i="2"/>
  <c r="FX156" i="2"/>
  <c r="AU156" i="2"/>
  <c r="IF155" i="2"/>
  <c r="FY155" i="2"/>
  <c r="FX155" i="2"/>
  <c r="AU155" i="2"/>
  <c r="IF154" i="2"/>
  <c r="FY154" i="2"/>
  <c r="FX154" i="2"/>
  <c r="AU154" i="2"/>
  <c r="IF153" i="2"/>
  <c r="FY153" i="2"/>
  <c r="FX153" i="2"/>
  <c r="AU153" i="2"/>
  <c r="IF152" i="2"/>
  <c r="FY152" i="2"/>
  <c r="FX152" i="2"/>
  <c r="AU152" i="2"/>
  <c r="IF151" i="2"/>
  <c r="FY151" i="2"/>
  <c r="FX151" i="2"/>
  <c r="AU151" i="2"/>
  <c r="IF150" i="2"/>
  <c r="FY150" i="2"/>
  <c r="FX150" i="2"/>
  <c r="AU150" i="2"/>
  <c r="IF149" i="2"/>
  <c r="FY149" i="2"/>
  <c r="FX149" i="2"/>
  <c r="AU149" i="2"/>
  <c r="IF148" i="2"/>
  <c r="FY148" i="2"/>
  <c r="FX148" i="2"/>
  <c r="AU148" i="2"/>
  <c r="IF147" i="2"/>
  <c r="FY147" i="2"/>
  <c r="FX147" i="2"/>
  <c r="AU147" i="2"/>
  <c r="IF146" i="2"/>
  <c r="FY146" i="2"/>
  <c r="FX146" i="2"/>
  <c r="AU146" i="2"/>
  <c r="IF145" i="2"/>
  <c r="FY145" i="2"/>
  <c r="FX145" i="2"/>
  <c r="AU145" i="2"/>
  <c r="IF144" i="2"/>
  <c r="FY144" i="2"/>
  <c r="FX144" i="2"/>
  <c r="AU144" i="2"/>
  <c r="IF143" i="2"/>
  <c r="FY143" i="2"/>
  <c r="FX143" i="2"/>
  <c r="AU143" i="2"/>
  <c r="IF142" i="2"/>
  <c r="FY142" i="2"/>
  <c r="FX142" i="2"/>
  <c r="AU142" i="2"/>
  <c r="IF141" i="2"/>
  <c r="FY141" i="2"/>
  <c r="FX141" i="2"/>
  <c r="AU141" i="2"/>
  <c r="IF140" i="2"/>
  <c r="FY140" i="2"/>
  <c r="FX140" i="2"/>
  <c r="AU140" i="2"/>
  <c r="IF139" i="2"/>
  <c r="FY139" i="2"/>
  <c r="FX139" i="2"/>
  <c r="AU139" i="2"/>
  <c r="IF138" i="2"/>
  <c r="FY138" i="2"/>
  <c r="FX138" i="2"/>
  <c r="AU138" i="2"/>
  <c r="IF137" i="2"/>
  <c r="FY137" i="2"/>
  <c r="FX137" i="2"/>
  <c r="AU137" i="2"/>
  <c r="IF136" i="2"/>
  <c r="FY136" i="2"/>
  <c r="FX136" i="2"/>
  <c r="AU136" i="2"/>
  <c r="IF135" i="2"/>
  <c r="FY135" i="2"/>
  <c r="FX135" i="2"/>
  <c r="AU135" i="2"/>
  <c r="IF134" i="2"/>
  <c r="FY134" i="2"/>
  <c r="FX134" i="2"/>
  <c r="AU134" i="2"/>
  <c r="IF133" i="2"/>
  <c r="FY133" i="2"/>
  <c r="FX133" i="2"/>
  <c r="AU133" i="2"/>
  <c r="IF132" i="2"/>
  <c r="FY132" i="2"/>
  <c r="FX132" i="2"/>
  <c r="AU132" i="2"/>
  <c r="IF131" i="2"/>
  <c r="FY131" i="2"/>
  <c r="FX131" i="2"/>
  <c r="AU131" i="2"/>
  <c r="IF130" i="2"/>
  <c r="FY130" i="2"/>
  <c r="FX130" i="2"/>
  <c r="AU130" i="2"/>
  <c r="IF129" i="2"/>
  <c r="FY129" i="2"/>
  <c r="FX129" i="2"/>
  <c r="AU129" i="2"/>
  <c r="IF128" i="2"/>
  <c r="FY128" i="2"/>
  <c r="FX128" i="2"/>
  <c r="AU128" i="2"/>
  <c r="IF127" i="2"/>
  <c r="FY127" i="2"/>
  <c r="FX127" i="2"/>
  <c r="AU127" i="2"/>
  <c r="IF126" i="2"/>
  <c r="FY126" i="2"/>
  <c r="FX126" i="2"/>
  <c r="AU126" i="2"/>
  <c r="IF125" i="2"/>
  <c r="FY125" i="2"/>
  <c r="FX125" i="2"/>
  <c r="AU125" i="2"/>
  <c r="IF124" i="2"/>
  <c r="FY124" i="2"/>
  <c r="FX124" i="2"/>
  <c r="AU124" i="2"/>
  <c r="IF123" i="2"/>
  <c r="FY123" i="2"/>
  <c r="FX123" i="2"/>
  <c r="AU123" i="2"/>
  <c r="IF122" i="2"/>
  <c r="FY122" i="2"/>
  <c r="FX122" i="2"/>
  <c r="AU122" i="2"/>
  <c r="IF121" i="2"/>
  <c r="FY121" i="2"/>
  <c r="FX121" i="2"/>
  <c r="AU121" i="2"/>
  <c r="IF120" i="2"/>
  <c r="FY120" i="2"/>
  <c r="FX120" i="2"/>
  <c r="AU120" i="2"/>
  <c r="IF119" i="2"/>
  <c r="FY119" i="2"/>
  <c r="FX119" i="2"/>
  <c r="AU119" i="2"/>
  <c r="IF118" i="2"/>
  <c r="FY118" i="2"/>
  <c r="FX118" i="2"/>
  <c r="AU118" i="2"/>
  <c r="IF117" i="2"/>
  <c r="FY117" i="2"/>
  <c r="FX117" i="2"/>
  <c r="AU117" i="2"/>
  <c r="IF116" i="2"/>
  <c r="FY116" i="2"/>
  <c r="FX116" i="2"/>
  <c r="AU116" i="2"/>
  <c r="IF115" i="2"/>
  <c r="FY115" i="2"/>
  <c r="FX115" i="2"/>
  <c r="AU115" i="2"/>
  <c r="IF114" i="2"/>
  <c r="FY114" i="2"/>
  <c r="FX114" i="2"/>
  <c r="AU114" i="2"/>
  <c r="IF113" i="2"/>
  <c r="FY113" i="2"/>
  <c r="FX113" i="2"/>
  <c r="AU113" i="2"/>
  <c r="IF112" i="2"/>
  <c r="FY112" i="2"/>
  <c r="FX112" i="2"/>
  <c r="AU112" i="2"/>
  <c r="IF111" i="2"/>
  <c r="FY111" i="2"/>
  <c r="FX111" i="2"/>
  <c r="AU111" i="2"/>
  <c r="IF110" i="2"/>
  <c r="FY110" i="2"/>
  <c r="FX110" i="2"/>
  <c r="AU110" i="2"/>
  <c r="IF109" i="2"/>
  <c r="FY109" i="2"/>
  <c r="FX109" i="2"/>
  <c r="AU109" i="2"/>
  <c r="IF108" i="2"/>
  <c r="FY108" i="2"/>
  <c r="FX108" i="2"/>
  <c r="AU108" i="2"/>
  <c r="IF107" i="2"/>
  <c r="FY107" i="2"/>
  <c r="FX107" i="2"/>
  <c r="AU107" i="2"/>
  <c r="IF106" i="2"/>
  <c r="FY106" i="2"/>
  <c r="FX106" i="2"/>
  <c r="AU106" i="2"/>
  <c r="IF105" i="2"/>
  <c r="FY105" i="2"/>
  <c r="FX105" i="2"/>
  <c r="AU105" i="2"/>
  <c r="IF104" i="2"/>
  <c r="FY104" i="2"/>
  <c r="FX104" i="2"/>
  <c r="AU104" i="2"/>
  <c r="IF103" i="2"/>
  <c r="FY103" i="2"/>
  <c r="FX103" i="2"/>
  <c r="AU103" i="2"/>
  <c r="IF102" i="2"/>
  <c r="FY102" i="2"/>
  <c r="FX102" i="2"/>
  <c r="AU102" i="2"/>
  <c r="IF101" i="2"/>
  <c r="FY101" i="2"/>
  <c r="FX101" i="2"/>
  <c r="AU101" i="2"/>
  <c r="IF100" i="2"/>
  <c r="FY100" i="2"/>
  <c r="FX100" i="2"/>
  <c r="AU100" i="2"/>
  <c r="IF99" i="2"/>
  <c r="FY99" i="2"/>
  <c r="FX99" i="2"/>
  <c r="AU99" i="2"/>
  <c r="IF98" i="2"/>
  <c r="FY98" i="2"/>
  <c r="FX98" i="2"/>
  <c r="AU98" i="2"/>
  <c r="IF97" i="2"/>
  <c r="FY97" i="2"/>
  <c r="FX97" i="2"/>
  <c r="AU97" i="2"/>
  <c r="IF96" i="2"/>
  <c r="FY96" i="2"/>
  <c r="FX96" i="2"/>
  <c r="AU96" i="2"/>
  <c r="IF95" i="2"/>
  <c r="FY95" i="2"/>
  <c r="FX95" i="2"/>
  <c r="AU95" i="2"/>
  <c r="IF94" i="2"/>
  <c r="FY94" i="2"/>
  <c r="FX94" i="2"/>
  <c r="AU94" i="2"/>
  <c r="IF93" i="2"/>
  <c r="FY93" i="2"/>
  <c r="FX93" i="2"/>
  <c r="AU93" i="2"/>
  <c r="IF92" i="2"/>
  <c r="FY92" i="2"/>
  <c r="FX92" i="2"/>
  <c r="AU92" i="2"/>
  <c r="IF91" i="2"/>
  <c r="FY91" i="2"/>
  <c r="FX91" i="2"/>
  <c r="AU91" i="2"/>
  <c r="IF90" i="2"/>
  <c r="FY90" i="2"/>
  <c r="FX90" i="2"/>
  <c r="AU90" i="2"/>
  <c r="IF89" i="2"/>
  <c r="FY89" i="2"/>
  <c r="FX89" i="2"/>
  <c r="AU89" i="2"/>
  <c r="IF88" i="2"/>
  <c r="FY88" i="2"/>
  <c r="FX88" i="2"/>
  <c r="AU88" i="2"/>
  <c r="IF87" i="2"/>
  <c r="FY87" i="2"/>
  <c r="FX87" i="2"/>
  <c r="AU87" i="2"/>
  <c r="IF86" i="2"/>
  <c r="FY86" i="2"/>
  <c r="FX86" i="2"/>
  <c r="AU86" i="2"/>
  <c r="IF85" i="2"/>
  <c r="FY85" i="2"/>
  <c r="FX85" i="2"/>
  <c r="AU85" i="2"/>
  <c r="IF84" i="2"/>
  <c r="FY84" i="2"/>
  <c r="FX84" i="2"/>
  <c r="AU84" i="2"/>
  <c r="IF83" i="2"/>
  <c r="FY83" i="2"/>
  <c r="FX83" i="2"/>
  <c r="AU83" i="2"/>
  <c r="IF82" i="2"/>
  <c r="FY82" i="2"/>
  <c r="FX82" i="2"/>
  <c r="AU82" i="2"/>
  <c r="IF81" i="2"/>
  <c r="FY81" i="2"/>
  <c r="FX81" i="2"/>
  <c r="AU81" i="2"/>
  <c r="IF80" i="2"/>
  <c r="FY80" i="2"/>
  <c r="FX80" i="2"/>
  <c r="AU80" i="2"/>
  <c r="IF79" i="2"/>
  <c r="FY79" i="2"/>
  <c r="FX79" i="2"/>
  <c r="AU79" i="2"/>
  <c r="IF78" i="2"/>
  <c r="FY78" i="2"/>
  <c r="FX78" i="2"/>
  <c r="AU78" i="2"/>
  <c r="IF77" i="2"/>
  <c r="FY77" i="2"/>
  <c r="FX77" i="2"/>
  <c r="AU77" i="2"/>
  <c r="IF76" i="2"/>
  <c r="FY76" i="2"/>
  <c r="FX76" i="2"/>
  <c r="AU76" i="2"/>
  <c r="IF75" i="2"/>
  <c r="FY75" i="2"/>
  <c r="FX75" i="2"/>
  <c r="AU75" i="2"/>
  <c r="IF74" i="2"/>
  <c r="FY74" i="2"/>
  <c r="FX74" i="2"/>
  <c r="AU74" i="2"/>
  <c r="IF73" i="2"/>
  <c r="FY73" i="2"/>
  <c r="FX73" i="2"/>
  <c r="AU73" i="2"/>
  <c r="IF72" i="2"/>
  <c r="FY72" i="2"/>
  <c r="FX72" i="2"/>
  <c r="AU72" i="2"/>
  <c r="IF71" i="2"/>
  <c r="FY71" i="2"/>
  <c r="FX71" i="2"/>
  <c r="AU71" i="2"/>
  <c r="IF70" i="2"/>
  <c r="FY70" i="2"/>
  <c r="FX70" i="2"/>
  <c r="AU70" i="2"/>
  <c r="IF69" i="2"/>
  <c r="FY69" i="2"/>
  <c r="FX69" i="2"/>
  <c r="AU69" i="2"/>
  <c r="IF68" i="2"/>
  <c r="FY68" i="2"/>
  <c r="FX68" i="2"/>
  <c r="AU68" i="2"/>
  <c r="IF67" i="2"/>
  <c r="FY67" i="2"/>
  <c r="FX67" i="2"/>
  <c r="AU67" i="2"/>
  <c r="IF66" i="2"/>
  <c r="FY66" i="2"/>
  <c r="FX66" i="2"/>
  <c r="AU66" i="2"/>
  <c r="IF65" i="2"/>
  <c r="FY65" i="2"/>
  <c r="FX65" i="2"/>
  <c r="AU65" i="2"/>
  <c r="IF64" i="2"/>
  <c r="FY64" i="2"/>
  <c r="FX64" i="2"/>
  <c r="AU64" i="2"/>
  <c r="IF63" i="2"/>
  <c r="FY63" i="2"/>
  <c r="FX63" i="2"/>
  <c r="AU63" i="2"/>
  <c r="IF62" i="2"/>
  <c r="FY62" i="2"/>
  <c r="FX62" i="2"/>
  <c r="AU62" i="2"/>
  <c r="IF61" i="2"/>
  <c r="FY61" i="2"/>
  <c r="FX61" i="2"/>
  <c r="AU61" i="2"/>
  <c r="IF60" i="2"/>
  <c r="FY60" i="2"/>
  <c r="FX60" i="2"/>
  <c r="AU60" i="2"/>
  <c r="IF59" i="2"/>
  <c r="FY59" i="2"/>
  <c r="FX59" i="2"/>
  <c r="AU59" i="2"/>
  <c r="IF58" i="2"/>
  <c r="FY58" i="2"/>
  <c r="FX58" i="2"/>
  <c r="AU58" i="2"/>
  <c r="IF57" i="2"/>
  <c r="FY57" i="2"/>
  <c r="FX57" i="2"/>
  <c r="AU57" i="2"/>
  <c r="IF56" i="2"/>
  <c r="FY56" i="2"/>
  <c r="FX56" i="2"/>
  <c r="AU56" i="2"/>
  <c r="IF55" i="2"/>
  <c r="FY55" i="2"/>
  <c r="FX55" i="2"/>
  <c r="AU55" i="2"/>
  <c r="IF54" i="2"/>
  <c r="FY54" i="2"/>
  <c r="FX54" i="2"/>
  <c r="AU54" i="2"/>
  <c r="IF53" i="2"/>
  <c r="FY53" i="2"/>
  <c r="FX53" i="2"/>
  <c r="AU53" i="2"/>
  <c r="IF52" i="2"/>
  <c r="FY52" i="2"/>
  <c r="FX52" i="2"/>
  <c r="AU52" i="2"/>
  <c r="IF51" i="2"/>
  <c r="FY51" i="2"/>
  <c r="FX51" i="2"/>
  <c r="AU51" i="2"/>
  <c r="IF50" i="2"/>
  <c r="FY50" i="2"/>
  <c r="FX50" i="2"/>
  <c r="AU50" i="2"/>
  <c r="IF49" i="2"/>
  <c r="FY49" i="2"/>
  <c r="FX49" i="2"/>
  <c r="AU49" i="2"/>
  <c r="IF48" i="2"/>
  <c r="FY48" i="2"/>
  <c r="FX48" i="2"/>
  <c r="AU48" i="2"/>
  <c r="IF47" i="2"/>
  <c r="FY47" i="2"/>
  <c r="FX47" i="2"/>
  <c r="AU47" i="2"/>
  <c r="IF46" i="2"/>
  <c r="FY46" i="2"/>
  <c r="FX46" i="2"/>
  <c r="AU46" i="2"/>
  <c r="IF45" i="2"/>
  <c r="FY45" i="2"/>
  <c r="FX45" i="2"/>
  <c r="AU45" i="2"/>
  <c r="IF44" i="2"/>
  <c r="FY44" i="2"/>
  <c r="FX44" i="2"/>
  <c r="AU44" i="2"/>
  <c r="IF43" i="2"/>
  <c r="FY43" i="2"/>
  <c r="FX43" i="2"/>
  <c r="AU43" i="2"/>
  <c r="IF42" i="2"/>
  <c r="FY42" i="2"/>
  <c r="FX42" i="2"/>
  <c r="AU42" i="2"/>
  <c r="IF41" i="2"/>
  <c r="FY41" i="2"/>
  <c r="FX41" i="2"/>
  <c r="AU41" i="2"/>
  <c r="IF40" i="2"/>
  <c r="FY40" i="2"/>
  <c r="FX40" i="2"/>
  <c r="AU40" i="2"/>
  <c r="IF39" i="2"/>
  <c r="FY39" i="2"/>
  <c r="FX39" i="2"/>
  <c r="AU39" i="2"/>
  <c r="IF38" i="2"/>
  <c r="FY38" i="2"/>
  <c r="FX38" i="2"/>
  <c r="AU38" i="2"/>
  <c r="IF37" i="2"/>
  <c r="FY37" i="2"/>
  <c r="FX37" i="2"/>
  <c r="AU37" i="2"/>
  <c r="IF36" i="2"/>
  <c r="FY36" i="2"/>
  <c r="FX36" i="2"/>
  <c r="AU36" i="2"/>
  <c r="IF35" i="2"/>
  <c r="FY35" i="2"/>
  <c r="FX35" i="2"/>
  <c r="AU35" i="2"/>
  <c r="IF34" i="2"/>
  <c r="FY34" i="2"/>
  <c r="FX34" i="2"/>
  <c r="AU34" i="2"/>
  <c r="IF33" i="2"/>
  <c r="FY33" i="2"/>
  <c r="FX33" i="2"/>
  <c r="AU33" i="2"/>
  <c r="IF32" i="2"/>
  <c r="FY32" i="2"/>
  <c r="FX32" i="2"/>
  <c r="AU32" i="2"/>
  <c r="IF31" i="2"/>
  <c r="FY31" i="2"/>
  <c r="FX31" i="2"/>
  <c r="AU31" i="2"/>
  <c r="IF30" i="2"/>
  <c r="FY30" i="2"/>
  <c r="FX30" i="2"/>
  <c r="AU30" i="2"/>
  <c r="IF29" i="2"/>
  <c r="FY29" i="2"/>
  <c r="FX29" i="2"/>
  <c r="AU29" i="2"/>
  <c r="IF28" i="2"/>
  <c r="FY28" i="2"/>
  <c r="FX28" i="2"/>
  <c r="AU28" i="2"/>
  <c r="IF27" i="2"/>
  <c r="FY27" i="2"/>
  <c r="FX27" i="2"/>
  <c r="AU27" i="2"/>
  <c r="IF26" i="2"/>
  <c r="FY26" i="2"/>
  <c r="FX26" i="2"/>
  <c r="AU26" i="2"/>
  <c r="IF25" i="2"/>
  <c r="FY25" i="2"/>
  <c r="FX25" i="2"/>
  <c r="AU25" i="2"/>
  <c r="IF24" i="2"/>
  <c r="FY24" i="2"/>
  <c r="FX24" i="2"/>
  <c r="AU24" i="2"/>
  <c r="IF23" i="2"/>
  <c r="FY23" i="2"/>
  <c r="FX23" i="2"/>
  <c r="AU23" i="2"/>
  <c r="IF22" i="2"/>
  <c r="FY22" i="2"/>
  <c r="FX22" i="2"/>
  <c r="AU22" i="2"/>
  <c r="IF21" i="2"/>
  <c r="FY21" i="2"/>
  <c r="FX21" i="2"/>
  <c r="AU21" i="2"/>
  <c r="IF20" i="2"/>
  <c r="FY20" i="2"/>
  <c r="FX20" i="2"/>
  <c r="AU20" i="2"/>
  <c r="IF19" i="2"/>
  <c r="FY19" i="2"/>
  <c r="FX19" i="2"/>
  <c r="AU19" i="2"/>
  <c r="IF18" i="2"/>
  <c r="FY18" i="2"/>
  <c r="FX18" i="2"/>
  <c r="AU18" i="2"/>
  <c r="IF17" i="2"/>
  <c r="FY17" i="2"/>
  <c r="FX17" i="2"/>
  <c r="AU17" i="2"/>
  <c r="IF16" i="2"/>
  <c r="FY16" i="2"/>
  <c r="FX16" i="2"/>
  <c r="AU16" i="2"/>
  <c r="IF15" i="2"/>
  <c r="FY15" i="2"/>
  <c r="FX15" i="2"/>
  <c r="AU15" i="2"/>
  <c r="IF14" i="2"/>
  <c r="FY14" i="2"/>
  <c r="FX14" i="2"/>
  <c r="AU14" i="2"/>
  <c r="IF13" i="2"/>
  <c r="FY13" i="2"/>
  <c r="FX13" i="2"/>
  <c r="BF2" i="2"/>
  <c r="BF3" i="2"/>
  <c r="BF4" i="2"/>
  <c r="BF5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53" i="2"/>
  <c r="BF54" i="2"/>
  <c r="BF55" i="2"/>
  <c r="BF56" i="2"/>
  <c r="BF57" i="2"/>
  <c r="BF58" i="2"/>
  <c r="BF59" i="2"/>
  <c r="BF60" i="2"/>
  <c r="BF61" i="2"/>
  <c r="BF62" i="2"/>
  <c r="BF63" i="2"/>
  <c r="BF64" i="2"/>
  <c r="BF65" i="2"/>
  <c r="BF66" i="2"/>
  <c r="BF67" i="2"/>
  <c r="BF68" i="2"/>
  <c r="BF69" i="2"/>
  <c r="BF70" i="2"/>
  <c r="BF71" i="2"/>
  <c r="BF72" i="2"/>
  <c r="BF73" i="2"/>
  <c r="BF74" i="2"/>
  <c r="BF75" i="2"/>
  <c r="BF76" i="2"/>
  <c r="BF77" i="2"/>
  <c r="BF78" i="2"/>
  <c r="BF79" i="2"/>
  <c r="BF80" i="2"/>
  <c r="BF81" i="2"/>
  <c r="BF82" i="2"/>
  <c r="BF83" i="2"/>
  <c r="BF84" i="2"/>
  <c r="BF85" i="2"/>
  <c r="BF86" i="2"/>
  <c r="BF87" i="2"/>
  <c r="BF88" i="2"/>
  <c r="BF89" i="2"/>
  <c r="BF90" i="2"/>
  <c r="BF91" i="2"/>
  <c r="BF92" i="2"/>
  <c r="BF93" i="2"/>
  <c r="BF94" i="2"/>
  <c r="BF95" i="2"/>
  <c r="BF96" i="2"/>
  <c r="BF97" i="2"/>
  <c r="BF98" i="2"/>
  <c r="BF99" i="2"/>
  <c r="BF100" i="2"/>
  <c r="BF101" i="2"/>
  <c r="BF102" i="2"/>
  <c r="BF103" i="2"/>
  <c r="BF104" i="2"/>
  <c r="BF105" i="2"/>
  <c r="BF106" i="2"/>
  <c r="BF107" i="2"/>
  <c r="BF108" i="2"/>
  <c r="BF109" i="2"/>
  <c r="BF110" i="2"/>
  <c r="BF111" i="2"/>
  <c r="BF112" i="2"/>
  <c r="BF113" i="2"/>
  <c r="BF114" i="2"/>
  <c r="BF115" i="2"/>
  <c r="BF116" i="2"/>
  <c r="BF117" i="2"/>
  <c r="BF118" i="2"/>
  <c r="BF119" i="2"/>
  <c r="BF120" i="2"/>
  <c r="BF121" i="2"/>
  <c r="BF122" i="2"/>
  <c r="BF123" i="2"/>
  <c r="BF124" i="2"/>
  <c r="BF125" i="2"/>
  <c r="BF126" i="2"/>
  <c r="BF127" i="2"/>
  <c r="BF128" i="2"/>
  <c r="BF129" i="2"/>
  <c r="BF130" i="2"/>
  <c r="BF131" i="2"/>
  <c r="BF132" i="2"/>
  <c r="BF133" i="2"/>
  <c r="BF134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6" i="2"/>
  <c r="BF187" i="2"/>
  <c r="BF188" i="2"/>
  <c r="BF189" i="2"/>
  <c r="BF190" i="2"/>
  <c r="BF191" i="2"/>
  <c r="BF192" i="2"/>
  <c r="BF193" i="2"/>
  <c r="BF194" i="2"/>
  <c r="BF195" i="2"/>
  <c r="BF196" i="2"/>
  <c r="BF197" i="2"/>
  <c r="BF198" i="2"/>
  <c r="BF199" i="2"/>
  <c r="BF200" i="2"/>
  <c r="BF201" i="2"/>
  <c r="BF1" i="2"/>
  <c r="BM19" i="2"/>
  <c r="BM20" i="2"/>
  <c r="BI13" i="2"/>
  <c r="AQ13" i="2"/>
  <c r="BI2" i="2"/>
  <c r="AQ2" i="2"/>
  <c r="BI3" i="2"/>
  <c r="AQ3" i="2"/>
  <c r="BI4" i="2"/>
  <c r="AQ4" i="2"/>
  <c r="BI5" i="2"/>
  <c r="AQ5" i="2"/>
  <c r="BI6" i="2"/>
  <c r="AQ6" i="2"/>
  <c r="BI7" i="2"/>
  <c r="AQ7" i="2"/>
  <c r="BI8" i="2"/>
  <c r="AQ8" i="2"/>
  <c r="BI9" i="2"/>
  <c r="AQ9" i="2"/>
  <c r="BI10" i="2"/>
  <c r="AQ10" i="2"/>
  <c r="BI11" i="2"/>
  <c r="AQ11" i="2"/>
  <c r="BI12" i="2"/>
  <c r="AQ12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119" i="2"/>
  <c r="AQ120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193" i="2"/>
  <c r="AQ194" i="2"/>
  <c r="AQ195" i="2"/>
  <c r="AQ196" i="2"/>
  <c r="AQ197" i="2"/>
  <c r="AQ198" i="2"/>
  <c r="AQ199" i="2"/>
  <c r="AQ200" i="2"/>
  <c r="AQ201" i="2"/>
  <c r="AU13" i="2"/>
  <c r="IF12" i="2"/>
  <c r="FY12" i="2"/>
  <c r="FX12" i="2"/>
  <c r="AU12" i="2"/>
  <c r="IF11" i="2"/>
  <c r="FY11" i="2"/>
  <c r="FX11" i="2"/>
  <c r="AU11" i="2"/>
  <c r="IF10" i="2"/>
  <c r="FY10" i="2"/>
  <c r="FX10" i="2"/>
  <c r="BV4" i="2"/>
  <c r="BV2" i="2"/>
  <c r="BV3" i="2"/>
  <c r="BV5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BW2" i="2"/>
  <c r="BW3" i="2"/>
  <c r="BW4" i="2"/>
  <c r="BW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W25" i="2"/>
  <c r="BW26" i="2"/>
  <c r="BW27" i="2"/>
  <c r="BW28" i="2"/>
  <c r="BW29" i="2"/>
  <c r="BW30" i="2"/>
  <c r="BW31" i="2"/>
  <c r="BW32" i="2"/>
  <c r="BW33" i="2"/>
  <c r="BW34" i="2"/>
  <c r="BW35" i="2"/>
  <c r="BW36" i="2"/>
  <c r="BW37" i="2"/>
  <c r="BW38" i="2"/>
  <c r="BW39" i="2"/>
  <c r="BW40" i="2"/>
  <c r="BW41" i="2"/>
  <c r="BW42" i="2"/>
  <c r="BW43" i="2"/>
  <c r="BW44" i="2"/>
  <c r="BW45" i="2"/>
  <c r="BW46" i="2"/>
  <c r="BW47" i="2"/>
  <c r="BW48" i="2"/>
  <c r="BW49" i="2"/>
  <c r="BW50" i="2"/>
  <c r="BW51" i="2"/>
  <c r="BW52" i="2"/>
  <c r="BW53" i="2"/>
  <c r="BW54" i="2"/>
  <c r="BW55" i="2"/>
  <c r="BW56" i="2"/>
  <c r="BW57" i="2"/>
  <c r="BW58" i="2"/>
  <c r="BW59" i="2"/>
  <c r="BW60" i="2"/>
  <c r="BW61" i="2"/>
  <c r="BW62" i="2"/>
  <c r="BW63" i="2"/>
  <c r="BW64" i="2"/>
  <c r="BW65" i="2"/>
  <c r="BW66" i="2"/>
  <c r="BW67" i="2"/>
  <c r="BW68" i="2"/>
  <c r="BW69" i="2"/>
  <c r="BW70" i="2"/>
  <c r="BW71" i="2"/>
  <c r="BW72" i="2"/>
  <c r="BW73" i="2"/>
  <c r="BW74" i="2"/>
  <c r="BW75" i="2"/>
  <c r="BW76" i="2"/>
  <c r="BW77" i="2"/>
  <c r="BW78" i="2"/>
  <c r="BW79" i="2"/>
  <c r="BW80" i="2"/>
  <c r="BW81" i="2"/>
  <c r="BW82" i="2"/>
  <c r="BW83" i="2"/>
  <c r="BW84" i="2"/>
  <c r="BW85" i="2"/>
  <c r="BW86" i="2"/>
  <c r="BW87" i="2"/>
  <c r="BW88" i="2"/>
  <c r="BW89" i="2"/>
  <c r="BW90" i="2"/>
  <c r="BW91" i="2"/>
  <c r="BW92" i="2"/>
  <c r="BW93" i="2"/>
  <c r="BW94" i="2"/>
  <c r="BW95" i="2"/>
  <c r="BW96" i="2"/>
  <c r="BW97" i="2"/>
  <c r="BW98" i="2"/>
  <c r="BW99" i="2"/>
  <c r="BW100" i="2"/>
  <c r="BW101" i="2"/>
  <c r="BW102" i="2"/>
  <c r="BW103" i="2"/>
  <c r="BW104" i="2"/>
  <c r="BW105" i="2"/>
  <c r="BW106" i="2"/>
  <c r="BW107" i="2"/>
  <c r="BW108" i="2"/>
  <c r="BW109" i="2"/>
  <c r="BW110" i="2"/>
  <c r="BW111" i="2"/>
  <c r="BW112" i="2"/>
  <c r="BW113" i="2"/>
  <c r="BW114" i="2"/>
  <c r="BW115" i="2"/>
  <c r="BW116" i="2"/>
  <c r="BW117" i="2"/>
  <c r="BW118" i="2"/>
  <c r="BW119" i="2"/>
  <c r="BW120" i="2"/>
  <c r="BW121" i="2"/>
  <c r="BW122" i="2"/>
  <c r="BW123" i="2"/>
  <c r="BW124" i="2"/>
  <c r="BW125" i="2"/>
  <c r="BW126" i="2"/>
  <c r="BW127" i="2"/>
  <c r="BW128" i="2"/>
  <c r="BW129" i="2"/>
  <c r="BW130" i="2"/>
  <c r="BW131" i="2"/>
  <c r="BW132" i="2"/>
  <c r="BW133" i="2"/>
  <c r="BW134" i="2"/>
  <c r="BW135" i="2"/>
  <c r="BW136" i="2"/>
  <c r="BW137" i="2"/>
  <c r="BW138" i="2"/>
  <c r="BW139" i="2"/>
  <c r="BW140" i="2"/>
  <c r="BW141" i="2"/>
  <c r="BW142" i="2"/>
  <c r="BW143" i="2"/>
  <c r="BW144" i="2"/>
  <c r="BW145" i="2"/>
  <c r="BW146" i="2"/>
  <c r="BW147" i="2"/>
  <c r="BW148" i="2"/>
  <c r="BW149" i="2"/>
  <c r="BW150" i="2"/>
  <c r="BW151" i="2"/>
  <c r="BW152" i="2"/>
  <c r="BW153" i="2"/>
  <c r="BW154" i="2"/>
  <c r="BW155" i="2"/>
  <c r="BW156" i="2"/>
  <c r="BW157" i="2"/>
  <c r="BW158" i="2"/>
  <c r="BW159" i="2"/>
  <c r="BW160" i="2"/>
  <c r="BW161" i="2"/>
  <c r="BW162" i="2"/>
  <c r="BW163" i="2"/>
  <c r="BW164" i="2"/>
  <c r="BW165" i="2"/>
  <c r="BW166" i="2"/>
  <c r="BW167" i="2"/>
  <c r="BW168" i="2"/>
  <c r="BW169" i="2"/>
  <c r="BW170" i="2"/>
  <c r="BW171" i="2"/>
  <c r="BW172" i="2"/>
  <c r="BW173" i="2"/>
  <c r="BW174" i="2"/>
  <c r="BW175" i="2"/>
  <c r="BW176" i="2"/>
  <c r="BW177" i="2"/>
  <c r="BW178" i="2"/>
  <c r="BW179" i="2"/>
  <c r="BW180" i="2"/>
  <c r="BW181" i="2"/>
  <c r="BW182" i="2"/>
  <c r="BW183" i="2"/>
  <c r="BW184" i="2"/>
  <c r="BW185" i="2"/>
  <c r="BW186" i="2"/>
  <c r="BW187" i="2"/>
  <c r="BW188" i="2"/>
  <c r="BW189" i="2"/>
  <c r="BW190" i="2"/>
  <c r="BW191" i="2"/>
  <c r="BW192" i="2"/>
  <c r="BW193" i="2"/>
  <c r="BW194" i="2"/>
  <c r="BW195" i="2"/>
  <c r="BW196" i="2"/>
  <c r="BW197" i="2"/>
  <c r="BW198" i="2"/>
  <c r="BW199" i="2"/>
  <c r="BW200" i="2"/>
  <c r="BW201" i="2"/>
  <c r="CB19" i="2"/>
  <c r="CB20" i="2"/>
  <c r="BX2" i="2"/>
  <c r="BX3" i="2"/>
  <c r="BX4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X35" i="2"/>
  <c r="BX36" i="2"/>
  <c r="BX37" i="2"/>
  <c r="BX38" i="2"/>
  <c r="BX39" i="2"/>
  <c r="BX40" i="2"/>
  <c r="BX41" i="2"/>
  <c r="BX42" i="2"/>
  <c r="BX43" i="2"/>
  <c r="BX44" i="2"/>
  <c r="BX45" i="2"/>
  <c r="BX46" i="2"/>
  <c r="BX47" i="2"/>
  <c r="BX48" i="2"/>
  <c r="BX49" i="2"/>
  <c r="BX50" i="2"/>
  <c r="BX51" i="2"/>
  <c r="BX52" i="2"/>
  <c r="BX53" i="2"/>
  <c r="BX54" i="2"/>
  <c r="BX55" i="2"/>
  <c r="BX56" i="2"/>
  <c r="BX57" i="2"/>
  <c r="BX58" i="2"/>
  <c r="BX59" i="2"/>
  <c r="BX60" i="2"/>
  <c r="BX61" i="2"/>
  <c r="BX62" i="2"/>
  <c r="BX63" i="2"/>
  <c r="BX64" i="2"/>
  <c r="BX65" i="2"/>
  <c r="BX66" i="2"/>
  <c r="BX67" i="2"/>
  <c r="BX68" i="2"/>
  <c r="BX69" i="2"/>
  <c r="BX70" i="2"/>
  <c r="BX71" i="2"/>
  <c r="BX72" i="2"/>
  <c r="BX73" i="2"/>
  <c r="BX74" i="2"/>
  <c r="BX75" i="2"/>
  <c r="BX76" i="2"/>
  <c r="BX77" i="2"/>
  <c r="BX78" i="2"/>
  <c r="BX79" i="2"/>
  <c r="BX80" i="2"/>
  <c r="BX81" i="2"/>
  <c r="BX82" i="2"/>
  <c r="BX83" i="2"/>
  <c r="BX84" i="2"/>
  <c r="BX85" i="2"/>
  <c r="BX86" i="2"/>
  <c r="BX87" i="2"/>
  <c r="BX88" i="2"/>
  <c r="BX89" i="2"/>
  <c r="BX90" i="2"/>
  <c r="BX91" i="2"/>
  <c r="BX92" i="2"/>
  <c r="BX93" i="2"/>
  <c r="BX94" i="2"/>
  <c r="BX95" i="2"/>
  <c r="BX96" i="2"/>
  <c r="BX97" i="2"/>
  <c r="BX98" i="2"/>
  <c r="BX99" i="2"/>
  <c r="BX100" i="2"/>
  <c r="BX101" i="2"/>
  <c r="BX102" i="2"/>
  <c r="BX103" i="2"/>
  <c r="BX104" i="2"/>
  <c r="BX105" i="2"/>
  <c r="BX106" i="2"/>
  <c r="BX107" i="2"/>
  <c r="BX108" i="2"/>
  <c r="BX109" i="2"/>
  <c r="BX110" i="2"/>
  <c r="BX111" i="2"/>
  <c r="BX112" i="2"/>
  <c r="BX113" i="2"/>
  <c r="BX114" i="2"/>
  <c r="BX115" i="2"/>
  <c r="BX116" i="2"/>
  <c r="BX117" i="2"/>
  <c r="BX118" i="2"/>
  <c r="BX119" i="2"/>
  <c r="BX120" i="2"/>
  <c r="BX121" i="2"/>
  <c r="BX122" i="2"/>
  <c r="BX123" i="2"/>
  <c r="BX124" i="2"/>
  <c r="BX125" i="2"/>
  <c r="BX126" i="2"/>
  <c r="BX127" i="2"/>
  <c r="BX128" i="2"/>
  <c r="BX129" i="2"/>
  <c r="BX130" i="2"/>
  <c r="BX131" i="2"/>
  <c r="BX132" i="2"/>
  <c r="BX133" i="2"/>
  <c r="BX134" i="2"/>
  <c r="BX135" i="2"/>
  <c r="BX136" i="2"/>
  <c r="BX137" i="2"/>
  <c r="BX138" i="2"/>
  <c r="BX139" i="2"/>
  <c r="BX140" i="2"/>
  <c r="BX141" i="2"/>
  <c r="BX142" i="2"/>
  <c r="BX143" i="2"/>
  <c r="BX144" i="2"/>
  <c r="BX145" i="2"/>
  <c r="BX146" i="2"/>
  <c r="BX147" i="2"/>
  <c r="BX148" i="2"/>
  <c r="BX149" i="2"/>
  <c r="BX150" i="2"/>
  <c r="BX151" i="2"/>
  <c r="BX152" i="2"/>
  <c r="BX153" i="2"/>
  <c r="BX154" i="2"/>
  <c r="BX155" i="2"/>
  <c r="BX156" i="2"/>
  <c r="BX157" i="2"/>
  <c r="BX158" i="2"/>
  <c r="BX159" i="2"/>
  <c r="BX160" i="2"/>
  <c r="BX161" i="2"/>
  <c r="BX162" i="2"/>
  <c r="BX163" i="2"/>
  <c r="BX164" i="2"/>
  <c r="BX165" i="2"/>
  <c r="BX166" i="2"/>
  <c r="BX167" i="2"/>
  <c r="BX168" i="2"/>
  <c r="BX169" i="2"/>
  <c r="BX170" i="2"/>
  <c r="BX171" i="2"/>
  <c r="BX172" i="2"/>
  <c r="BX173" i="2"/>
  <c r="BX174" i="2"/>
  <c r="BX175" i="2"/>
  <c r="BX176" i="2"/>
  <c r="BX177" i="2"/>
  <c r="BX178" i="2"/>
  <c r="BX179" i="2"/>
  <c r="BX180" i="2"/>
  <c r="BX181" i="2"/>
  <c r="BX182" i="2"/>
  <c r="BX183" i="2"/>
  <c r="BX184" i="2"/>
  <c r="BX185" i="2"/>
  <c r="BX186" i="2"/>
  <c r="BX187" i="2"/>
  <c r="BX188" i="2"/>
  <c r="BX189" i="2"/>
  <c r="BX190" i="2"/>
  <c r="BX191" i="2"/>
  <c r="BX192" i="2"/>
  <c r="BX193" i="2"/>
  <c r="BX194" i="2"/>
  <c r="BX195" i="2"/>
  <c r="BX196" i="2"/>
  <c r="BX197" i="2"/>
  <c r="BX198" i="2"/>
  <c r="BX199" i="2"/>
  <c r="BX200" i="2"/>
  <c r="BX201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CB10" i="2"/>
  <c r="BM10" i="2"/>
  <c r="AU10" i="2"/>
  <c r="IF9" i="2"/>
  <c r="FY9" i="2"/>
  <c r="FX9" i="2"/>
  <c r="BI14" i="2"/>
  <c r="BI15" i="2"/>
  <c r="BI16" i="2"/>
  <c r="BI17" i="2"/>
  <c r="BI18" i="2"/>
  <c r="BI19" i="2"/>
  <c r="BI20" i="2"/>
  <c r="BI21" i="2"/>
  <c r="BI22" i="2"/>
  <c r="BI23" i="2"/>
  <c r="BI24" i="2"/>
  <c r="BI25" i="2"/>
  <c r="BI26" i="2"/>
  <c r="BI27" i="2"/>
  <c r="BI28" i="2"/>
  <c r="BI29" i="2"/>
  <c r="BI30" i="2"/>
  <c r="BI31" i="2"/>
  <c r="BI32" i="2"/>
  <c r="BI33" i="2"/>
  <c r="BI34" i="2"/>
  <c r="BI35" i="2"/>
  <c r="BI36" i="2"/>
  <c r="BI37" i="2"/>
  <c r="BI38" i="2"/>
  <c r="BI39" i="2"/>
  <c r="BI40" i="2"/>
  <c r="BI41" i="2"/>
  <c r="BI42" i="2"/>
  <c r="BI43" i="2"/>
  <c r="BI44" i="2"/>
  <c r="BI45" i="2"/>
  <c r="BI46" i="2"/>
  <c r="BI47" i="2"/>
  <c r="BI48" i="2"/>
  <c r="BI49" i="2"/>
  <c r="BI50" i="2"/>
  <c r="BI51" i="2"/>
  <c r="BI52" i="2"/>
  <c r="BI53" i="2"/>
  <c r="BI54" i="2"/>
  <c r="BI55" i="2"/>
  <c r="BI56" i="2"/>
  <c r="BI57" i="2"/>
  <c r="BI58" i="2"/>
  <c r="BI59" i="2"/>
  <c r="BI60" i="2"/>
  <c r="BI61" i="2"/>
  <c r="BI62" i="2"/>
  <c r="BI63" i="2"/>
  <c r="BI64" i="2"/>
  <c r="BI65" i="2"/>
  <c r="BI66" i="2"/>
  <c r="BI67" i="2"/>
  <c r="BI68" i="2"/>
  <c r="BI69" i="2"/>
  <c r="BI70" i="2"/>
  <c r="BI71" i="2"/>
  <c r="BI72" i="2"/>
  <c r="BI73" i="2"/>
  <c r="BI74" i="2"/>
  <c r="BI75" i="2"/>
  <c r="BI76" i="2"/>
  <c r="BI77" i="2"/>
  <c r="BI78" i="2"/>
  <c r="BI79" i="2"/>
  <c r="BI80" i="2"/>
  <c r="BI81" i="2"/>
  <c r="BI82" i="2"/>
  <c r="BI83" i="2"/>
  <c r="BI84" i="2"/>
  <c r="BI85" i="2"/>
  <c r="BI86" i="2"/>
  <c r="BI87" i="2"/>
  <c r="BI88" i="2"/>
  <c r="BI89" i="2"/>
  <c r="BI90" i="2"/>
  <c r="BI91" i="2"/>
  <c r="BI92" i="2"/>
  <c r="BI93" i="2"/>
  <c r="BI94" i="2"/>
  <c r="BI95" i="2"/>
  <c r="BI96" i="2"/>
  <c r="BI97" i="2"/>
  <c r="BI98" i="2"/>
  <c r="BI99" i="2"/>
  <c r="BI100" i="2"/>
  <c r="BI101" i="2"/>
  <c r="BI102" i="2"/>
  <c r="BI103" i="2"/>
  <c r="BI104" i="2"/>
  <c r="BI105" i="2"/>
  <c r="BI106" i="2"/>
  <c r="BI107" i="2"/>
  <c r="BI108" i="2"/>
  <c r="BI109" i="2"/>
  <c r="BI110" i="2"/>
  <c r="BI111" i="2"/>
  <c r="BI112" i="2"/>
  <c r="BI113" i="2"/>
  <c r="BI114" i="2"/>
  <c r="BI115" i="2"/>
  <c r="BI116" i="2"/>
  <c r="BI117" i="2"/>
  <c r="BI118" i="2"/>
  <c r="BI119" i="2"/>
  <c r="BI120" i="2"/>
  <c r="BI121" i="2"/>
  <c r="BI122" i="2"/>
  <c r="BI123" i="2"/>
  <c r="BI124" i="2"/>
  <c r="BI125" i="2"/>
  <c r="BI126" i="2"/>
  <c r="BI127" i="2"/>
  <c r="BI128" i="2"/>
  <c r="BI129" i="2"/>
  <c r="BI130" i="2"/>
  <c r="BI131" i="2"/>
  <c r="BI132" i="2"/>
  <c r="BI133" i="2"/>
  <c r="BI134" i="2"/>
  <c r="BI135" i="2"/>
  <c r="BI136" i="2"/>
  <c r="BI137" i="2"/>
  <c r="BI138" i="2"/>
  <c r="BI139" i="2"/>
  <c r="BI140" i="2"/>
  <c r="BI141" i="2"/>
  <c r="BI142" i="2"/>
  <c r="BI143" i="2"/>
  <c r="BI144" i="2"/>
  <c r="BI145" i="2"/>
  <c r="BI146" i="2"/>
  <c r="BI147" i="2"/>
  <c r="BI148" i="2"/>
  <c r="BI149" i="2"/>
  <c r="BI150" i="2"/>
  <c r="BI151" i="2"/>
  <c r="BI152" i="2"/>
  <c r="BI153" i="2"/>
  <c r="BI154" i="2"/>
  <c r="BI155" i="2"/>
  <c r="BI156" i="2"/>
  <c r="BI157" i="2"/>
  <c r="BI158" i="2"/>
  <c r="BI159" i="2"/>
  <c r="BI160" i="2"/>
  <c r="BI161" i="2"/>
  <c r="BI162" i="2"/>
  <c r="BI163" i="2"/>
  <c r="BI164" i="2"/>
  <c r="BI165" i="2"/>
  <c r="BI166" i="2"/>
  <c r="BI167" i="2"/>
  <c r="BI168" i="2"/>
  <c r="BI169" i="2"/>
  <c r="BI170" i="2"/>
  <c r="BI171" i="2"/>
  <c r="BI172" i="2"/>
  <c r="BI173" i="2"/>
  <c r="BI174" i="2"/>
  <c r="BI175" i="2"/>
  <c r="BI176" i="2"/>
  <c r="BI177" i="2"/>
  <c r="BI178" i="2"/>
  <c r="BI179" i="2"/>
  <c r="BI180" i="2"/>
  <c r="BI181" i="2"/>
  <c r="BI182" i="2"/>
  <c r="BI183" i="2"/>
  <c r="BI184" i="2"/>
  <c r="BI185" i="2"/>
  <c r="BI186" i="2"/>
  <c r="BI187" i="2"/>
  <c r="BI188" i="2"/>
  <c r="BI189" i="2"/>
  <c r="BI190" i="2"/>
  <c r="BI191" i="2"/>
  <c r="BI192" i="2"/>
  <c r="BI193" i="2"/>
  <c r="BI194" i="2"/>
  <c r="BI195" i="2"/>
  <c r="BI196" i="2"/>
  <c r="BI197" i="2"/>
  <c r="BI198" i="2"/>
  <c r="BI199" i="2"/>
  <c r="BI200" i="2"/>
  <c r="BI201" i="2"/>
  <c r="BM2" i="2"/>
  <c r="BM9" i="2"/>
  <c r="AU9" i="2"/>
  <c r="IF8" i="2"/>
  <c r="FY8" i="2"/>
  <c r="FX8" i="2"/>
  <c r="AU8" i="2"/>
  <c r="IF7" i="2"/>
  <c r="FY7" i="2"/>
  <c r="FX7" i="2"/>
  <c r="AU7" i="2"/>
  <c r="IF6" i="2"/>
  <c r="FY6" i="2"/>
  <c r="FX6" i="2"/>
  <c r="AU6" i="2"/>
  <c r="IF5" i="2"/>
  <c r="FY5" i="2"/>
  <c r="FX5" i="2"/>
  <c r="AU5" i="2"/>
  <c r="IF4" i="2"/>
  <c r="FY4" i="2"/>
  <c r="FX4" i="2"/>
  <c r="AU4" i="2"/>
  <c r="IF3" i="2"/>
  <c r="FY3" i="2"/>
  <c r="FX3" i="2"/>
  <c r="CF2" i="2"/>
  <c r="CI2" i="2"/>
  <c r="CF3" i="2"/>
  <c r="CI3" i="2"/>
  <c r="CF4" i="2"/>
  <c r="CI4" i="2"/>
  <c r="CF5" i="2"/>
  <c r="CI5" i="2"/>
  <c r="CF6" i="2"/>
  <c r="CI6" i="2"/>
  <c r="CF7" i="2"/>
  <c r="CI7" i="2"/>
  <c r="CF8" i="2"/>
  <c r="CI8" i="2"/>
  <c r="CF9" i="2"/>
  <c r="CI9" i="2"/>
  <c r="CF10" i="2"/>
  <c r="CI10" i="2"/>
  <c r="CF11" i="2"/>
  <c r="CI11" i="2"/>
  <c r="CF12" i="2"/>
  <c r="CI12" i="2"/>
  <c r="CF13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I25" i="2"/>
  <c r="CI26" i="2"/>
  <c r="CI27" i="2"/>
  <c r="CI28" i="2"/>
  <c r="CI29" i="2"/>
  <c r="CI30" i="2"/>
  <c r="CI31" i="2"/>
  <c r="CI32" i="2"/>
  <c r="CI33" i="2"/>
  <c r="CI34" i="2"/>
  <c r="CI35" i="2"/>
  <c r="CI36" i="2"/>
  <c r="CI37" i="2"/>
  <c r="CI38" i="2"/>
  <c r="CI39" i="2"/>
  <c r="CI40" i="2"/>
  <c r="CI41" i="2"/>
  <c r="CI42" i="2"/>
  <c r="CI43" i="2"/>
  <c r="CI44" i="2"/>
  <c r="CI45" i="2"/>
  <c r="CI46" i="2"/>
  <c r="CI47" i="2"/>
  <c r="CI48" i="2"/>
  <c r="CI49" i="2"/>
  <c r="CI50" i="2"/>
  <c r="CI51" i="2"/>
  <c r="CI52" i="2"/>
  <c r="CI53" i="2"/>
  <c r="CI54" i="2"/>
  <c r="CI55" i="2"/>
  <c r="CI56" i="2"/>
  <c r="CI57" i="2"/>
  <c r="CI58" i="2"/>
  <c r="CI59" i="2"/>
  <c r="CI60" i="2"/>
  <c r="CI61" i="2"/>
  <c r="CI62" i="2"/>
  <c r="CI63" i="2"/>
  <c r="CI64" i="2"/>
  <c r="CI65" i="2"/>
  <c r="CI66" i="2"/>
  <c r="CI67" i="2"/>
  <c r="CI68" i="2"/>
  <c r="CI69" i="2"/>
  <c r="CI70" i="2"/>
  <c r="CI71" i="2"/>
  <c r="CI72" i="2"/>
  <c r="CI73" i="2"/>
  <c r="CI74" i="2"/>
  <c r="CI75" i="2"/>
  <c r="CI76" i="2"/>
  <c r="CI77" i="2"/>
  <c r="CI78" i="2"/>
  <c r="CI79" i="2"/>
  <c r="CI80" i="2"/>
  <c r="CI81" i="2"/>
  <c r="CI82" i="2"/>
  <c r="CI83" i="2"/>
  <c r="CI84" i="2"/>
  <c r="CI85" i="2"/>
  <c r="CI86" i="2"/>
  <c r="CI87" i="2"/>
  <c r="CI88" i="2"/>
  <c r="CI89" i="2"/>
  <c r="CI90" i="2"/>
  <c r="CI91" i="2"/>
  <c r="CI92" i="2"/>
  <c r="CI93" i="2"/>
  <c r="CI94" i="2"/>
  <c r="CI95" i="2"/>
  <c r="CI96" i="2"/>
  <c r="CI97" i="2"/>
  <c r="CI98" i="2"/>
  <c r="CI99" i="2"/>
  <c r="CI100" i="2"/>
  <c r="CI101" i="2"/>
  <c r="CI102" i="2"/>
  <c r="CI103" i="2"/>
  <c r="CI104" i="2"/>
  <c r="CI105" i="2"/>
  <c r="CI106" i="2"/>
  <c r="CI107" i="2"/>
  <c r="CI108" i="2"/>
  <c r="CI109" i="2"/>
  <c r="CI110" i="2"/>
  <c r="CI111" i="2"/>
  <c r="CI112" i="2"/>
  <c r="CI113" i="2"/>
  <c r="CI114" i="2"/>
  <c r="CI115" i="2"/>
  <c r="CI116" i="2"/>
  <c r="CI117" i="2"/>
  <c r="CI118" i="2"/>
  <c r="CI119" i="2"/>
  <c r="CI120" i="2"/>
  <c r="CI121" i="2"/>
  <c r="CI122" i="2"/>
  <c r="CI123" i="2"/>
  <c r="CI124" i="2"/>
  <c r="CI125" i="2"/>
  <c r="CI126" i="2"/>
  <c r="CI127" i="2"/>
  <c r="CI128" i="2"/>
  <c r="CI129" i="2"/>
  <c r="CI130" i="2"/>
  <c r="CI131" i="2"/>
  <c r="CI132" i="2"/>
  <c r="CI133" i="2"/>
  <c r="CI134" i="2"/>
  <c r="CI135" i="2"/>
  <c r="CI136" i="2"/>
  <c r="CI137" i="2"/>
  <c r="CI138" i="2"/>
  <c r="CI139" i="2"/>
  <c r="CI140" i="2"/>
  <c r="CI141" i="2"/>
  <c r="CI142" i="2"/>
  <c r="CI143" i="2"/>
  <c r="CI144" i="2"/>
  <c r="CI145" i="2"/>
  <c r="CI146" i="2"/>
  <c r="CI147" i="2"/>
  <c r="CI148" i="2"/>
  <c r="CI149" i="2"/>
  <c r="CI150" i="2"/>
  <c r="CI151" i="2"/>
  <c r="CI152" i="2"/>
  <c r="CI153" i="2"/>
  <c r="CI154" i="2"/>
  <c r="CI155" i="2"/>
  <c r="CI156" i="2"/>
  <c r="CI157" i="2"/>
  <c r="CI158" i="2"/>
  <c r="CI159" i="2"/>
  <c r="CI160" i="2"/>
  <c r="CI161" i="2"/>
  <c r="CI162" i="2"/>
  <c r="CI163" i="2"/>
  <c r="CI164" i="2"/>
  <c r="CI165" i="2"/>
  <c r="CI166" i="2"/>
  <c r="CI167" i="2"/>
  <c r="CI168" i="2"/>
  <c r="CI169" i="2"/>
  <c r="CI170" i="2"/>
  <c r="CI171" i="2"/>
  <c r="CI172" i="2"/>
  <c r="CI173" i="2"/>
  <c r="CI174" i="2"/>
  <c r="CI175" i="2"/>
  <c r="CI176" i="2"/>
  <c r="CI177" i="2"/>
  <c r="CI178" i="2"/>
  <c r="CI179" i="2"/>
  <c r="CI180" i="2"/>
  <c r="CI181" i="2"/>
  <c r="CI182" i="2"/>
  <c r="CI183" i="2"/>
  <c r="CI184" i="2"/>
  <c r="CI185" i="2"/>
  <c r="CI186" i="2"/>
  <c r="CI187" i="2"/>
  <c r="CI188" i="2"/>
  <c r="CI189" i="2"/>
  <c r="CI190" i="2"/>
  <c r="CI191" i="2"/>
  <c r="CI192" i="2"/>
  <c r="CI193" i="2"/>
  <c r="CI194" i="2"/>
  <c r="CI195" i="2"/>
  <c r="CI196" i="2"/>
  <c r="CI197" i="2"/>
  <c r="CI198" i="2"/>
  <c r="CI199" i="2"/>
  <c r="CI200" i="2"/>
  <c r="CI201" i="2"/>
  <c r="CE4" i="2"/>
  <c r="CG4" i="2"/>
  <c r="CE2" i="2"/>
  <c r="CG2" i="2"/>
  <c r="CE3" i="2"/>
  <c r="CG3" i="2"/>
  <c r="CE5" i="2"/>
  <c r="CG5" i="2"/>
  <c r="CE6" i="2"/>
  <c r="CG6" i="2"/>
  <c r="CE7" i="2"/>
  <c r="CG7" i="2"/>
  <c r="CE8" i="2"/>
  <c r="CG8" i="2"/>
  <c r="CE9" i="2"/>
  <c r="CG9" i="2"/>
  <c r="CE10" i="2"/>
  <c r="CG10" i="2"/>
  <c r="CE11" i="2"/>
  <c r="CG11" i="2"/>
  <c r="CE12" i="2"/>
  <c r="CG12" i="2"/>
  <c r="CE13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G54" i="2"/>
  <c r="CG55" i="2"/>
  <c r="CG56" i="2"/>
  <c r="CG57" i="2"/>
  <c r="CG58" i="2"/>
  <c r="CG59" i="2"/>
  <c r="CG60" i="2"/>
  <c r="CG61" i="2"/>
  <c r="CG62" i="2"/>
  <c r="CG63" i="2"/>
  <c r="CG64" i="2"/>
  <c r="CG65" i="2"/>
  <c r="CG66" i="2"/>
  <c r="CG67" i="2"/>
  <c r="CG68" i="2"/>
  <c r="CG69" i="2"/>
  <c r="CG70" i="2"/>
  <c r="CG71" i="2"/>
  <c r="CG72" i="2"/>
  <c r="CG73" i="2"/>
  <c r="CG74" i="2"/>
  <c r="CG75" i="2"/>
  <c r="CG76" i="2"/>
  <c r="CG77" i="2"/>
  <c r="CG78" i="2"/>
  <c r="CG79" i="2"/>
  <c r="CG80" i="2"/>
  <c r="CG81" i="2"/>
  <c r="CG82" i="2"/>
  <c r="CG83" i="2"/>
  <c r="CG84" i="2"/>
  <c r="CG85" i="2"/>
  <c r="CG86" i="2"/>
  <c r="CG87" i="2"/>
  <c r="CG88" i="2"/>
  <c r="CG89" i="2"/>
  <c r="CG90" i="2"/>
  <c r="CG91" i="2"/>
  <c r="CG92" i="2"/>
  <c r="CG93" i="2"/>
  <c r="CG94" i="2"/>
  <c r="CG95" i="2"/>
  <c r="CG96" i="2"/>
  <c r="CG97" i="2"/>
  <c r="CG98" i="2"/>
  <c r="CG99" i="2"/>
  <c r="CG100" i="2"/>
  <c r="CG101" i="2"/>
  <c r="CG102" i="2"/>
  <c r="CG103" i="2"/>
  <c r="CG104" i="2"/>
  <c r="CG105" i="2"/>
  <c r="CG106" i="2"/>
  <c r="CG107" i="2"/>
  <c r="CG108" i="2"/>
  <c r="CG109" i="2"/>
  <c r="CG110" i="2"/>
  <c r="CG111" i="2"/>
  <c r="CG112" i="2"/>
  <c r="CG113" i="2"/>
  <c r="CG114" i="2"/>
  <c r="CG115" i="2"/>
  <c r="CG116" i="2"/>
  <c r="CG117" i="2"/>
  <c r="CG118" i="2"/>
  <c r="CG119" i="2"/>
  <c r="CG120" i="2"/>
  <c r="CG121" i="2"/>
  <c r="CG122" i="2"/>
  <c r="CG123" i="2"/>
  <c r="CG124" i="2"/>
  <c r="CG125" i="2"/>
  <c r="CG126" i="2"/>
  <c r="CG127" i="2"/>
  <c r="CG128" i="2"/>
  <c r="CG129" i="2"/>
  <c r="CG130" i="2"/>
  <c r="CG131" i="2"/>
  <c r="CG132" i="2"/>
  <c r="CG133" i="2"/>
  <c r="CG134" i="2"/>
  <c r="CG135" i="2"/>
  <c r="CG136" i="2"/>
  <c r="CG137" i="2"/>
  <c r="CG138" i="2"/>
  <c r="CG139" i="2"/>
  <c r="CG140" i="2"/>
  <c r="CG141" i="2"/>
  <c r="CG142" i="2"/>
  <c r="CG143" i="2"/>
  <c r="CG144" i="2"/>
  <c r="CG145" i="2"/>
  <c r="CG146" i="2"/>
  <c r="CG147" i="2"/>
  <c r="CG148" i="2"/>
  <c r="CG149" i="2"/>
  <c r="CG150" i="2"/>
  <c r="CG151" i="2"/>
  <c r="CG152" i="2"/>
  <c r="CG153" i="2"/>
  <c r="CG154" i="2"/>
  <c r="CG155" i="2"/>
  <c r="CG156" i="2"/>
  <c r="CG157" i="2"/>
  <c r="CG158" i="2"/>
  <c r="CG159" i="2"/>
  <c r="CG160" i="2"/>
  <c r="CG161" i="2"/>
  <c r="CG162" i="2"/>
  <c r="CG163" i="2"/>
  <c r="CG164" i="2"/>
  <c r="CG165" i="2"/>
  <c r="CG166" i="2"/>
  <c r="CG167" i="2"/>
  <c r="CG168" i="2"/>
  <c r="CG169" i="2"/>
  <c r="CG170" i="2"/>
  <c r="CG171" i="2"/>
  <c r="CG172" i="2"/>
  <c r="CG173" i="2"/>
  <c r="CG174" i="2"/>
  <c r="CG175" i="2"/>
  <c r="CG176" i="2"/>
  <c r="CG177" i="2"/>
  <c r="CG178" i="2"/>
  <c r="CG179" i="2"/>
  <c r="CG180" i="2"/>
  <c r="CG181" i="2"/>
  <c r="CG182" i="2"/>
  <c r="CG183" i="2"/>
  <c r="CG184" i="2"/>
  <c r="CG185" i="2"/>
  <c r="CG186" i="2"/>
  <c r="CG187" i="2"/>
  <c r="CG188" i="2"/>
  <c r="CG189" i="2"/>
  <c r="CG190" i="2"/>
  <c r="CG191" i="2"/>
  <c r="CG192" i="2"/>
  <c r="CG193" i="2"/>
  <c r="CG194" i="2"/>
  <c r="CG195" i="2"/>
  <c r="CG196" i="2"/>
  <c r="CG197" i="2"/>
  <c r="CG198" i="2"/>
  <c r="CG199" i="2"/>
  <c r="CG200" i="2"/>
  <c r="CG201" i="2"/>
  <c r="CN19" i="2"/>
  <c r="CN20" i="2"/>
  <c r="CH2" i="2"/>
  <c r="CJ2" i="2"/>
  <c r="CH3" i="2"/>
  <c r="CJ3" i="2"/>
  <c r="CH4" i="2"/>
  <c r="CJ4" i="2"/>
  <c r="CH5" i="2"/>
  <c r="CJ5" i="2"/>
  <c r="CH6" i="2"/>
  <c r="CJ6" i="2"/>
  <c r="CH7" i="2"/>
  <c r="CJ7" i="2"/>
  <c r="CH8" i="2"/>
  <c r="CJ8" i="2"/>
  <c r="CH9" i="2"/>
  <c r="CJ9" i="2"/>
  <c r="CH10" i="2"/>
  <c r="CJ10" i="2"/>
  <c r="CH11" i="2"/>
  <c r="CJ11" i="2"/>
  <c r="CH12" i="2"/>
  <c r="CJ12" i="2"/>
  <c r="CH13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J35" i="2"/>
  <c r="CJ36" i="2"/>
  <c r="CJ37" i="2"/>
  <c r="CJ38" i="2"/>
  <c r="CJ39" i="2"/>
  <c r="CJ40" i="2"/>
  <c r="CJ41" i="2"/>
  <c r="CJ42" i="2"/>
  <c r="CJ43" i="2"/>
  <c r="CJ44" i="2"/>
  <c r="CJ45" i="2"/>
  <c r="CJ46" i="2"/>
  <c r="CJ47" i="2"/>
  <c r="CJ48" i="2"/>
  <c r="CJ49" i="2"/>
  <c r="CJ50" i="2"/>
  <c r="CJ51" i="2"/>
  <c r="CJ52" i="2"/>
  <c r="CJ53" i="2"/>
  <c r="CJ54" i="2"/>
  <c r="CJ55" i="2"/>
  <c r="CJ56" i="2"/>
  <c r="CJ57" i="2"/>
  <c r="CJ58" i="2"/>
  <c r="CJ59" i="2"/>
  <c r="CJ60" i="2"/>
  <c r="CJ61" i="2"/>
  <c r="CJ62" i="2"/>
  <c r="CJ63" i="2"/>
  <c r="CJ64" i="2"/>
  <c r="CJ65" i="2"/>
  <c r="CJ66" i="2"/>
  <c r="CJ67" i="2"/>
  <c r="CJ68" i="2"/>
  <c r="CJ69" i="2"/>
  <c r="CJ70" i="2"/>
  <c r="CJ71" i="2"/>
  <c r="CJ72" i="2"/>
  <c r="CJ73" i="2"/>
  <c r="CJ74" i="2"/>
  <c r="CJ75" i="2"/>
  <c r="CJ76" i="2"/>
  <c r="CJ77" i="2"/>
  <c r="CJ78" i="2"/>
  <c r="CJ79" i="2"/>
  <c r="CJ80" i="2"/>
  <c r="CJ81" i="2"/>
  <c r="CJ82" i="2"/>
  <c r="CJ83" i="2"/>
  <c r="CJ84" i="2"/>
  <c r="CJ85" i="2"/>
  <c r="CJ86" i="2"/>
  <c r="CJ87" i="2"/>
  <c r="CJ88" i="2"/>
  <c r="CJ89" i="2"/>
  <c r="CJ90" i="2"/>
  <c r="CJ91" i="2"/>
  <c r="CJ92" i="2"/>
  <c r="CJ93" i="2"/>
  <c r="CJ94" i="2"/>
  <c r="CJ95" i="2"/>
  <c r="CJ96" i="2"/>
  <c r="CJ97" i="2"/>
  <c r="CJ98" i="2"/>
  <c r="CJ99" i="2"/>
  <c r="CJ100" i="2"/>
  <c r="CJ101" i="2"/>
  <c r="CJ102" i="2"/>
  <c r="CJ103" i="2"/>
  <c r="CJ104" i="2"/>
  <c r="CJ105" i="2"/>
  <c r="CJ106" i="2"/>
  <c r="CJ107" i="2"/>
  <c r="CJ108" i="2"/>
  <c r="CJ109" i="2"/>
  <c r="CJ110" i="2"/>
  <c r="CJ111" i="2"/>
  <c r="CJ112" i="2"/>
  <c r="CJ113" i="2"/>
  <c r="CJ114" i="2"/>
  <c r="CJ115" i="2"/>
  <c r="CJ116" i="2"/>
  <c r="CJ117" i="2"/>
  <c r="CJ118" i="2"/>
  <c r="CJ119" i="2"/>
  <c r="CJ120" i="2"/>
  <c r="CJ121" i="2"/>
  <c r="CJ122" i="2"/>
  <c r="CJ123" i="2"/>
  <c r="CJ124" i="2"/>
  <c r="CJ125" i="2"/>
  <c r="CJ126" i="2"/>
  <c r="CJ127" i="2"/>
  <c r="CJ128" i="2"/>
  <c r="CJ129" i="2"/>
  <c r="CJ130" i="2"/>
  <c r="CJ131" i="2"/>
  <c r="CJ132" i="2"/>
  <c r="CJ133" i="2"/>
  <c r="CJ134" i="2"/>
  <c r="CJ135" i="2"/>
  <c r="CJ136" i="2"/>
  <c r="CJ137" i="2"/>
  <c r="CJ138" i="2"/>
  <c r="CJ139" i="2"/>
  <c r="CJ140" i="2"/>
  <c r="CJ141" i="2"/>
  <c r="CJ142" i="2"/>
  <c r="CJ143" i="2"/>
  <c r="CJ144" i="2"/>
  <c r="CJ145" i="2"/>
  <c r="CJ146" i="2"/>
  <c r="CJ147" i="2"/>
  <c r="CJ148" i="2"/>
  <c r="CJ149" i="2"/>
  <c r="CJ150" i="2"/>
  <c r="CJ151" i="2"/>
  <c r="CJ152" i="2"/>
  <c r="CJ153" i="2"/>
  <c r="CJ154" i="2"/>
  <c r="CJ155" i="2"/>
  <c r="CJ156" i="2"/>
  <c r="CJ157" i="2"/>
  <c r="CJ158" i="2"/>
  <c r="CJ159" i="2"/>
  <c r="CJ160" i="2"/>
  <c r="CJ161" i="2"/>
  <c r="CJ162" i="2"/>
  <c r="CJ163" i="2"/>
  <c r="CJ164" i="2"/>
  <c r="CJ165" i="2"/>
  <c r="CJ166" i="2"/>
  <c r="CJ167" i="2"/>
  <c r="CJ168" i="2"/>
  <c r="CJ169" i="2"/>
  <c r="CJ170" i="2"/>
  <c r="CJ171" i="2"/>
  <c r="CJ172" i="2"/>
  <c r="CJ173" i="2"/>
  <c r="CJ174" i="2"/>
  <c r="CJ175" i="2"/>
  <c r="CJ176" i="2"/>
  <c r="CJ177" i="2"/>
  <c r="CJ178" i="2"/>
  <c r="CJ179" i="2"/>
  <c r="CJ180" i="2"/>
  <c r="CJ181" i="2"/>
  <c r="CJ182" i="2"/>
  <c r="CJ183" i="2"/>
  <c r="CJ184" i="2"/>
  <c r="CJ185" i="2"/>
  <c r="CJ186" i="2"/>
  <c r="CJ187" i="2"/>
  <c r="CJ188" i="2"/>
  <c r="CJ189" i="2"/>
  <c r="CJ190" i="2"/>
  <c r="CJ191" i="2"/>
  <c r="CJ192" i="2"/>
  <c r="CJ193" i="2"/>
  <c r="CJ194" i="2"/>
  <c r="CJ195" i="2"/>
  <c r="CJ196" i="2"/>
  <c r="CJ197" i="2"/>
  <c r="CJ198" i="2"/>
  <c r="CJ199" i="2"/>
  <c r="CJ200" i="2"/>
  <c r="CJ201" i="2"/>
  <c r="CN2" i="2"/>
  <c r="CK2" i="2"/>
  <c r="CK3" i="2"/>
  <c r="CK4" i="2"/>
  <c r="CK5" i="2"/>
  <c r="CK6" i="2"/>
  <c r="CK7" i="2"/>
  <c r="CK8" i="2"/>
  <c r="CK9" i="2"/>
  <c r="CK10" i="2"/>
  <c r="CK11" i="2"/>
  <c r="CK12" i="2"/>
  <c r="CK13" i="2"/>
  <c r="CK14" i="2"/>
  <c r="CK15" i="2"/>
  <c r="CK16" i="2"/>
  <c r="CK17" i="2"/>
  <c r="CK18" i="2"/>
  <c r="CK19" i="2"/>
  <c r="CK20" i="2"/>
  <c r="CK21" i="2"/>
  <c r="CK22" i="2"/>
  <c r="CK23" i="2"/>
  <c r="CK24" i="2"/>
  <c r="CK25" i="2"/>
  <c r="CK26" i="2"/>
  <c r="CK27" i="2"/>
  <c r="CK28" i="2"/>
  <c r="CK29" i="2"/>
  <c r="CK30" i="2"/>
  <c r="CK31" i="2"/>
  <c r="CK32" i="2"/>
  <c r="CK33" i="2"/>
  <c r="CK34" i="2"/>
  <c r="CK35" i="2"/>
  <c r="CK36" i="2"/>
  <c r="CK37" i="2"/>
  <c r="CK38" i="2"/>
  <c r="CK39" i="2"/>
  <c r="CK40" i="2"/>
  <c r="CK41" i="2"/>
  <c r="CK42" i="2"/>
  <c r="CK43" i="2"/>
  <c r="CK44" i="2"/>
  <c r="CK45" i="2"/>
  <c r="CK46" i="2"/>
  <c r="CK47" i="2"/>
  <c r="CK48" i="2"/>
  <c r="CK49" i="2"/>
  <c r="CK50" i="2"/>
  <c r="CK51" i="2"/>
  <c r="CK52" i="2"/>
  <c r="CK53" i="2"/>
  <c r="CK54" i="2"/>
  <c r="CK55" i="2"/>
  <c r="CK56" i="2"/>
  <c r="CK57" i="2"/>
  <c r="CK58" i="2"/>
  <c r="CK59" i="2"/>
  <c r="CK60" i="2"/>
  <c r="CK61" i="2"/>
  <c r="CK62" i="2"/>
  <c r="CK63" i="2"/>
  <c r="CK64" i="2"/>
  <c r="CK65" i="2"/>
  <c r="CK66" i="2"/>
  <c r="CK67" i="2"/>
  <c r="CK68" i="2"/>
  <c r="CK69" i="2"/>
  <c r="CK70" i="2"/>
  <c r="CK71" i="2"/>
  <c r="CK72" i="2"/>
  <c r="CK73" i="2"/>
  <c r="CK74" i="2"/>
  <c r="CK75" i="2"/>
  <c r="CK76" i="2"/>
  <c r="CK77" i="2"/>
  <c r="CK78" i="2"/>
  <c r="CK79" i="2"/>
  <c r="CK80" i="2"/>
  <c r="CK81" i="2"/>
  <c r="CK82" i="2"/>
  <c r="CK83" i="2"/>
  <c r="CK84" i="2"/>
  <c r="CK85" i="2"/>
  <c r="CK86" i="2"/>
  <c r="CK87" i="2"/>
  <c r="CK88" i="2"/>
  <c r="CK89" i="2"/>
  <c r="CK90" i="2"/>
  <c r="CK91" i="2"/>
  <c r="CK92" i="2"/>
  <c r="CK93" i="2"/>
  <c r="CK94" i="2"/>
  <c r="CK95" i="2"/>
  <c r="CK96" i="2"/>
  <c r="CK97" i="2"/>
  <c r="CK98" i="2"/>
  <c r="CK99" i="2"/>
  <c r="CK100" i="2"/>
  <c r="CK101" i="2"/>
  <c r="CK102" i="2"/>
  <c r="CK103" i="2"/>
  <c r="CK104" i="2"/>
  <c r="CK105" i="2"/>
  <c r="CK106" i="2"/>
  <c r="CK107" i="2"/>
  <c r="CK108" i="2"/>
  <c r="CK109" i="2"/>
  <c r="CK110" i="2"/>
  <c r="CK111" i="2"/>
  <c r="CK112" i="2"/>
  <c r="CK113" i="2"/>
  <c r="CK114" i="2"/>
  <c r="CK115" i="2"/>
  <c r="CK116" i="2"/>
  <c r="CK117" i="2"/>
  <c r="CK118" i="2"/>
  <c r="CK119" i="2"/>
  <c r="CK120" i="2"/>
  <c r="CK121" i="2"/>
  <c r="CK122" i="2"/>
  <c r="CK123" i="2"/>
  <c r="CK124" i="2"/>
  <c r="CK125" i="2"/>
  <c r="CK126" i="2"/>
  <c r="CK127" i="2"/>
  <c r="CK128" i="2"/>
  <c r="CK129" i="2"/>
  <c r="CK130" i="2"/>
  <c r="CK131" i="2"/>
  <c r="CK132" i="2"/>
  <c r="CK133" i="2"/>
  <c r="CK134" i="2"/>
  <c r="CK135" i="2"/>
  <c r="CK136" i="2"/>
  <c r="CK137" i="2"/>
  <c r="CK138" i="2"/>
  <c r="CK139" i="2"/>
  <c r="CK140" i="2"/>
  <c r="CK141" i="2"/>
  <c r="CK142" i="2"/>
  <c r="CK143" i="2"/>
  <c r="CK144" i="2"/>
  <c r="CK145" i="2"/>
  <c r="CK146" i="2"/>
  <c r="CK147" i="2"/>
  <c r="CK148" i="2"/>
  <c r="CK149" i="2"/>
  <c r="CK150" i="2"/>
  <c r="CK151" i="2"/>
  <c r="CK152" i="2"/>
  <c r="CK153" i="2"/>
  <c r="CK154" i="2"/>
  <c r="CK155" i="2"/>
  <c r="CK156" i="2"/>
  <c r="CK157" i="2"/>
  <c r="CK158" i="2"/>
  <c r="CK159" i="2"/>
  <c r="CK160" i="2"/>
  <c r="CK161" i="2"/>
  <c r="CK162" i="2"/>
  <c r="CK163" i="2"/>
  <c r="CK164" i="2"/>
  <c r="CK165" i="2"/>
  <c r="CK166" i="2"/>
  <c r="CK167" i="2"/>
  <c r="CK168" i="2"/>
  <c r="CK169" i="2"/>
  <c r="CK170" i="2"/>
  <c r="CK171" i="2"/>
  <c r="CK172" i="2"/>
  <c r="CK173" i="2"/>
  <c r="CK174" i="2"/>
  <c r="CK175" i="2"/>
  <c r="CK176" i="2"/>
  <c r="CK177" i="2"/>
  <c r="CK178" i="2"/>
  <c r="CK179" i="2"/>
  <c r="CK180" i="2"/>
  <c r="CK181" i="2"/>
  <c r="CK182" i="2"/>
  <c r="CK183" i="2"/>
  <c r="CK184" i="2"/>
  <c r="CK185" i="2"/>
  <c r="CK186" i="2"/>
  <c r="CK187" i="2"/>
  <c r="CK188" i="2"/>
  <c r="CK189" i="2"/>
  <c r="CK190" i="2"/>
  <c r="CK191" i="2"/>
  <c r="CK192" i="2"/>
  <c r="CK193" i="2"/>
  <c r="CK194" i="2"/>
  <c r="CK195" i="2"/>
  <c r="CK196" i="2"/>
  <c r="CK197" i="2"/>
  <c r="CK198" i="2"/>
  <c r="CK199" i="2"/>
  <c r="CK200" i="2"/>
  <c r="CK201" i="2"/>
  <c r="CN3" i="2"/>
  <c r="CB2" i="2"/>
  <c r="BY2" i="2"/>
  <c r="BY3" i="2"/>
  <c r="BY4" i="2"/>
  <c r="BY5" i="2"/>
  <c r="BY6" i="2"/>
  <c r="BY7" i="2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3" i="2"/>
  <c r="BY24" i="2"/>
  <c r="BY25" i="2"/>
  <c r="BY26" i="2"/>
  <c r="BY27" i="2"/>
  <c r="BY28" i="2"/>
  <c r="BY29" i="2"/>
  <c r="BY30" i="2"/>
  <c r="BY31" i="2"/>
  <c r="BY32" i="2"/>
  <c r="BY33" i="2"/>
  <c r="BY34" i="2"/>
  <c r="BY35" i="2"/>
  <c r="BY36" i="2"/>
  <c r="BY37" i="2"/>
  <c r="BY38" i="2"/>
  <c r="BY39" i="2"/>
  <c r="BY40" i="2"/>
  <c r="BY41" i="2"/>
  <c r="BY42" i="2"/>
  <c r="BY43" i="2"/>
  <c r="BY44" i="2"/>
  <c r="BY45" i="2"/>
  <c r="BY46" i="2"/>
  <c r="BY47" i="2"/>
  <c r="BY48" i="2"/>
  <c r="BY49" i="2"/>
  <c r="BY50" i="2"/>
  <c r="BY51" i="2"/>
  <c r="BY52" i="2"/>
  <c r="BY53" i="2"/>
  <c r="BY54" i="2"/>
  <c r="BY55" i="2"/>
  <c r="BY56" i="2"/>
  <c r="BY57" i="2"/>
  <c r="BY58" i="2"/>
  <c r="BY59" i="2"/>
  <c r="BY60" i="2"/>
  <c r="BY61" i="2"/>
  <c r="BY62" i="2"/>
  <c r="BY63" i="2"/>
  <c r="BY64" i="2"/>
  <c r="BY65" i="2"/>
  <c r="BY66" i="2"/>
  <c r="BY67" i="2"/>
  <c r="BY68" i="2"/>
  <c r="BY69" i="2"/>
  <c r="BY70" i="2"/>
  <c r="BY71" i="2"/>
  <c r="BY72" i="2"/>
  <c r="BY73" i="2"/>
  <c r="BY74" i="2"/>
  <c r="BY75" i="2"/>
  <c r="BY76" i="2"/>
  <c r="BY77" i="2"/>
  <c r="BY78" i="2"/>
  <c r="BY79" i="2"/>
  <c r="BY80" i="2"/>
  <c r="BY81" i="2"/>
  <c r="BY82" i="2"/>
  <c r="BY83" i="2"/>
  <c r="BY84" i="2"/>
  <c r="BY85" i="2"/>
  <c r="BY86" i="2"/>
  <c r="BY87" i="2"/>
  <c r="BY88" i="2"/>
  <c r="BY89" i="2"/>
  <c r="BY90" i="2"/>
  <c r="BY91" i="2"/>
  <c r="BY92" i="2"/>
  <c r="BY93" i="2"/>
  <c r="BY94" i="2"/>
  <c r="BY95" i="2"/>
  <c r="BY96" i="2"/>
  <c r="BY97" i="2"/>
  <c r="BY98" i="2"/>
  <c r="BY99" i="2"/>
  <c r="BY100" i="2"/>
  <c r="BY101" i="2"/>
  <c r="BY102" i="2"/>
  <c r="BY103" i="2"/>
  <c r="BY104" i="2"/>
  <c r="BY105" i="2"/>
  <c r="BY106" i="2"/>
  <c r="BY107" i="2"/>
  <c r="BY108" i="2"/>
  <c r="BY109" i="2"/>
  <c r="BY110" i="2"/>
  <c r="BY111" i="2"/>
  <c r="BY112" i="2"/>
  <c r="BY113" i="2"/>
  <c r="BY114" i="2"/>
  <c r="BY115" i="2"/>
  <c r="BY116" i="2"/>
  <c r="BY117" i="2"/>
  <c r="BY118" i="2"/>
  <c r="BY119" i="2"/>
  <c r="BY120" i="2"/>
  <c r="BY121" i="2"/>
  <c r="BY122" i="2"/>
  <c r="BY123" i="2"/>
  <c r="BY124" i="2"/>
  <c r="BY125" i="2"/>
  <c r="BY126" i="2"/>
  <c r="BY127" i="2"/>
  <c r="BY128" i="2"/>
  <c r="BY129" i="2"/>
  <c r="BY130" i="2"/>
  <c r="BY131" i="2"/>
  <c r="BY132" i="2"/>
  <c r="BY133" i="2"/>
  <c r="BY134" i="2"/>
  <c r="BY135" i="2"/>
  <c r="BY136" i="2"/>
  <c r="BY137" i="2"/>
  <c r="BY138" i="2"/>
  <c r="BY139" i="2"/>
  <c r="BY140" i="2"/>
  <c r="BY141" i="2"/>
  <c r="BY142" i="2"/>
  <c r="BY143" i="2"/>
  <c r="BY144" i="2"/>
  <c r="BY145" i="2"/>
  <c r="BY146" i="2"/>
  <c r="BY147" i="2"/>
  <c r="BY148" i="2"/>
  <c r="BY149" i="2"/>
  <c r="BY150" i="2"/>
  <c r="BY151" i="2"/>
  <c r="BY152" i="2"/>
  <c r="BY153" i="2"/>
  <c r="BY154" i="2"/>
  <c r="BY155" i="2"/>
  <c r="BY156" i="2"/>
  <c r="BY157" i="2"/>
  <c r="BY158" i="2"/>
  <c r="BY159" i="2"/>
  <c r="BY160" i="2"/>
  <c r="BY161" i="2"/>
  <c r="BY162" i="2"/>
  <c r="BY163" i="2"/>
  <c r="BY164" i="2"/>
  <c r="BY165" i="2"/>
  <c r="BY166" i="2"/>
  <c r="BY167" i="2"/>
  <c r="BY168" i="2"/>
  <c r="BY169" i="2"/>
  <c r="BY170" i="2"/>
  <c r="BY171" i="2"/>
  <c r="BY172" i="2"/>
  <c r="BY173" i="2"/>
  <c r="BY174" i="2"/>
  <c r="BY175" i="2"/>
  <c r="BY176" i="2"/>
  <c r="BY177" i="2"/>
  <c r="BY178" i="2"/>
  <c r="BY179" i="2"/>
  <c r="BY180" i="2"/>
  <c r="BY181" i="2"/>
  <c r="BY182" i="2"/>
  <c r="BY183" i="2"/>
  <c r="BY184" i="2"/>
  <c r="BY185" i="2"/>
  <c r="BY186" i="2"/>
  <c r="BY187" i="2"/>
  <c r="BY188" i="2"/>
  <c r="BY189" i="2"/>
  <c r="BY190" i="2"/>
  <c r="BY191" i="2"/>
  <c r="BY192" i="2"/>
  <c r="BY193" i="2"/>
  <c r="BY194" i="2"/>
  <c r="BY195" i="2"/>
  <c r="BY196" i="2"/>
  <c r="BY197" i="2"/>
  <c r="BY198" i="2"/>
  <c r="BY199" i="2"/>
  <c r="BY200" i="2"/>
  <c r="BY201" i="2"/>
  <c r="CB3" i="2"/>
  <c r="BJ2" i="2"/>
  <c r="BJ3" i="2"/>
  <c r="BJ4" i="2"/>
  <c r="BJ5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J66" i="2"/>
  <c r="BJ67" i="2"/>
  <c r="BJ68" i="2"/>
  <c r="BJ69" i="2"/>
  <c r="BJ70" i="2"/>
  <c r="BJ71" i="2"/>
  <c r="BJ72" i="2"/>
  <c r="BJ73" i="2"/>
  <c r="BJ74" i="2"/>
  <c r="BJ75" i="2"/>
  <c r="BJ76" i="2"/>
  <c r="BJ77" i="2"/>
  <c r="BJ78" i="2"/>
  <c r="BJ79" i="2"/>
  <c r="BJ80" i="2"/>
  <c r="BJ81" i="2"/>
  <c r="BJ82" i="2"/>
  <c r="BJ83" i="2"/>
  <c r="BJ84" i="2"/>
  <c r="BJ85" i="2"/>
  <c r="BJ86" i="2"/>
  <c r="BJ87" i="2"/>
  <c r="BJ88" i="2"/>
  <c r="BJ89" i="2"/>
  <c r="BJ90" i="2"/>
  <c r="BJ91" i="2"/>
  <c r="BJ92" i="2"/>
  <c r="BJ93" i="2"/>
  <c r="BJ94" i="2"/>
  <c r="BJ95" i="2"/>
  <c r="BJ96" i="2"/>
  <c r="BJ97" i="2"/>
  <c r="BJ98" i="2"/>
  <c r="BJ99" i="2"/>
  <c r="BJ100" i="2"/>
  <c r="BJ101" i="2"/>
  <c r="BJ102" i="2"/>
  <c r="BJ103" i="2"/>
  <c r="BJ104" i="2"/>
  <c r="BJ105" i="2"/>
  <c r="BJ106" i="2"/>
  <c r="BJ107" i="2"/>
  <c r="BJ108" i="2"/>
  <c r="BJ109" i="2"/>
  <c r="BJ110" i="2"/>
  <c r="BJ111" i="2"/>
  <c r="BJ112" i="2"/>
  <c r="BJ113" i="2"/>
  <c r="BJ114" i="2"/>
  <c r="BJ115" i="2"/>
  <c r="BJ116" i="2"/>
  <c r="BJ117" i="2"/>
  <c r="BJ118" i="2"/>
  <c r="BJ119" i="2"/>
  <c r="BJ120" i="2"/>
  <c r="BJ121" i="2"/>
  <c r="BJ122" i="2"/>
  <c r="BJ123" i="2"/>
  <c r="BJ124" i="2"/>
  <c r="BJ125" i="2"/>
  <c r="BJ126" i="2"/>
  <c r="BJ127" i="2"/>
  <c r="BJ128" i="2"/>
  <c r="BJ129" i="2"/>
  <c r="BJ130" i="2"/>
  <c r="BJ131" i="2"/>
  <c r="BJ132" i="2"/>
  <c r="BJ133" i="2"/>
  <c r="BJ134" i="2"/>
  <c r="BJ135" i="2"/>
  <c r="BJ136" i="2"/>
  <c r="BJ137" i="2"/>
  <c r="BJ138" i="2"/>
  <c r="BJ139" i="2"/>
  <c r="BJ140" i="2"/>
  <c r="BJ141" i="2"/>
  <c r="BJ142" i="2"/>
  <c r="BJ143" i="2"/>
  <c r="BJ144" i="2"/>
  <c r="BJ145" i="2"/>
  <c r="BJ146" i="2"/>
  <c r="BJ147" i="2"/>
  <c r="BJ148" i="2"/>
  <c r="BJ149" i="2"/>
  <c r="BJ150" i="2"/>
  <c r="BJ151" i="2"/>
  <c r="BJ152" i="2"/>
  <c r="BJ153" i="2"/>
  <c r="BJ154" i="2"/>
  <c r="BJ155" i="2"/>
  <c r="BJ156" i="2"/>
  <c r="BJ157" i="2"/>
  <c r="BJ158" i="2"/>
  <c r="BJ159" i="2"/>
  <c r="BJ160" i="2"/>
  <c r="BJ161" i="2"/>
  <c r="BJ162" i="2"/>
  <c r="BJ163" i="2"/>
  <c r="BJ164" i="2"/>
  <c r="BJ165" i="2"/>
  <c r="BJ166" i="2"/>
  <c r="BJ167" i="2"/>
  <c r="BJ168" i="2"/>
  <c r="BJ169" i="2"/>
  <c r="BJ170" i="2"/>
  <c r="BJ171" i="2"/>
  <c r="BJ172" i="2"/>
  <c r="BJ173" i="2"/>
  <c r="BJ174" i="2"/>
  <c r="BJ175" i="2"/>
  <c r="BJ176" i="2"/>
  <c r="BJ177" i="2"/>
  <c r="BJ178" i="2"/>
  <c r="BJ179" i="2"/>
  <c r="BJ180" i="2"/>
  <c r="BJ181" i="2"/>
  <c r="BJ182" i="2"/>
  <c r="BJ183" i="2"/>
  <c r="BJ184" i="2"/>
  <c r="BJ185" i="2"/>
  <c r="BJ186" i="2"/>
  <c r="BJ187" i="2"/>
  <c r="BJ188" i="2"/>
  <c r="BJ189" i="2"/>
  <c r="BJ190" i="2"/>
  <c r="BJ191" i="2"/>
  <c r="BJ192" i="2"/>
  <c r="BJ193" i="2"/>
  <c r="BJ194" i="2"/>
  <c r="BJ195" i="2"/>
  <c r="BJ196" i="2"/>
  <c r="BJ197" i="2"/>
  <c r="BJ198" i="2"/>
  <c r="BJ199" i="2"/>
  <c r="BJ200" i="2"/>
  <c r="BJ201" i="2"/>
  <c r="BM3" i="2"/>
  <c r="AU3" i="2"/>
  <c r="IF2" i="2"/>
  <c r="FY2" i="2"/>
  <c r="FX2" i="2"/>
  <c r="AU2" i="2"/>
  <c r="GE2" i="2"/>
  <c r="HB3" i="2"/>
  <c r="HB5" i="2"/>
  <c r="B4" i="10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G183" i="10"/>
  <c r="G182" i="10"/>
  <c r="G181" i="10"/>
  <c r="G180" i="10"/>
  <c r="G179" i="10"/>
  <c r="G178" i="10"/>
  <c r="G177" i="10"/>
  <c r="G176" i="10"/>
  <c r="G175" i="10"/>
  <c r="G174" i="10"/>
  <c r="G173" i="10"/>
  <c r="G172" i="10"/>
  <c r="G171" i="10"/>
  <c r="G170" i="10"/>
  <c r="G169" i="10"/>
  <c r="G168" i="10"/>
  <c r="G167" i="10"/>
  <c r="G166" i="10"/>
  <c r="G165" i="10"/>
  <c r="G164" i="10"/>
  <c r="G163" i="10"/>
  <c r="G162" i="10"/>
  <c r="G161" i="10"/>
  <c r="G160" i="10"/>
  <c r="G159" i="10"/>
  <c r="G158" i="10"/>
  <c r="G157" i="10"/>
  <c r="G156" i="10"/>
  <c r="G155" i="10"/>
  <c r="G154" i="10"/>
  <c r="G153" i="10"/>
  <c r="G152" i="10"/>
  <c r="G151" i="10"/>
  <c r="G150" i="10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G131" i="10"/>
  <c r="G130" i="10"/>
  <c r="G129" i="10"/>
  <c r="G128" i="10"/>
  <c r="G127" i="10"/>
  <c r="G126" i="10"/>
  <c r="G125" i="10"/>
  <c r="G124" i="10"/>
  <c r="G123" i="10"/>
  <c r="G122" i="10"/>
  <c r="G121" i="10"/>
  <c r="G120" i="10"/>
  <c r="G119" i="10"/>
  <c r="G118" i="10"/>
  <c r="G117" i="10"/>
  <c r="G116" i="10"/>
  <c r="G115" i="10"/>
  <c r="G114" i="10"/>
  <c r="G113" i="10"/>
  <c r="G112" i="10"/>
  <c r="G111" i="10"/>
  <c r="G110" i="10"/>
  <c r="G109" i="10"/>
  <c r="G108" i="10"/>
  <c r="G107" i="10"/>
  <c r="G106" i="10"/>
  <c r="G105" i="10"/>
  <c r="G104" i="10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G87" i="10"/>
  <c r="G86" i="10"/>
  <c r="G85" i="10"/>
  <c r="G84" i="10"/>
  <c r="G83" i="10"/>
  <c r="G82" i="10"/>
  <c r="G81" i="10"/>
  <c r="G80" i="10"/>
  <c r="G79" i="10"/>
  <c r="G78" i="10"/>
  <c r="G77" i="10"/>
  <c r="G76" i="10"/>
  <c r="G75" i="10"/>
  <c r="G74" i="10"/>
  <c r="G73" i="10"/>
  <c r="G72" i="10"/>
  <c r="G71" i="10"/>
  <c r="G70" i="10"/>
  <c r="G69" i="10"/>
  <c r="G68" i="10"/>
  <c r="G67" i="10"/>
  <c r="G66" i="10"/>
  <c r="G65" i="10"/>
  <c r="G64" i="10"/>
  <c r="G63" i="10"/>
  <c r="G62" i="10"/>
  <c r="G61" i="10"/>
  <c r="G60" i="10"/>
  <c r="G59" i="10"/>
  <c r="G58" i="10"/>
  <c r="G57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G41" i="10"/>
  <c r="G40" i="10"/>
  <c r="G39" i="10"/>
  <c r="G38" i="10"/>
  <c r="FD2" i="2"/>
  <c r="FE2" i="2"/>
  <c r="FD3" i="2"/>
  <c r="FE3" i="2"/>
  <c r="FD4" i="2"/>
  <c r="FE4" i="2"/>
  <c r="FD5" i="2"/>
  <c r="FE5" i="2"/>
  <c r="FD6" i="2"/>
  <c r="FE6" i="2"/>
  <c r="FD7" i="2"/>
  <c r="FE7" i="2"/>
  <c r="FD8" i="2"/>
  <c r="FE8" i="2"/>
  <c r="FD9" i="2"/>
  <c r="FE9" i="2"/>
  <c r="FD10" i="2"/>
  <c r="FE10" i="2"/>
  <c r="FD11" i="2"/>
  <c r="FE11" i="2"/>
  <c r="FD12" i="2"/>
  <c r="FE12" i="2"/>
  <c r="FD13" i="2"/>
  <c r="FE13" i="2"/>
  <c r="FE14" i="2"/>
  <c r="FE15" i="2"/>
  <c r="FE16" i="2"/>
  <c r="FE17" i="2"/>
  <c r="FE18" i="2"/>
  <c r="FE19" i="2"/>
  <c r="FE20" i="2"/>
  <c r="FE21" i="2"/>
  <c r="FE22" i="2"/>
  <c r="FE23" i="2"/>
  <c r="FE24" i="2"/>
  <c r="FE25" i="2"/>
  <c r="FE26" i="2"/>
  <c r="FE27" i="2"/>
  <c r="FE28" i="2"/>
  <c r="FE29" i="2"/>
  <c r="FE30" i="2"/>
  <c r="FE31" i="2"/>
  <c r="FE32" i="2"/>
  <c r="FE33" i="2"/>
  <c r="FE34" i="2"/>
  <c r="FE35" i="2"/>
  <c r="FE36" i="2"/>
  <c r="FE37" i="2"/>
  <c r="FE38" i="2"/>
  <c r="FE39" i="2"/>
  <c r="FE40" i="2"/>
  <c r="FE41" i="2"/>
  <c r="FE42" i="2"/>
  <c r="FE43" i="2"/>
  <c r="FE44" i="2"/>
  <c r="FE45" i="2"/>
  <c r="FE46" i="2"/>
  <c r="FE47" i="2"/>
  <c r="FE48" i="2"/>
  <c r="FE49" i="2"/>
  <c r="FE50" i="2"/>
  <c r="FE51" i="2"/>
  <c r="FE52" i="2"/>
  <c r="FE53" i="2"/>
  <c r="FE54" i="2"/>
  <c r="FE55" i="2"/>
  <c r="FE56" i="2"/>
  <c r="FE57" i="2"/>
  <c r="FE58" i="2"/>
  <c r="FE59" i="2"/>
  <c r="FE60" i="2"/>
  <c r="FE61" i="2"/>
  <c r="FE62" i="2"/>
  <c r="FE63" i="2"/>
  <c r="FE64" i="2"/>
  <c r="FE65" i="2"/>
  <c r="FE66" i="2"/>
  <c r="FE67" i="2"/>
  <c r="FE68" i="2"/>
  <c r="FE69" i="2"/>
  <c r="FE70" i="2"/>
  <c r="FE71" i="2"/>
  <c r="FE72" i="2"/>
  <c r="FE73" i="2"/>
  <c r="FE74" i="2"/>
  <c r="FE75" i="2"/>
  <c r="FE76" i="2"/>
  <c r="FE77" i="2"/>
  <c r="FE78" i="2"/>
  <c r="FE79" i="2"/>
  <c r="FE80" i="2"/>
  <c r="FE81" i="2"/>
  <c r="FE82" i="2"/>
  <c r="FE83" i="2"/>
  <c r="FE84" i="2"/>
  <c r="FE85" i="2"/>
  <c r="FE86" i="2"/>
  <c r="FE87" i="2"/>
  <c r="FE88" i="2"/>
  <c r="FE89" i="2"/>
  <c r="FE90" i="2"/>
  <c r="FE91" i="2"/>
  <c r="FE92" i="2"/>
  <c r="FE93" i="2"/>
  <c r="FE94" i="2"/>
  <c r="FE95" i="2"/>
  <c r="FE96" i="2"/>
  <c r="FE97" i="2"/>
  <c r="FE98" i="2"/>
  <c r="FE99" i="2"/>
  <c r="FE100" i="2"/>
  <c r="FE101" i="2"/>
  <c r="FE102" i="2"/>
  <c r="FE103" i="2"/>
  <c r="FE104" i="2"/>
  <c r="FE105" i="2"/>
  <c r="FE106" i="2"/>
  <c r="FE107" i="2"/>
  <c r="FE108" i="2"/>
  <c r="FE109" i="2"/>
  <c r="FE110" i="2"/>
  <c r="FE111" i="2"/>
  <c r="FE112" i="2"/>
  <c r="FE113" i="2"/>
  <c r="FE114" i="2"/>
  <c r="FE115" i="2"/>
  <c r="FE116" i="2"/>
  <c r="FE117" i="2"/>
  <c r="FE118" i="2"/>
  <c r="FE119" i="2"/>
  <c r="FE120" i="2"/>
  <c r="FE121" i="2"/>
  <c r="FE122" i="2"/>
  <c r="FE123" i="2"/>
  <c r="FE124" i="2"/>
  <c r="FE125" i="2"/>
  <c r="FE126" i="2"/>
  <c r="FE127" i="2"/>
  <c r="FE128" i="2"/>
  <c r="FE129" i="2"/>
  <c r="FE130" i="2"/>
  <c r="FE131" i="2"/>
  <c r="FE132" i="2"/>
  <c r="FE133" i="2"/>
  <c r="FE134" i="2"/>
  <c r="FE135" i="2"/>
  <c r="FE136" i="2"/>
  <c r="FE137" i="2"/>
  <c r="FE138" i="2"/>
  <c r="FE139" i="2"/>
  <c r="FE140" i="2"/>
  <c r="FE141" i="2"/>
  <c r="FE142" i="2"/>
  <c r="FE143" i="2"/>
  <c r="FE144" i="2"/>
  <c r="FE145" i="2"/>
  <c r="FE146" i="2"/>
  <c r="FE147" i="2"/>
  <c r="FE148" i="2"/>
  <c r="FE149" i="2"/>
  <c r="FE150" i="2"/>
  <c r="FE151" i="2"/>
  <c r="FE152" i="2"/>
  <c r="FE153" i="2"/>
  <c r="FE154" i="2"/>
  <c r="FE155" i="2"/>
  <c r="FE156" i="2"/>
  <c r="FE157" i="2"/>
  <c r="FE158" i="2"/>
  <c r="FE159" i="2"/>
  <c r="FE160" i="2"/>
  <c r="FE161" i="2"/>
  <c r="FE162" i="2"/>
  <c r="FE163" i="2"/>
  <c r="FE164" i="2"/>
  <c r="FE165" i="2"/>
  <c r="FE166" i="2"/>
  <c r="FE167" i="2"/>
  <c r="FE168" i="2"/>
  <c r="FE169" i="2"/>
  <c r="FE170" i="2"/>
  <c r="FE171" i="2"/>
  <c r="FE172" i="2"/>
  <c r="FE173" i="2"/>
  <c r="FE174" i="2"/>
  <c r="FE175" i="2"/>
  <c r="FE176" i="2"/>
  <c r="FE177" i="2"/>
  <c r="FE178" i="2"/>
  <c r="FE179" i="2"/>
  <c r="FE180" i="2"/>
  <c r="FE181" i="2"/>
  <c r="FE182" i="2"/>
  <c r="FE183" i="2"/>
  <c r="FE184" i="2"/>
  <c r="FE185" i="2"/>
  <c r="FE186" i="2"/>
  <c r="FE187" i="2"/>
  <c r="FE188" i="2"/>
  <c r="FE189" i="2"/>
  <c r="FE190" i="2"/>
  <c r="FE191" i="2"/>
  <c r="FE192" i="2"/>
  <c r="FE193" i="2"/>
  <c r="FE194" i="2"/>
  <c r="FE195" i="2"/>
  <c r="FE196" i="2"/>
  <c r="FE197" i="2"/>
  <c r="FE198" i="2"/>
  <c r="FE199" i="2"/>
  <c r="FE200" i="2"/>
  <c r="FE201" i="2"/>
  <c r="FP3" i="2"/>
  <c r="F2" i="10"/>
  <c r="F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1" i="10"/>
  <c r="FP2" i="2"/>
  <c r="FF2" i="2"/>
  <c r="FF3" i="2"/>
  <c r="FF4" i="2"/>
  <c r="FF5" i="2"/>
  <c r="FF6" i="2"/>
  <c r="FF7" i="2"/>
  <c r="FF8" i="2"/>
  <c r="FF9" i="2"/>
  <c r="FF10" i="2"/>
  <c r="FF11" i="2"/>
  <c r="FF12" i="2"/>
  <c r="FF13" i="2"/>
  <c r="FF14" i="2"/>
  <c r="FF15" i="2"/>
  <c r="FF16" i="2"/>
  <c r="FF17" i="2"/>
  <c r="FF18" i="2"/>
  <c r="FF19" i="2"/>
  <c r="FF20" i="2"/>
  <c r="FF21" i="2"/>
  <c r="FF22" i="2"/>
  <c r="FF23" i="2"/>
  <c r="FF24" i="2"/>
  <c r="FF25" i="2"/>
  <c r="FF26" i="2"/>
  <c r="FF27" i="2"/>
  <c r="FF28" i="2"/>
  <c r="FF29" i="2"/>
  <c r="FF30" i="2"/>
  <c r="FF31" i="2"/>
  <c r="FF32" i="2"/>
  <c r="FF33" i="2"/>
  <c r="FF34" i="2"/>
  <c r="FF35" i="2"/>
  <c r="FF36" i="2"/>
  <c r="FF37" i="2"/>
  <c r="FF38" i="2"/>
  <c r="FF39" i="2"/>
  <c r="FF40" i="2"/>
  <c r="FF41" i="2"/>
  <c r="FF42" i="2"/>
  <c r="FF43" i="2"/>
  <c r="FF44" i="2"/>
  <c r="FF45" i="2"/>
  <c r="FF46" i="2"/>
  <c r="FF47" i="2"/>
  <c r="FF48" i="2"/>
  <c r="FF49" i="2"/>
  <c r="FF50" i="2"/>
  <c r="FF51" i="2"/>
  <c r="FF52" i="2"/>
  <c r="FF53" i="2"/>
  <c r="FF54" i="2"/>
  <c r="FF55" i="2"/>
  <c r="FF56" i="2"/>
  <c r="FF57" i="2"/>
  <c r="FF58" i="2"/>
  <c r="FF59" i="2"/>
  <c r="FF60" i="2"/>
  <c r="FF61" i="2"/>
  <c r="FF62" i="2"/>
  <c r="FF63" i="2"/>
  <c r="FF64" i="2"/>
  <c r="FF65" i="2"/>
  <c r="FF66" i="2"/>
  <c r="FF67" i="2"/>
  <c r="FF68" i="2"/>
  <c r="FF69" i="2"/>
  <c r="FF70" i="2"/>
  <c r="FF71" i="2"/>
  <c r="FF72" i="2"/>
  <c r="FF73" i="2"/>
  <c r="FF74" i="2"/>
  <c r="FF75" i="2"/>
  <c r="FF76" i="2"/>
  <c r="FF77" i="2"/>
  <c r="FF78" i="2"/>
  <c r="FF79" i="2"/>
  <c r="FF80" i="2"/>
  <c r="FF81" i="2"/>
  <c r="FF82" i="2"/>
  <c r="FF83" i="2"/>
  <c r="FF84" i="2"/>
  <c r="FF85" i="2"/>
  <c r="FF86" i="2"/>
  <c r="FF87" i="2"/>
  <c r="FF88" i="2"/>
  <c r="FF89" i="2"/>
  <c r="FF90" i="2"/>
  <c r="FF91" i="2"/>
  <c r="FF92" i="2"/>
  <c r="FF93" i="2"/>
  <c r="FF94" i="2"/>
  <c r="FF95" i="2"/>
  <c r="FF96" i="2"/>
  <c r="FF97" i="2"/>
  <c r="FF98" i="2"/>
  <c r="FF99" i="2"/>
  <c r="FF100" i="2"/>
  <c r="FF101" i="2"/>
  <c r="FF102" i="2"/>
  <c r="FF103" i="2"/>
  <c r="FF104" i="2"/>
  <c r="FF105" i="2"/>
  <c r="FF106" i="2"/>
  <c r="FF107" i="2"/>
  <c r="FF108" i="2"/>
  <c r="FF109" i="2"/>
  <c r="FF110" i="2"/>
  <c r="FF111" i="2"/>
  <c r="FF112" i="2"/>
  <c r="FF113" i="2"/>
  <c r="FF114" i="2"/>
  <c r="FF115" i="2"/>
  <c r="FF116" i="2"/>
  <c r="FF117" i="2"/>
  <c r="FF118" i="2"/>
  <c r="FF119" i="2"/>
  <c r="FF120" i="2"/>
  <c r="FF121" i="2"/>
  <c r="FF122" i="2"/>
  <c r="FF123" i="2"/>
  <c r="FF124" i="2"/>
  <c r="FF125" i="2"/>
  <c r="FF126" i="2"/>
  <c r="FF127" i="2"/>
  <c r="FF128" i="2"/>
  <c r="FF129" i="2"/>
  <c r="FF130" i="2"/>
  <c r="FF131" i="2"/>
  <c r="FF132" i="2"/>
  <c r="FF133" i="2"/>
  <c r="FF134" i="2"/>
  <c r="FF135" i="2"/>
  <c r="FF136" i="2"/>
  <c r="FF137" i="2"/>
  <c r="FF138" i="2"/>
  <c r="FF139" i="2"/>
  <c r="FF140" i="2"/>
  <c r="FF141" i="2"/>
  <c r="FF142" i="2"/>
  <c r="FF143" i="2"/>
  <c r="FF144" i="2"/>
  <c r="FF145" i="2"/>
  <c r="FF146" i="2"/>
  <c r="FF147" i="2"/>
  <c r="FF148" i="2"/>
  <c r="FF149" i="2"/>
  <c r="FF150" i="2"/>
  <c r="FF151" i="2"/>
  <c r="FF152" i="2"/>
  <c r="FF153" i="2"/>
  <c r="FF154" i="2"/>
  <c r="FF155" i="2"/>
  <c r="FF156" i="2"/>
  <c r="FF157" i="2"/>
  <c r="FF158" i="2"/>
  <c r="FF159" i="2"/>
  <c r="FF160" i="2"/>
  <c r="FF161" i="2"/>
  <c r="FF162" i="2"/>
  <c r="FF163" i="2"/>
  <c r="FF164" i="2"/>
  <c r="FF165" i="2"/>
  <c r="FF166" i="2"/>
  <c r="FF167" i="2"/>
  <c r="FF168" i="2"/>
  <c r="FF169" i="2"/>
  <c r="FF170" i="2"/>
  <c r="FF171" i="2"/>
  <c r="FF172" i="2"/>
  <c r="FF173" i="2"/>
  <c r="FF174" i="2"/>
  <c r="FF175" i="2"/>
  <c r="FF176" i="2"/>
  <c r="FF177" i="2"/>
  <c r="FF178" i="2"/>
  <c r="FF179" i="2"/>
  <c r="FF180" i="2"/>
  <c r="FF181" i="2"/>
  <c r="FF182" i="2"/>
  <c r="FF183" i="2"/>
  <c r="FF184" i="2"/>
  <c r="FF185" i="2"/>
  <c r="FF186" i="2"/>
  <c r="FF187" i="2"/>
  <c r="FF188" i="2"/>
  <c r="FF189" i="2"/>
  <c r="FF190" i="2"/>
  <c r="FF191" i="2"/>
  <c r="FF192" i="2"/>
  <c r="FF193" i="2"/>
  <c r="FF194" i="2"/>
  <c r="FF195" i="2"/>
  <c r="FF196" i="2"/>
  <c r="FF197" i="2"/>
  <c r="FF198" i="2"/>
  <c r="FF199" i="2"/>
  <c r="FF200" i="2"/>
  <c r="FF201" i="2"/>
  <c r="E2" i="10"/>
  <c r="FG2" i="2"/>
  <c r="E3" i="10"/>
  <c r="FG3" i="2"/>
  <c r="E4" i="10"/>
  <c r="FG4" i="2"/>
  <c r="E5" i="10"/>
  <c r="FG5" i="2"/>
  <c r="E6" i="10"/>
  <c r="FG6" i="2"/>
  <c r="E7" i="10"/>
  <c r="FG7" i="2"/>
  <c r="E8" i="10"/>
  <c r="FG8" i="2"/>
  <c r="E9" i="10"/>
  <c r="FG9" i="2"/>
  <c r="E10" i="10"/>
  <c r="FG10" i="2"/>
  <c r="E11" i="10"/>
  <c r="FG11" i="2"/>
  <c r="E12" i="10"/>
  <c r="FG12" i="2"/>
  <c r="E13" i="10"/>
  <c r="FG13" i="2"/>
  <c r="FG14" i="2"/>
  <c r="FG15" i="2"/>
  <c r="FG16" i="2"/>
  <c r="FG17" i="2"/>
  <c r="FG18" i="2"/>
  <c r="FG19" i="2"/>
  <c r="FG20" i="2"/>
  <c r="FG21" i="2"/>
  <c r="FG22" i="2"/>
  <c r="FG23" i="2"/>
  <c r="FG24" i="2"/>
  <c r="FG25" i="2"/>
  <c r="FG26" i="2"/>
  <c r="FG27" i="2"/>
  <c r="FG28" i="2"/>
  <c r="FG29" i="2"/>
  <c r="FG30" i="2"/>
  <c r="FG31" i="2"/>
  <c r="FG32" i="2"/>
  <c r="FG33" i="2"/>
  <c r="FG34" i="2"/>
  <c r="FG35" i="2"/>
  <c r="FG36" i="2"/>
  <c r="FG37" i="2"/>
  <c r="FG38" i="2"/>
  <c r="FG39" i="2"/>
  <c r="FG40" i="2"/>
  <c r="FG41" i="2"/>
  <c r="FG42" i="2"/>
  <c r="FG43" i="2"/>
  <c r="FG44" i="2"/>
  <c r="FG45" i="2"/>
  <c r="FG46" i="2"/>
  <c r="FG47" i="2"/>
  <c r="FG48" i="2"/>
  <c r="FG49" i="2"/>
  <c r="FG50" i="2"/>
  <c r="FG51" i="2"/>
  <c r="FG52" i="2"/>
  <c r="FG53" i="2"/>
  <c r="FG54" i="2"/>
  <c r="FG55" i="2"/>
  <c r="FG56" i="2"/>
  <c r="FG57" i="2"/>
  <c r="FG58" i="2"/>
  <c r="FG59" i="2"/>
  <c r="FG60" i="2"/>
  <c r="FG61" i="2"/>
  <c r="FG62" i="2"/>
  <c r="FG63" i="2"/>
  <c r="FG64" i="2"/>
  <c r="FG65" i="2"/>
  <c r="FG66" i="2"/>
  <c r="FG67" i="2"/>
  <c r="FG68" i="2"/>
  <c r="FG69" i="2"/>
  <c r="FG70" i="2"/>
  <c r="FG71" i="2"/>
  <c r="FG72" i="2"/>
  <c r="FG73" i="2"/>
  <c r="FG74" i="2"/>
  <c r="FG75" i="2"/>
  <c r="FG76" i="2"/>
  <c r="FG77" i="2"/>
  <c r="FG78" i="2"/>
  <c r="FG79" i="2"/>
  <c r="FG80" i="2"/>
  <c r="FG81" i="2"/>
  <c r="FG82" i="2"/>
  <c r="FG83" i="2"/>
  <c r="FG84" i="2"/>
  <c r="FG85" i="2"/>
  <c r="FG86" i="2"/>
  <c r="FG87" i="2"/>
  <c r="FG88" i="2"/>
  <c r="FG89" i="2"/>
  <c r="FG90" i="2"/>
  <c r="FG91" i="2"/>
  <c r="FG92" i="2"/>
  <c r="FG93" i="2"/>
  <c r="FG94" i="2"/>
  <c r="FG95" i="2"/>
  <c r="FG96" i="2"/>
  <c r="FG97" i="2"/>
  <c r="FG98" i="2"/>
  <c r="FG99" i="2"/>
  <c r="FG100" i="2"/>
  <c r="FG101" i="2"/>
  <c r="FG102" i="2"/>
  <c r="FG103" i="2"/>
  <c r="FG104" i="2"/>
  <c r="FG105" i="2"/>
  <c r="FG106" i="2"/>
  <c r="FG107" i="2"/>
  <c r="FG108" i="2"/>
  <c r="FG109" i="2"/>
  <c r="FG110" i="2"/>
  <c r="FG111" i="2"/>
  <c r="FG112" i="2"/>
  <c r="FG113" i="2"/>
  <c r="FG114" i="2"/>
  <c r="FG115" i="2"/>
  <c r="FG116" i="2"/>
  <c r="FG117" i="2"/>
  <c r="FG118" i="2"/>
  <c r="FG119" i="2"/>
  <c r="FG120" i="2"/>
  <c r="FG121" i="2"/>
  <c r="FG122" i="2"/>
  <c r="FG123" i="2"/>
  <c r="FG124" i="2"/>
  <c r="FG125" i="2"/>
  <c r="FG126" i="2"/>
  <c r="FG127" i="2"/>
  <c r="FG128" i="2"/>
  <c r="FG129" i="2"/>
  <c r="FG130" i="2"/>
  <c r="FG131" i="2"/>
  <c r="FG132" i="2"/>
  <c r="FG133" i="2"/>
  <c r="FG134" i="2"/>
  <c r="FG135" i="2"/>
  <c r="FG136" i="2"/>
  <c r="FG137" i="2"/>
  <c r="FG138" i="2"/>
  <c r="FG139" i="2"/>
  <c r="FG140" i="2"/>
  <c r="FG141" i="2"/>
  <c r="FG142" i="2"/>
  <c r="FG143" i="2"/>
  <c r="FG144" i="2"/>
  <c r="FG145" i="2"/>
  <c r="FG146" i="2"/>
  <c r="FG147" i="2"/>
  <c r="FG148" i="2"/>
  <c r="FG149" i="2"/>
  <c r="FG150" i="2"/>
  <c r="FG151" i="2"/>
  <c r="FG152" i="2"/>
  <c r="FG153" i="2"/>
  <c r="FG154" i="2"/>
  <c r="FG155" i="2"/>
  <c r="FG156" i="2"/>
  <c r="FG157" i="2"/>
  <c r="FG158" i="2"/>
  <c r="FG159" i="2"/>
  <c r="FG160" i="2"/>
  <c r="FG161" i="2"/>
  <c r="FG162" i="2"/>
  <c r="FG163" i="2"/>
  <c r="FG164" i="2"/>
  <c r="FG165" i="2"/>
  <c r="FG166" i="2"/>
  <c r="FG167" i="2"/>
  <c r="FG168" i="2"/>
  <c r="FG169" i="2"/>
  <c r="FG170" i="2"/>
  <c r="FG171" i="2"/>
  <c r="FG172" i="2"/>
  <c r="FG173" i="2"/>
  <c r="FG174" i="2"/>
  <c r="FG175" i="2"/>
  <c r="FG176" i="2"/>
  <c r="FG177" i="2"/>
  <c r="FG178" i="2"/>
  <c r="FG179" i="2"/>
  <c r="FG180" i="2"/>
  <c r="FG181" i="2"/>
  <c r="FG182" i="2"/>
  <c r="FG183" i="2"/>
  <c r="FG184" i="2"/>
  <c r="FG185" i="2"/>
  <c r="FG186" i="2"/>
  <c r="FG187" i="2"/>
  <c r="FG188" i="2"/>
  <c r="FG189" i="2"/>
  <c r="FG190" i="2"/>
  <c r="FG191" i="2"/>
  <c r="FG192" i="2"/>
  <c r="FG193" i="2"/>
  <c r="FG194" i="2"/>
  <c r="FG195" i="2"/>
  <c r="FG196" i="2"/>
  <c r="FG197" i="2"/>
  <c r="FG198" i="2"/>
  <c r="FG199" i="2"/>
  <c r="FG200" i="2"/>
  <c r="FG201" i="2"/>
  <c r="FP4" i="2"/>
  <c r="FP5" i="2"/>
  <c r="FH2" i="2"/>
  <c r="FH3" i="2"/>
  <c r="FH4" i="2"/>
  <c r="FH5" i="2"/>
  <c r="FH6" i="2"/>
  <c r="FH7" i="2"/>
  <c r="FH8" i="2"/>
  <c r="FH9" i="2"/>
  <c r="FH10" i="2"/>
  <c r="FH11" i="2"/>
  <c r="FH12" i="2"/>
  <c r="FH13" i="2"/>
  <c r="FH14" i="2"/>
  <c r="FH15" i="2"/>
  <c r="FH16" i="2"/>
  <c r="FH17" i="2"/>
  <c r="FH18" i="2"/>
  <c r="FH19" i="2"/>
  <c r="FH20" i="2"/>
  <c r="FH21" i="2"/>
  <c r="FH22" i="2"/>
  <c r="FH23" i="2"/>
  <c r="FH24" i="2"/>
  <c r="FH25" i="2"/>
  <c r="FH26" i="2"/>
  <c r="FH27" i="2"/>
  <c r="FH28" i="2"/>
  <c r="FH29" i="2"/>
  <c r="FH30" i="2"/>
  <c r="FH31" i="2"/>
  <c r="FH32" i="2"/>
  <c r="FH33" i="2"/>
  <c r="FH34" i="2"/>
  <c r="FH35" i="2"/>
  <c r="FH36" i="2"/>
  <c r="FH37" i="2"/>
  <c r="FH38" i="2"/>
  <c r="FH39" i="2"/>
  <c r="FH40" i="2"/>
  <c r="FH41" i="2"/>
  <c r="FH42" i="2"/>
  <c r="FH43" i="2"/>
  <c r="FH44" i="2"/>
  <c r="FH45" i="2"/>
  <c r="FH46" i="2"/>
  <c r="FH47" i="2"/>
  <c r="FH48" i="2"/>
  <c r="FH49" i="2"/>
  <c r="FH50" i="2"/>
  <c r="FH51" i="2"/>
  <c r="FH52" i="2"/>
  <c r="FH53" i="2"/>
  <c r="FH54" i="2"/>
  <c r="FH55" i="2"/>
  <c r="FH56" i="2"/>
  <c r="FH57" i="2"/>
  <c r="FH58" i="2"/>
  <c r="FH59" i="2"/>
  <c r="FH60" i="2"/>
  <c r="FH61" i="2"/>
  <c r="FH62" i="2"/>
  <c r="FH63" i="2"/>
  <c r="FH64" i="2"/>
  <c r="FH65" i="2"/>
  <c r="FH66" i="2"/>
  <c r="FH67" i="2"/>
  <c r="FH68" i="2"/>
  <c r="FH69" i="2"/>
  <c r="FH70" i="2"/>
  <c r="FH71" i="2"/>
  <c r="FH72" i="2"/>
  <c r="FH73" i="2"/>
  <c r="FH74" i="2"/>
  <c r="FH75" i="2"/>
  <c r="FH76" i="2"/>
  <c r="FH77" i="2"/>
  <c r="FH78" i="2"/>
  <c r="FH79" i="2"/>
  <c r="FH80" i="2"/>
  <c r="FH81" i="2"/>
  <c r="FH82" i="2"/>
  <c r="FH83" i="2"/>
  <c r="FH84" i="2"/>
  <c r="FH85" i="2"/>
  <c r="FH86" i="2"/>
  <c r="FH87" i="2"/>
  <c r="FH88" i="2"/>
  <c r="FH89" i="2"/>
  <c r="FH90" i="2"/>
  <c r="FH91" i="2"/>
  <c r="FH92" i="2"/>
  <c r="FH93" i="2"/>
  <c r="FH94" i="2"/>
  <c r="FH95" i="2"/>
  <c r="FH96" i="2"/>
  <c r="FH97" i="2"/>
  <c r="FH98" i="2"/>
  <c r="FH99" i="2"/>
  <c r="FH100" i="2"/>
  <c r="FH101" i="2"/>
  <c r="FH102" i="2"/>
  <c r="FH103" i="2"/>
  <c r="FH104" i="2"/>
  <c r="FH105" i="2"/>
  <c r="FH106" i="2"/>
  <c r="FH107" i="2"/>
  <c r="FH108" i="2"/>
  <c r="FH109" i="2"/>
  <c r="FH110" i="2"/>
  <c r="FH111" i="2"/>
  <c r="FH112" i="2"/>
  <c r="FH113" i="2"/>
  <c r="FH114" i="2"/>
  <c r="FH115" i="2"/>
  <c r="FH116" i="2"/>
  <c r="FH117" i="2"/>
  <c r="FH118" i="2"/>
  <c r="FH119" i="2"/>
  <c r="FH120" i="2"/>
  <c r="FH121" i="2"/>
  <c r="FH122" i="2"/>
  <c r="FH123" i="2"/>
  <c r="FH124" i="2"/>
  <c r="FH125" i="2"/>
  <c r="FH126" i="2"/>
  <c r="FH127" i="2"/>
  <c r="FH128" i="2"/>
  <c r="FH129" i="2"/>
  <c r="FH130" i="2"/>
  <c r="FH131" i="2"/>
  <c r="FH132" i="2"/>
  <c r="FH133" i="2"/>
  <c r="FH134" i="2"/>
  <c r="FH135" i="2"/>
  <c r="FH136" i="2"/>
  <c r="FH137" i="2"/>
  <c r="FH138" i="2"/>
  <c r="FH139" i="2"/>
  <c r="FH140" i="2"/>
  <c r="FH141" i="2"/>
  <c r="FH142" i="2"/>
  <c r="FH143" i="2"/>
  <c r="FH144" i="2"/>
  <c r="FH145" i="2"/>
  <c r="FH146" i="2"/>
  <c r="FH147" i="2"/>
  <c r="FH148" i="2"/>
  <c r="FH149" i="2"/>
  <c r="FH150" i="2"/>
  <c r="FH151" i="2"/>
  <c r="FH152" i="2"/>
  <c r="FH153" i="2"/>
  <c r="FH154" i="2"/>
  <c r="FH155" i="2"/>
  <c r="FH156" i="2"/>
  <c r="FH157" i="2"/>
  <c r="FH158" i="2"/>
  <c r="FH159" i="2"/>
  <c r="FH160" i="2"/>
  <c r="FH161" i="2"/>
  <c r="FH162" i="2"/>
  <c r="FH163" i="2"/>
  <c r="FH164" i="2"/>
  <c r="FH165" i="2"/>
  <c r="FH166" i="2"/>
  <c r="FH167" i="2"/>
  <c r="FH168" i="2"/>
  <c r="FH169" i="2"/>
  <c r="FH170" i="2"/>
  <c r="FH171" i="2"/>
  <c r="FH172" i="2"/>
  <c r="FH173" i="2"/>
  <c r="FH174" i="2"/>
  <c r="FH175" i="2"/>
  <c r="FH176" i="2"/>
  <c r="FH177" i="2"/>
  <c r="FH178" i="2"/>
  <c r="FH179" i="2"/>
  <c r="FH180" i="2"/>
  <c r="FH181" i="2"/>
  <c r="FH182" i="2"/>
  <c r="FH183" i="2"/>
  <c r="FH184" i="2"/>
  <c r="FH185" i="2"/>
  <c r="FH186" i="2"/>
  <c r="FH187" i="2"/>
  <c r="FH188" i="2"/>
  <c r="FH189" i="2"/>
  <c r="FH190" i="2"/>
  <c r="FH191" i="2"/>
  <c r="FH192" i="2"/>
  <c r="FH193" i="2"/>
  <c r="FH194" i="2"/>
  <c r="FH195" i="2"/>
  <c r="FH196" i="2"/>
  <c r="FH197" i="2"/>
  <c r="FH198" i="2"/>
  <c r="FH199" i="2"/>
  <c r="FH200" i="2"/>
  <c r="FH201" i="2"/>
  <c r="FP6" i="2"/>
  <c r="FP8" i="2"/>
  <c r="FP7" i="2"/>
  <c r="FJ2" i="2"/>
  <c r="FJ3" i="2"/>
  <c r="FJ4" i="2"/>
  <c r="FJ5" i="2"/>
  <c r="FJ6" i="2"/>
  <c r="FJ7" i="2"/>
  <c r="FJ8" i="2"/>
  <c r="FJ9" i="2"/>
  <c r="FJ10" i="2"/>
  <c r="FJ11" i="2"/>
  <c r="FJ12" i="2"/>
  <c r="FJ13" i="2"/>
  <c r="FJ14" i="2"/>
  <c r="FJ15" i="2"/>
  <c r="FJ16" i="2"/>
  <c r="FJ17" i="2"/>
  <c r="FJ18" i="2"/>
  <c r="FJ19" i="2"/>
  <c r="FJ20" i="2"/>
  <c r="FJ21" i="2"/>
  <c r="FJ22" i="2"/>
  <c r="FJ23" i="2"/>
  <c r="FJ24" i="2"/>
  <c r="FJ25" i="2"/>
  <c r="FJ26" i="2"/>
  <c r="FJ27" i="2"/>
  <c r="FJ28" i="2"/>
  <c r="FJ29" i="2"/>
  <c r="FJ30" i="2"/>
  <c r="FJ31" i="2"/>
  <c r="FJ32" i="2"/>
  <c r="FJ33" i="2"/>
  <c r="FJ34" i="2"/>
  <c r="FJ35" i="2"/>
  <c r="FJ36" i="2"/>
  <c r="FJ37" i="2"/>
  <c r="FJ38" i="2"/>
  <c r="FJ39" i="2"/>
  <c r="FJ40" i="2"/>
  <c r="FJ41" i="2"/>
  <c r="FJ42" i="2"/>
  <c r="FJ43" i="2"/>
  <c r="FJ44" i="2"/>
  <c r="FJ45" i="2"/>
  <c r="FJ46" i="2"/>
  <c r="FJ47" i="2"/>
  <c r="FJ48" i="2"/>
  <c r="FJ49" i="2"/>
  <c r="FJ50" i="2"/>
  <c r="FJ51" i="2"/>
  <c r="FJ52" i="2"/>
  <c r="FJ53" i="2"/>
  <c r="FJ54" i="2"/>
  <c r="FJ55" i="2"/>
  <c r="FJ56" i="2"/>
  <c r="FJ57" i="2"/>
  <c r="FJ58" i="2"/>
  <c r="FJ59" i="2"/>
  <c r="FJ60" i="2"/>
  <c r="FJ61" i="2"/>
  <c r="FJ62" i="2"/>
  <c r="FJ63" i="2"/>
  <c r="FJ64" i="2"/>
  <c r="FJ65" i="2"/>
  <c r="FJ66" i="2"/>
  <c r="FJ67" i="2"/>
  <c r="FJ68" i="2"/>
  <c r="FJ69" i="2"/>
  <c r="FJ70" i="2"/>
  <c r="FJ71" i="2"/>
  <c r="FJ72" i="2"/>
  <c r="FJ73" i="2"/>
  <c r="FJ74" i="2"/>
  <c r="FJ75" i="2"/>
  <c r="FJ76" i="2"/>
  <c r="FJ77" i="2"/>
  <c r="FJ78" i="2"/>
  <c r="FJ79" i="2"/>
  <c r="FJ80" i="2"/>
  <c r="FJ81" i="2"/>
  <c r="FJ82" i="2"/>
  <c r="FJ83" i="2"/>
  <c r="FJ84" i="2"/>
  <c r="FJ85" i="2"/>
  <c r="FJ86" i="2"/>
  <c r="FJ87" i="2"/>
  <c r="FJ88" i="2"/>
  <c r="FJ89" i="2"/>
  <c r="FJ90" i="2"/>
  <c r="FJ91" i="2"/>
  <c r="FJ92" i="2"/>
  <c r="FJ93" i="2"/>
  <c r="FJ94" i="2"/>
  <c r="FJ95" i="2"/>
  <c r="FJ96" i="2"/>
  <c r="FJ97" i="2"/>
  <c r="FJ98" i="2"/>
  <c r="FJ99" i="2"/>
  <c r="FJ100" i="2"/>
  <c r="FJ101" i="2"/>
  <c r="FJ102" i="2"/>
  <c r="FJ103" i="2"/>
  <c r="FJ104" i="2"/>
  <c r="FJ105" i="2"/>
  <c r="FJ106" i="2"/>
  <c r="FJ107" i="2"/>
  <c r="FJ108" i="2"/>
  <c r="FJ109" i="2"/>
  <c r="FJ110" i="2"/>
  <c r="FJ111" i="2"/>
  <c r="FJ112" i="2"/>
  <c r="FJ113" i="2"/>
  <c r="FJ114" i="2"/>
  <c r="FJ115" i="2"/>
  <c r="FJ116" i="2"/>
  <c r="FJ117" i="2"/>
  <c r="FJ118" i="2"/>
  <c r="FJ119" i="2"/>
  <c r="FJ120" i="2"/>
  <c r="FJ121" i="2"/>
  <c r="FJ122" i="2"/>
  <c r="FJ123" i="2"/>
  <c r="FJ124" i="2"/>
  <c r="FJ125" i="2"/>
  <c r="FJ126" i="2"/>
  <c r="FJ127" i="2"/>
  <c r="FJ128" i="2"/>
  <c r="FJ129" i="2"/>
  <c r="FJ130" i="2"/>
  <c r="FJ131" i="2"/>
  <c r="FJ132" i="2"/>
  <c r="FJ133" i="2"/>
  <c r="FJ134" i="2"/>
  <c r="FJ135" i="2"/>
  <c r="FJ136" i="2"/>
  <c r="FJ137" i="2"/>
  <c r="FJ138" i="2"/>
  <c r="FJ139" i="2"/>
  <c r="FJ140" i="2"/>
  <c r="FJ141" i="2"/>
  <c r="FJ142" i="2"/>
  <c r="FJ143" i="2"/>
  <c r="FJ144" i="2"/>
  <c r="FJ145" i="2"/>
  <c r="FJ146" i="2"/>
  <c r="FJ147" i="2"/>
  <c r="FJ148" i="2"/>
  <c r="FJ149" i="2"/>
  <c r="FJ150" i="2"/>
  <c r="FJ151" i="2"/>
  <c r="FJ152" i="2"/>
  <c r="FJ153" i="2"/>
  <c r="FJ154" i="2"/>
  <c r="FJ155" i="2"/>
  <c r="FJ156" i="2"/>
  <c r="FJ157" i="2"/>
  <c r="FJ158" i="2"/>
  <c r="FJ159" i="2"/>
  <c r="FJ160" i="2"/>
  <c r="FJ161" i="2"/>
  <c r="FJ162" i="2"/>
  <c r="FJ163" i="2"/>
  <c r="FJ164" i="2"/>
  <c r="FJ165" i="2"/>
  <c r="FJ166" i="2"/>
  <c r="FJ167" i="2"/>
  <c r="FJ168" i="2"/>
  <c r="FJ169" i="2"/>
  <c r="FJ170" i="2"/>
  <c r="FJ171" i="2"/>
  <c r="FJ172" i="2"/>
  <c r="FJ173" i="2"/>
  <c r="FJ174" i="2"/>
  <c r="FJ175" i="2"/>
  <c r="FJ176" i="2"/>
  <c r="FJ177" i="2"/>
  <c r="FJ178" i="2"/>
  <c r="FJ179" i="2"/>
  <c r="FJ180" i="2"/>
  <c r="FJ181" i="2"/>
  <c r="FJ182" i="2"/>
  <c r="FJ183" i="2"/>
  <c r="FJ184" i="2"/>
  <c r="FJ185" i="2"/>
  <c r="FJ186" i="2"/>
  <c r="FJ187" i="2"/>
  <c r="FJ188" i="2"/>
  <c r="FJ189" i="2"/>
  <c r="FJ190" i="2"/>
  <c r="FJ191" i="2"/>
  <c r="FJ192" i="2"/>
  <c r="FJ193" i="2"/>
  <c r="FJ194" i="2"/>
  <c r="FJ195" i="2"/>
  <c r="FJ196" i="2"/>
  <c r="FJ197" i="2"/>
  <c r="FJ198" i="2"/>
  <c r="FJ199" i="2"/>
  <c r="FJ200" i="2"/>
  <c r="FJ201" i="2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J30" i="10"/>
  <c r="J37" i="10"/>
  <c r="G37" i="10"/>
  <c r="G36" i="10"/>
  <c r="FK2" i="2"/>
  <c r="FK3" i="2"/>
  <c r="FK4" i="2"/>
  <c r="FK5" i="2"/>
  <c r="FK6" i="2"/>
  <c r="FK7" i="2"/>
  <c r="FK8" i="2"/>
  <c r="FK9" i="2"/>
  <c r="FK10" i="2"/>
  <c r="FK11" i="2"/>
  <c r="FK12" i="2"/>
  <c r="FK13" i="2"/>
  <c r="FK14" i="2"/>
  <c r="FK15" i="2"/>
  <c r="FK16" i="2"/>
  <c r="FK17" i="2"/>
  <c r="FK18" i="2"/>
  <c r="FK19" i="2"/>
  <c r="FK20" i="2"/>
  <c r="FK21" i="2"/>
  <c r="FK22" i="2"/>
  <c r="FK23" i="2"/>
  <c r="FK24" i="2"/>
  <c r="FK25" i="2"/>
  <c r="FK26" i="2"/>
  <c r="FK27" i="2"/>
  <c r="FK28" i="2"/>
  <c r="FK29" i="2"/>
  <c r="FK30" i="2"/>
  <c r="FK31" i="2"/>
  <c r="FK32" i="2"/>
  <c r="FK33" i="2"/>
  <c r="FK34" i="2"/>
  <c r="FK35" i="2"/>
  <c r="FK36" i="2"/>
  <c r="FK37" i="2"/>
  <c r="FK38" i="2"/>
  <c r="FK39" i="2"/>
  <c r="FK40" i="2"/>
  <c r="FK41" i="2"/>
  <c r="FK42" i="2"/>
  <c r="FK43" i="2"/>
  <c r="FK44" i="2"/>
  <c r="FK45" i="2"/>
  <c r="FK46" i="2"/>
  <c r="FK47" i="2"/>
  <c r="FK48" i="2"/>
  <c r="FK49" i="2"/>
  <c r="FK50" i="2"/>
  <c r="FK51" i="2"/>
  <c r="FK52" i="2"/>
  <c r="FK53" i="2"/>
  <c r="FK54" i="2"/>
  <c r="FK55" i="2"/>
  <c r="FK56" i="2"/>
  <c r="FK57" i="2"/>
  <c r="FK58" i="2"/>
  <c r="FK59" i="2"/>
  <c r="FK60" i="2"/>
  <c r="FK61" i="2"/>
  <c r="FK62" i="2"/>
  <c r="FK63" i="2"/>
  <c r="FK64" i="2"/>
  <c r="FK65" i="2"/>
  <c r="FK66" i="2"/>
  <c r="FK67" i="2"/>
  <c r="FK68" i="2"/>
  <c r="FK69" i="2"/>
  <c r="FK70" i="2"/>
  <c r="FK71" i="2"/>
  <c r="FK72" i="2"/>
  <c r="FK73" i="2"/>
  <c r="FK74" i="2"/>
  <c r="FK75" i="2"/>
  <c r="FK76" i="2"/>
  <c r="FK77" i="2"/>
  <c r="FK78" i="2"/>
  <c r="FK79" i="2"/>
  <c r="FK80" i="2"/>
  <c r="FK81" i="2"/>
  <c r="FK82" i="2"/>
  <c r="FK83" i="2"/>
  <c r="FK84" i="2"/>
  <c r="FK85" i="2"/>
  <c r="FK86" i="2"/>
  <c r="FK87" i="2"/>
  <c r="FK88" i="2"/>
  <c r="FK89" i="2"/>
  <c r="FK90" i="2"/>
  <c r="FK91" i="2"/>
  <c r="FK92" i="2"/>
  <c r="FK93" i="2"/>
  <c r="FK94" i="2"/>
  <c r="FK95" i="2"/>
  <c r="FK96" i="2"/>
  <c r="FK97" i="2"/>
  <c r="FK98" i="2"/>
  <c r="FK99" i="2"/>
  <c r="FK100" i="2"/>
  <c r="FK101" i="2"/>
  <c r="FK102" i="2"/>
  <c r="FK103" i="2"/>
  <c r="FK104" i="2"/>
  <c r="FK105" i="2"/>
  <c r="FK106" i="2"/>
  <c r="FK107" i="2"/>
  <c r="FK108" i="2"/>
  <c r="FK109" i="2"/>
  <c r="FK110" i="2"/>
  <c r="FK111" i="2"/>
  <c r="FK112" i="2"/>
  <c r="FK113" i="2"/>
  <c r="FK114" i="2"/>
  <c r="FK115" i="2"/>
  <c r="FK116" i="2"/>
  <c r="FK117" i="2"/>
  <c r="FK118" i="2"/>
  <c r="FK119" i="2"/>
  <c r="FK120" i="2"/>
  <c r="FK121" i="2"/>
  <c r="FK122" i="2"/>
  <c r="FK123" i="2"/>
  <c r="FK124" i="2"/>
  <c r="FK125" i="2"/>
  <c r="FK126" i="2"/>
  <c r="FK127" i="2"/>
  <c r="FK128" i="2"/>
  <c r="FK129" i="2"/>
  <c r="FK130" i="2"/>
  <c r="FK131" i="2"/>
  <c r="FK132" i="2"/>
  <c r="FK133" i="2"/>
  <c r="FK134" i="2"/>
  <c r="FK135" i="2"/>
  <c r="FK136" i="2"/>
  <c r="FK137" i="2"/>
  <c r="FK138" i="2"/>
  <c r="FK139" i="2"/>
  <c r="FK140" i="2"/>
  <c r="FK141" i="2"/>
  <c r="FK142" i="2"/>
  <c r="FK143" i="2"/>
  <c r="FK144" i="2"/>
  <c r="FK145" i="2"/>
  <c r="FK146" i="2"/>
  <c r="FK147" i="2"/>
  <c r="FK148" i="2"/>
  <c r="FK149" i="2"/>
  <c r="FK150" i="2"/>
  <c r="FK151" i="2"/>
  <c r="FK152" i="2"/>
  <c r="FK153" i="2"/>
  <c r="FK154" i="2"/>
  <c r="FK155" i="2"/>
  <c r="FK156" i="2"/>
  <c r="FK157" i="2"/>
  <c r="FK158" i="2"/>
  <c r="FK159" i="2"/>
  <c r="FK160" i="2"/>
  <c r="FK161" i="2"/>
  <c r="FK162" i="2"/>
  <c r="FK163" i="2"/>
  <c r="FK164" i="2"/>
  <c r="FK165" i="2"/>
  <c r="FK166" i="2"/>
  <c r="FK167" i="2"/>
  <c r="FK168" i="2"/>
  <c r="FK169" i="2"/>
  <c r="FK170" i="2"/>
  <c r="FK171" i="2"/>
  <c r="FK172" i="2"/>
  <c r="FK173" i="2"/>
  <c r="FK174" i="2"/>
  <c r="FK175" i="2"/>
  <c r="FK176" i="2"/>
  <c r="FK177" i="2"/>
  <c r="FK178" i="2"/>
  <c r="FK179" i="2"/>
  <c r="FK180" i="2"/>
  <c r="FK181" i="2"/>
  <c r="FK182" i="2"/>
  <c r="FK183" i="2"/>
  <c r="FK184" i="2"/>
  <c r="FK185" i="2"/>
  <c r="FK186" i="2"/>
  <c r="FK187" i="2"/>
  <c r="FK188" i="2"/>
  <c r="FK189" i="2"/>
  <c r="FK190" i="2"/>
  <c r="FK191" i="2"/>
  <c r="FK192" i="2"/>
  <c r="FK193" i="2"/>
  <c r="FK194" i="2"/>
  <c r="FK195" i="2"/>
  <c r="FK196" i="2"/>
  <c r="FK197" i="2"/>
  <c r="FK198" i="2"/>
  <c r="FK199" i="2"/>
  <c r="FK200" i="2"/>
  <c r="FK201" i="2"/>
  <c r="J35" i="10"/>
  <c r="G35" i="10"/>
  <c r="J29" i="10"/>
  <c r="FM2" i="2"/>
  <c r="FM3" i="2"/>
  <c r="FM4" i="2"/>
  <c r="FM5" i="2"/>
  <c r="FM6" i="2"/>
  <c r="FM7" i="2"/>
  <c r="FM8" i="2"/>
  <c r="FM9" i="2"/>
  <c r="FM10" i="2"/>
  <c r="FM11" i="2"/>
  <c r="FM12" i="2"/>
  <c r="FM13" i="2"/>
  <c r="FM14" i="2"/>
  <c r="FM15" i="2"/>
  <c r="FM16" i="2"/>
  <c r="FM17" i="2"/>
  <c r="FM18" i="2"/>
  <c r="FM19" i="2"/>
  <c r="FM20" i="2"/>
  <c r="FM21" i="2"/>
  <c r="FM22" i="2"/>
  <c r="FM23" i="2"/>
  <c r="FM24" i="2"/>
  <c r="FM25" i="2"/>
  <c r="FM26" i="2"/>
  <c r="FM27" i="2"/>
  <c r="FM28" i="2"/>
  <c r="FM29" i="2"/>
  <c r="FM30" i="2"/>
  <c r="FM31" i="2"/>
  <c r="FM32" i="2"/>
  <c r="FM33" i="2"/>
  <c r="FM34" i="2"/>
  <c r="FM35" i="2"/>
  <c r="FM36" i="2"/>
  <c r="FM37" i="2"/>
  <c r="FM38" i="2"/>
  <c r="FM39" i="2"/>
  <c r="FM40" i="2"/>
  <c r="FM41" i="2"/>
  <c r="FM42" i="2"/>
  <c r="FM43" i="2"/>
  <c r="FM44" i="2"/>
  <c r="FM45" i="2"/>
  <c r="FM46" i="2"/>
  <c r="FM47" i="2"/>
  <c r="FM48" i="2"/>
  <c r="FM49" i="2"/>
  <c r="FM50" i="2"/>
  <c r="FM51" i="2"/>
  <c r="FM52" i="2"/>
  <c r="FM53" i="2"/>
  <c r="FM54" i="2"/>
  <c r="FM55" i="2"/>
  <c r="FM56" i="2"/>
  <c r="FM57" i="2"/>
  <c r="FM58" i="2"/>
  <c r="FM59" i="2"/>
  <c r="FM60" i="2"/>
  <c r="FM61" i="2"/>
  <c r="FM62" i="2"/>
  <c r="FM63" i="2"/>
  <c r="FM64" i="2"/>
  <c r="FM65" i="2"/>
  <c r="FM66" i="2"/>
  <c r="FM67" i="2"/>
  <c r="FM68" i="2"/>
  <c r="FM69" i="2"/>
  <c r="FM70" i="2"/>
  <c r="FM71" i="2"/>
  <c r="FM72" i="2"/>
  <c r="FM73" i="2"/>
  <c r="FM74" i="2"/>
  <c r="FM75" i="2"/>
  <c r="FM76" i="2"/>
  <c r="FM77" i="2"/>
  <c r="FM78" i="2"/>
  <c r="FM79" i="2"/>
  <c r="FM80" i="2"/>
  <c r="FM81" i="2"/>
  <c r="FM82" i="2"/>
  <c r="FM83" i="2"/>
  <c r="FM84" i="2"/>
  <c r="FM85" i="2"/>
  <c r="FM86" i="2"/>
  <c r="FM87" i="2"/>
  <c r="FM88" i="2"/>
  <c r="FM89" i="2"/>
  <c r="FM90" i="2"/>
  <c r="FM91" i="2"/>
  <c r="FM92" i="2"/>
  <c r="FM93" i="2"/>
  <c r="FM94" i="2"/>
  <c r="FM95" i="2"/>
  <c r="FM96" i="2"/>
  <c r="FM97" i="2"/>
  <c r="FM98" i="2"/>
  <c r="FM99" i="2"/>
  <c r="FM100" i="2"/>
  <c r="FM101" i="2"/>
  <c r="FM102" i="2"/>
  <c r="FM103" i="2"/>
  <c r="FM104" i="2"/>
  <c r="FM105" i="2"/>
  <c r="FM106" i="2"/>
  <c r="FM107" i="2"/>
  <c r="FM108" i="2"/>
  <c r="FM109" i="2"/>
  <c r="FM110" i="2"/>
  <c r="FM111" i="2"/>
  <c r="FM112" i="2"/>
  <c r="FM113" i="2"/>
  <c r="FM114" i="2"/>
  <c r="FM115" i="2"/>
  <c r="FM116" i="2"/>
  <c r="FM117" i="2"/>
  <c r="FM118" i="2"/>
  <c r="FM119" i="2"/>
  <c r="FM120" i="2"/>
  <c r="FM121" i="2"/>
  <c r="FM122" i="2"/>
  <c r="FM123" i="2"/>
  <c r="FM124" i="2"/>
  <c r="FM125" i="2"/>
  <c r="FM126" i="2"/>
  <c r="FM127" i="2"/>
  <c r="FM128" i="2"/>
  <c r="FM129" i="2"/>
  <c r="FM130" i="2"/>
  <c r="FM131" i="2"/>
  <c r="FM132" i="2"/>
  <c r="FM133" i="2"/>
  <c r="FM134" i="2"/>
  <c r="FM135" i="2"/>
  <c r="FM136" i="2"/>
  <c r="FM137" i="2"/>
  <c r="FM138" i="2"/>
  <c r="FM139" i="2"/>
  <c r="FM140" i="2"/>
  <c r="FM141" i="2"/>
  <c r="FM142" i="2"/>
  <c r="FM143" i="2"/>
  <c r="FM144" i="2"/>
  <c r="FM145" i="2"/>
  <c r="FM146" i="2"/>
  <c r="FM147" i="2"/>
  <c r="FM148" i="2"/>
  <c r="FM149" i="2"/>
  <c r="FM150" i="2"/>
  <c r="FM151" i="2"/>
  <c r="FM152" i="2"/>
  <c r="FM153" i="2"/>
  <c r="FM154" i="2"/>
  <c r="FM155" i="2"/>
  <c r="FM156" i="2"/>
  <c r="FM157" i="2"/>
  <c r="FM158" i="2"/>
  <c r="FM159" i="2"/>
  <c r="FM160" i="2"/>
  <c r="FM161" i="2"/>
  <c r="FM162" i="2"/>
  <c r="FM163" i="2"/>
  <c r="FM164" i="2"/>
  <c r="FM165" i="2"/>
  <c r="FM166" i="2"/>
  <c r="FM167" i="2"/>
  <c r="FM168" i="2"/>
  <c r="FM169" i="2"/>
  <c r="FM170" i="2"/>
  <c r="FM171" i="2"/>
  <c r="FM172" i="2"/>
  <c r="FM173" i="2"/>
  <c r="FM174" i="2"/>
  <c r="FM175" i="2"/>
  <c r="FM176" i="2"/>
  <c r="FM177" i="2"/>
  <c r="FM178" i="2"/>
  <c r="FM179" i="2"/>
  <c r="FM180" i="2"/>
  <c r="FM181" i="2"/>
  <c r="FM182" i="2"/>
  <c r="FM183" i="2"/>
  <c r="FM184" i="2"/>
  <c r="FM185" i="2"/>
  <c r="FM186" i="2"/>
  <c r="FM187" i="2"/>
  <c r="FM188" i="2"/>
  <c r="FM189" i="2"/>
  <c r="FM190" i="2"/>
  <c r="FM191" i="2"/>
  <c r="FM192" i="2"/>
  <c r="FM193" i="2"/>
  <c r="FM194" i="2"/>
  <c r="FM195" i="2"/>
  <c r="FM196" i="2"/>
  <c r="FM197" i="2"/>
  <c r="FM198" i="2"/>
  <c r="FM199" i="2"/>
  <c r="FM200" i="2"/>
  <c r="FM201" i="2"/>
  <c r="J34" i="10"/>
  <c r="G34" i="10"/>
  <c r="G33" i="10"/>
  <c r="G32" i="10"/>
  <c r="G31" i="10"/>
  <c r="FL2" i="2"/>
  <c r="FL3" i="2"/>
  <c r="FL4" i="2"/>
  <c r="FL5" i="2"/>
  <c r="FL6" i="2"/>
  <c r="FL7" i="2"/>
  <c r="FL8" i="2"/>
  <c r="FL9" i="2"/>
  <c r="FL10" i="2"/>
  <c r="FL11" i="2"/>
  <c r="FL12" i="2"/>
  <c r="FL13" i="2"/>
  <c r="FL14" i="2"/>
  <c r="FL15" i="2"/>
  <c r="FL16" i="2"/>
  <c r="FL17" i="2"/>
  <c r="FL18" i="2"/>
  <c r="FL19" i="2"/>
  <c r="FL20" i="2"/>
  <c r="FL21" i="2"/>
  <c r="FL22" i="2"/>
  <c r="FL23" i="2"/>
  <c r="FL24" i="2"/>
  <c r="FL25" i="2"/>
  <c r="FL26" i="2"/>
  <c r="FL27" i="2"/>
  <c r="FL28" i="2"/>
  <c r="FL29" i="2"/>
  <c r="FL30" i="2"/>
  <c r="FL31" i="2"/>
  <c r="FL32" i="2"/>
  <c r="FL33" i="2"/>
  <c r="FL34" i="2"/>
  <c r="FL35" i="2"/>
  <c r="FL36" i="2"/>
  <c r="FL37" i="2"/>
  <c r="FL38" i="2"/>
  <c r="FL39" i="2"/>
  <c r="FL40" i="2"/>
  <c r="FL41" i="2"/>
  <c r="FL42" i="2"/>
  <c r="FL43" i="2"/>
  <c r="FL44" i="2"/>
  <c r="FL45" i="2"/>
  <c r="FL46" i="2"/>
  <c r="FL47" i="2"/>
  <c r="FL48" i="2"/>
  <c r="FL49" i="2"/>
  <c r="FL50" i="2"/>
  <c r="FL51" i="2"/>
  <c r="FL52" i="2"/>
  <c r="FL53" i="2"/>
  <c r="FL54" i="2"/>
  <c r="FL55" i="2"/>
  <c r="FL56" i="2"/>
  <c r="FL57" i="2"/>
  <c r="FL58" i="2"/>
  <c r="FL59" i="2"/>
  <c r="FL60" i="2"/>
  <c r="FL61" i="2"/>
  <c r="FL62" i="2"/>
  <c r="FL63" i="2"/>
  <c r="FL64" i="2"/>
  <c r="FL65" i="2"/>
  <c r="FL66" i="2"/>
  <c r="FL67" i="2"/>
  <c r="FL68" i="2"/>
  <c r="FL69" i="2"/>
  <c r="FL70" i="2"/>
  <c r="FL71" i="2"/>
  <c r="FL72" i="2"/>
  <c r="FL73" i="2"/>
  <c r="FL74" i="2"/>
  <c r="FL75" i="2"/>
  <c r="FL76" i="2"/>
  <c r="FL77" i="2"/>
  <c r="FL78" i="2"/>
  <c r="FL79" i="2"/>
  <c r="FL80" i="2"/>
  <c r="FL81" i="2"/>
  <c r="FL82" i="2"/>
  <c r="FL83" i="2"/>
  <c r="FL84" i="2"/>
  <c r="FL85" i="2"/>
  <c r="FL86" i="2"/>
  <c r="FL87" i="2"/>
  <c r="FL88" i="2"/>
  <c r="FL89" i="2"/>
  <c r="FL90" i="2"/>
  <c r="FL91" i="2"/>
  <c r="FL92" i="2"/>
  <c r="FL93" i="2"/>
  <c r="FL94" i="2"/>
  <c r="FL95" i="2"/>
  <c r="FL96" i="2"/>
  <c r="FL97" i="2"/>
  <c r="FL98" i="2"/>
  <c r="FL99" i="2"/>
  <c r="FL100" i="2"/>
  <c r="FL101" i="2"/>
  <c r="FL102" i="2"/>
  <c r="FL103" i="2"/>
  <c r="FL104" i="2"/>
  <c r="FL105" i="2"/>
  <c r="FL106" i="2"/>
  <c r="FL107" i="2"/>
  <c r="FL108" i="2"/>
  <c r="FL109" i="2"/>
  <c r="FL110" i="2"/>
  <c r="FL111" i="2"/>
  <c r="FL112" i="2"/>
  <c r="FL113" i="2"/>
  <c r="FL114" i="2"/>
  <c r="FL115" i="2"/>
  <c r="FL116" i="2"/>
  <c r="FL117" i="2"/>
  <c r="FL118" i="2"/>
  <c r="FL119" i="2"/>
  <c r="FL120" i="2"/>
  <c r="FL121" i="2"/>
  <c r="FL122" i="2"/>
  <c r="FL123" i="2"/>
  <c r="FL124" i="2"/>
  <c r="FL125" i="2"/>
  <c r="FL126" i="2"/>
  <c r="FL127" i="2"/>
  <c r="FL128" i="2"/>
  <c r="FL129" i="2"/>
  <c r="FL130" i="2"/>
  <c r="FL131" i="2"/>
  <c r="FL132" i="2"/>
  <c r="FL133" i="2"/>
  <c r="FL134" i="2"/>
  <c r="FL135" i="2"/>
  <c r="FL136" i="2"/>
  <c r="FL137" i="2"/>
  <c r="FL138" i="2"/>
  <c r="FL139" i="2"/>
  <c r="FL140" i="2"/>
  <c r="FL141" i="2"/>
  <c r="FL142" i="2"/>
  <c r="FL143" i="2"/>
  <c r="FL144" i="2"/>
  <c r="FL145" i="2"/>
  <c r="FL146" i="2"/>
  <c r="FL147" i="2"/>
  <c r="FL148" i="2"/>
  <c r="FL149" i="2"/>
  <c r="FL150" i="2"/>
  <c r="FL151" i="2"/>
  <c r="FL152" i="2"/>
  <c r="FL153" i="2"/>
  <c r="FL154" i="2"/>
  <c r="FL155" i="2"/>
  <c r="FL156" i="2"/>
  <c r="FL157" i="2"/>
  <c r="FL158" i="2"/>
  <c r="FL159" i="2"/>
  <c r="FL160" i="2"/>
  <c r="FL161" i="2"/>
  <c r="FL162" i="2"/>
  <c r="FL163" i="2"/>
  <c r="FL164" i="2"/>
  <c r="FL165" i="2"/>
  <c r="FL166" i="2"/>
  <c r="FL167" i="2"/>
  <c r="FL168" i="2"/>
  <c r="FL169" i="2"/>
  <c r="FL170" i="2"/>
  <c r="FL171" i="2"/>
  <c r="FL172" i="2"/>
  <c r="FL173" i="2"/>
  <c r="FL174" i="2"/>
  <c r="FL175" i="2"/>
  <c r="FL176" i="2"/>
  <c r="FL177" i="2"/>
  <c r="FL178" i="2"/>
  <c r="FL179" i="2"/>
  <c r="FL180" i="2"/>
  <c r="FL181" i="2"/>
  <c r="FL182" i="2"/>
  <c r="FL183" i="2"/>
  <c r="FL184" i="2"/>
  <c r="FL185" i="2"/>
  <c r="FL186" i="2"/>
  <c r="FL187" i="2"/>
  <c r="FL188" i="2"/>
  <c r="FL189" i="2"/>
  <c r="FL190" i="2"/>
  <c r="FL191" i="2"/>
  <c r="FL192" i="2"/>
  <c r="FL193" i="2"/>
  <c r="FL194" i="2"/>
  <c r="FL195" i="2"/>
  <c r="FL196" i="2"/>
  <c r="FL197" i="2"/>
  <c r="FL198" i="2"/>
  <c r="FL199" i="2"/>
  <c r="FL200" i="2"/>
  <c r="FL201" i="2"/>
  <c r="N30" i="10"/>
  <c r="K30" i="10"/>
  <c r="G30" i="10"/>
  <c r="K29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3" i="10"/>
  <c r="G2" i="10"/>
  <c r="K8" i="5"/>
  <c r="J1" i="5"/>
  <c r="EK3" i="2"/>
  <c r="EK4" i="2"/>
  <c r="EK5" i="2"/>
  <c r="EA6" i="2"/>
  <c r="EK6" i="2"/>
  <c r="EK7" i="2"/>
  <c r="EK8" i="2"/>
  <c r="EK9" i="2"/>
  <c r="EK10" i="2"/>
  <c r="EK11" i="2"/>
  <c r="EK12" i="2"/>
  <c r="EK13" i="2"/>
  <c r="EK14" i="2"/>
  <c r="EK15" i="2"/>
  <c r="EK16" i="2"/>
  <c r="EK17" i="2"/>
  <c r="EK18" i="2"/>
  <c r="EK19" i="2"/>
  <c r="EK20" i="2"/>
  <c r="EK21" i="2"/>
  <c r="EK22" i="2"/>
  <c r="EK23" i="2"/>
  <c r="EK24" i="2"/>
  <c r="EK25" i="2"/>
  <c r="EK26" i="2"/>
  <c r="EK27" i="2"/>
  <c r="EK28" i="2"/>
  <c r="EK29" i="2"/>
  <c r="EK30" i="2"/>
  <c r="EK31" i="2"/>
  <c r="EK32" i="2"/>
  <c r="EK33" i="2"/>
  <c r="EK34" i="2"/>
  <c r="EK35" i="2"/>
  <c r="EK36" i="2"/>
  <c r="EK37" i="2"/>
  <c r="EK38" i="2"/>
  <c r="EK39" i="2"/>
  <c r="EK40" i="2"/>
  <c r="EK41" i="2"/>
  <c r="EK42" i="2"/>
  <c r="EK43" i="2"/>
  <c r="EK44" i="2"/>
  <c r="EK45" i="2"/>
  <c r="EK46" i="2"/>
  <c r="EK47" i="2"/>
  <c r="EK48" i="2"/>
  <c r="EK49" i="2"/>
  <c r="EK50" i="2"/>
  <c r="EK51" i="2"/>
  <c r="EK52" i="2"/>
  <c r="EK53" i="2"/>
  <c r="EK54" i="2"/>
  <c r="EK55" i="2"/>
  <c r="EK56" i="2"/>
  <c r="EK57" i="2"/>
  <c r="EK58" i="2"/>
  <c r="EK59" i="2"/>
  <c r="EK60" i="2"/>
  <c r="EK61" i="2"/>
  <c r="EK62" i="2"/>
  <c r="EK63" i="2"/>
  <c r="EK64" i="2"/>
  <c r="EK65" i="2"/>
  <c r="EK66" i="2"/>
  <c r="EK67" i="2"/>
  <c r="EK68" i="2"/>
  <c r="EK69" i="2"/>
  <c r="EK70" i="2"/>
  <c r="EK71" i="2"/>
  <c r="EK72" i="2"/>
  <c r="EK73" i="2"/>
  <c r="EK74" i="2"/>
  <c r="EK75" i="2"/>
  <c r="EK76" i="2"/>
  <c r="EK77" i="2"/>
  <c r="EK78" i="2"/>
  <c r="EK79" i="2"/>
  <c r="EK80" i="2"/>
  <c r="EK81" i="2"/>
  <c r="EK82" i="2"/>
  <c r="EK83" i="2"/>
  <c r="EK84" i="2"/>
  <c r="EK85" i="2"/>
  <c r="EK86" i="2"/>
  <c r="EK87" i="2"/>
  <c r="EK88" i="2"/>
  <c r="EK89" i="2"/>
  <c r="EK90" i="2"/>
  <c r="EK91" i="2"/>
  <c r="EK92" i="2"/>
  <c r="EK93" i="2"/>
  <c r="EK94" i="2"/>
  <c r="EK95" i="2"/>
  <c r="EK96" i="2"/>
  <c r="EK97" i="2"/>
  <c r="EK98" i="2"/>
  <c r="EK99" i="2"/>
  <c r="EK100" i="2"/>
  <c r="EK101" i="2"/>
  <c r="EK102" i="2"/>
  <c r="EK103" i="2"/>
  <c r="EK104" i="2"/>
  <c r="EK105" i="2"/>
  <c r="EK106" i="2"/>
  <c r="EK107" i="2"/>
  <c r="EK108" i="2"/>
  <c r="EK109" i="2"/>
  <c r="EK110" i="2"/>
  <c r="EK111" i="2"/>
  <c r="EK112" i="2"/>
  <c r="EK113" i="2"/>
  <c r="EK114" i="2"/>
  <c r="EK115" i="2"/>
  <c r="EK116" i="2"/>
  <c r="EK117" i="2"/>
  <c r="EK118" i="2"/>
  <c r="EK119" i="2"/>
  <c r="EK120" i="2"/>
  <c r="EK121" i="2"/>
  <c r="EK122" i="2"/>
  <c r="EK123" i="2"/>
  <c r="EK124" i="2"/>
  <c r="EK125" i="2"/>
  <c r="EK126" i="2"/>
  <c r="EK127" i="2"/>
  <c r="EK128" i="2"/>
  <c r="EK129" i="2"/>
  <c r="EK130" i="2"/>
  <c r="EK131" i="2"/>
  <c r="EK132" i="2"/>
  <c r="EK133" i="2"/>
  <c r="EK134" i="2"/>
  <c r="EK135" i="2"/>
  <c r="EK136" i="2"/>
  <c r="EK137" i="2"/>
  <c r="EK138" i="2"/>
  <c r="EK139" i="2"/>
  <c r="EK140" i="2"/>
  <c r="EK141" i="2"/>
  <c r="EK142" i="2"/>
  <c r="EK143" i="2"/>
  <c r="EK144" i="2"/>
  <c r="EK145" i="2"/>
  <c r="EK146" i="2"/>
  <c r="EK147" i="2"/>
  <c r="EK148" i="2"/>
  <c r="EK149" i="2"/>
  <c r="EK150" i="2"/>
  <c r="EK151" i="2"/>
  <c r="EK152" i="2"/>
  <c r="EK153" i="2"/>
  <c r="EK154" i="2"/>
  <c r="EK155" i="2"/>
  <c r="EK156" i="2"/>
  <c r="EK157" i="2"/>
  <c r="EK158" i="2"/>
  <c r="EK159" i="2"/>
  <c r="EK160" i="2"/>
  <c r="EK161" i="2"/>
  <c r="EK162" i="2"/>
  <c r="EK163" i="2"/>
  <c r="EK164" i="2"/>
  <c r="EK165" i="2"/>
  <c r="EK166" i="2"/>
  <c r="EK167" i="2"/>
  <c r="EK168" i="2"/>
  <c r="EK169" i="2"/>
  <c r="EK170" i="2"/>
  <c r="EK171" i="2"/>
  <c r="EK172" i="2"/>
  <c r="EK173" i="2"/>
  <c r="EK174" i="2"/>
  <c r="EK175" i="2"/>
  <c r="EK176" i="2"/>
  <c r="EK177" i="2"/>
  <c r="EK178" i="2"/>
  <c r="EK179" i="2"/>
  <c r="EK180" i="2"/>
  <c r="EK181" i="2"/>
  <c r="EK182" i="2"/>
  <c r="EK183" i="2"/>
  <c r="EK184" i="2"/>
  <c r="EK185" i="2"/>
  <c r="EK186" i="2"/>
  <c r="EK187" i="2"/>
  <c r="EK188" i="2"/>
  <c r="EK189" i="2"/>
  <c r="EK190" i="2"/>
  <c r="EK191" i="2"/>
  <c r="EK192" i="2"/>
  <c r="EK193" i="2"/>
  <c r="EK194" i="2"/>
  <c r="EK195" i="2"/>
  <c r="EK196" i="2"/>
  <c r="EK197" i="2"/>
  <c r="EK198" i="2"/>
  <c r="EK199" i="2"/>
  <c r="EK200" i="2"/>
  <c r="EK201" i="2"/>
  <c r="EK2" i="2"/>
  <c r="EJ3" i="2"/>
  <c r="EJ4" i="2"/>
  <c r="EJ5" i="2"/>
  <c r="EJ6" i="2"/>
  <c r="EJ7" i="2"/>
  <c r="EJ8" i="2"/>
  <c r="EJ9" i="2"/>
  <c r="EJ10" i="2"/>
  <c r="EJ11" i="2"/>
  <c r="EJ12" i="2"/>
  <c r="EJ13" i="2"/>
  <c r="EJ14" i="2"/>
  <c r="EJ15" i="2"/>
  <c r="EJ16" i="2"/>
  <c r="EJ17" i="2"/>
  <c r="EJ18" i="2"/>
  <c r="EJ19" i="2"/>
  <c r="EJ20" i="2"/>
  <c r="EJ21" i="2"/>
  <c r="EJ22" i="2"/>
  <c r="EJ23" i="2"/>
  <c r="EJ24" i="2"/>
  <c r="EJ25" i="2"/>
  <c r="EJ26" i="2"/>
  <c r="EJ27" i="2"/>
  <c r="EJ28" i="2"/>
  <c r="EJ29" i="2"/>
  <c r="EJ30" i="2"/>
  <c r="EJ31" i="2"/>
  <c r="EJ32" i="2"/>
  <c r="EJ33" i="2"/>
  <c r="EJ34" i="2"/>
  <c r="EJ35" i="2"/>
  <c r="EJ36" i="2"/>
  <c r="EJ37" i="2"/>
  <c r="EJ38" i="2"/>
  <c r="EJ39" i="2"/>
  <c r="EJ40" i="2"/>
  <c r="EJ41" i="2"/>
  <c r="EJ42" i="2"/>
  <c r="EJ43" i="2"/>
  <c r="EJ44" i="2"/>
  <c r="EJ45" i="2"/>
  <c r="EJ46" i="2"/>
  <c r="EJ47" i="2"/>
  <c r="EJ48" i="2"/>
  <c r="EJ49" i="2"/>
  <c r="EJ50" i="2"/>
  <c r="EJ51" i="2"/>
  <c r="EJ52" i="2"/>
  <c r="EJ53" i="2"/>
  <c r="EJ54" i="2"/>
  <c r="EJ55" i="2"/>
  <c r="EJ56" i="2"/>
  <c r="EJ57" i="2"/>
  <c r="EJ58" i="2"/>
  <c r="EJ59" i="2"/>
  <c r="EJ60" i="2"/>
  <c r="EJ61" i="2"/>
  <c r="EJ62" i="2"/>
  <c r="EJ63" i="2"/>
  <c r="EJ64" i="2"/>
  <c r="EJ65" i="2"/>
  <c r="EJ66" i="2"/>
  <c r="EJ67" i="2"/>
  <c r="EJ68" i="2"/>
  <c r="EJ69" i="2"/>
  <c r="EJ70" i="2"/>
  <c r="EJ71" i="2"/>
  <c r="EJ72" i="2"/>
  <c r="EJ73" i="2"/>
  <c r="EJ74" i="2"/>
  <c r="EJ75" i="2"/>
  <c r="EJ76" i="2"/>
  <c r="EJ77" i="2"/>
  <c r="EJ78" i="2"/>
  <c r="EJ79" i="2"/>
  <c r="EJ80" i="2"/>
  <c r="EJ81" i="2"/>
  <c r="EJ82" i="2"/>
  <c r="EJ83" i="2"/>
  <c r="EJ84" i="2"/>
  <c r="EJ85" i="2"/>
  <c r="EJ86" i="2"/>
  <c r="EJ87" i="2"/>
  <c r="EJ88" i="2"/>
  <c r="EJ89" i="2"/>
  <c r="EJ90" i="2"/>
  <c r="EJ91" i="2"/>
  <c r="EJ92" i="2"/>
  <c r="EJ93" i="2"/>
  <c r="EJ94" i="2"/>
  <c r="EJ95" i="2"/>
  <c r="EJ96" i="2"/>
  <c r="EJ97" i="2"/>
  <c r="EJ98" i="2"/>
  <c r="EJ99" i="2"/>
  <c r="EJ100" i="2"/>
  <c r="EJ101" i="2"/>
  <c r="EJ102" i="2"/>
  <c r="EJ103" i="2"/>
  <c r="EJ104" i="2"/>
  <c r="EJ105" i="2"/>
  <c r="EJ106" i="2"/>
  <c r="EJ107" i="2"/>
  <c r="EJ108" i="2"/>
  <c r="EJ109" i="2"/>
  <c r="EJ110" i="2"/>
  <c r="EJ111" i="2"/>
  <c r="EJ112" i="2"/>
  <c r="EJ113" i="2"/>
  <c r="EJ114" i="2"/>
  <c r="EJ115" i="2"/>
  <c r="EJ116" i="2"/>
  <c r="EJ117" i="2"/>
  <c r="EJ118" i="2"/>
  <c r="EJ119" i="2"/>
  <c r="EJ120" i="2"/>
  <c r="EJ121" i="2"/>
  <c r="EJ122" i="2"/>
  <c r="EJ123" i="2"/>
  <c r="EJ124" i="2"/>
  <c r="EJ125" i="2"/>
  <c r="EJ126" i="2"/>
  <c r="EJ127" i="2"/>
  <c r="EJ128" i="2"/>
  <c r="EJ129" i="2"/>
  <c r="EJ130" i="2"/>
  <c r="EJ131" i="2"/>
  <c r="EJ132" i="2"/>
  <c r="EJ133" i="2"/>
  <c r="EJ134" i="2"/>
  <c r="EJ135" i="2"/>
  <c r="EJ136" i="2"/>
  <c r="EJ137" i="2"/>
  <c r="EJ138" i="2"/>
  <c r="EJ139" i="2"/>
  <c r="EJ140" i="2"/>
  <c r="EJ141" i="2"/>
  <c r="EJ142" i="2"/>
  <c r="EJ143" i="2"/>
  <c r="EJ144" i="2"/>
  <c r="EJ145" i="2"/>
  <c r="EJ146" i="2"/>
  <c r="EJ147" i="2"/>
  <c r="EJ148" i="2"/>
  <c r="EJ149" i="2"/>
  <c r="EJ150" i="2"/>
  <c r="EJ151" i="2"/>
  <c r="EJ152" i="2"/>
  <c r="EJ153" i="2"/>
  <c r="EJ154" i="2"/>
  <c r="EJ155" i="2"/>
  <c r="EJ156" i="2"/>
  <c r="EJ157" i="2"/>
  <c r="EJ158" i="2"/>
  <c r="EJ159" i="2"/>
  <c r="EJ160" i="2"/>
  <c r="EJ161" i="2"/>
  <c r="EJ162" i="2"/>
  <c r="EJ163" i="2"/>
  <c r="EJ164" i="2"/>
  <c r="EJ165" i="2"/>
  <c r="EJ166" i="2"/>
  <c r="EJ167" i="2"/>
  <c r="EJ168" i="2"/>
  <c r="EJ169" i="2"/>
  <c r="EJ170" i="2"/>
  <c r="EJ171" i="2"/>
  <c r="EJ172" i="2"/>
  <c r="EJ173" i="2"/>
  <c r="EJ174" i="2"/>
  <c r="EJ175" i="2"/>
  <c r="EJ176" i="2"/>
  <c r="EJ177" i="2"/>
  <c r="EJ178" i="2"/>
  <c r="EJ179" i="2"/>
  <c r="EJ180" i="2"/>
  <c r="EJ181" i="2"/>
  <c r="EJ182" i="2"/>
  <c r="EJ183" i="2"/>
  <c r="EJ184" i="2"/>
  <c r="EJ185" i="2"/>
  <c r="EJ186" i="2"/>
  <c r="EJ187" i="2"/>
  <c r="EJ188" i="2"/>
  <c r="EJ189" i="2"/>
  <c r="EJ190" i="2"/>
  <c r="EJ191" i="2"/>
  <c r="EJ192" i="2"/>
  <c r="EJ193" i="2"/>
  <c r="EJ194" i="2"/>
  <c r="EJ195" i="2"/>
  <c r="EJ196" i="2"/>
  <c r="EJ197" i="2"/>
  <c r="EJ198" i="2"/>
  <c r="EJ199" i="2"/>
  <c r="EJ200" i="2"/>
  <c r="EJ201" i="2"/>
  <c r="ED3" i="2"/>
  <c r="ED4" i="2"/>
  <c r="ED5" i="2"/>
  <c r="ED6" i="2"/>
  <c r="ED7" i="2"/>
  <c r="ED8" i="2"/>
  <c r="ED9" i="2"/>
  <c r="ED10" i="2"/>
  <c r="ED11" i="2"/>
  <c r="ED12" i="2"/>
  <c r="ED13" i="2"/>
  <c r="ED14" i="2"/>
  <c r="ED15" i="2"/>
  <c r="ED16" i="2"/>
  <c r="ED17" i="2"/>
  <c r="ED18" i="2"/>
  <c r="ED19" i="2"/>
  <c r="ED20" i="2"/>
  <c r="ED21" i="2"/>
  <c r="ED22" i="2"/>
  <c r="ED23" i="2"/>
  <c r="ED24" i="2"/>
  <c r="ED25" i="2"/>
  <c r="ED26" i="2"/>
  <c r="ED27" i="2"/>
  <c r="ED28" i="2"/>
  <c r="ED29" i="2"/>
  <c r="ED30" i="2"/>
  <c r="ED31" i="2"/>
  <c r="ED32" i="2"/>
  <c r="ED33" i="2"/>
  <c r="ED34" i="2"/>
  <c r="ED35" i="2"/>
  <c r="ED36" i="2"/>
  <c r="ED37" i="2"/>
  <c r="ED38" i="2"/>
  <c r="ED39" i="2"/>
  <c r="ED40" i="2"/>
  <c r="ED41" i="2"/>
  <c r="ED42" i="2"/>
  <c r="ED43" i="2"/>
  <c r="ED44" i="2"/>
  <c r="ED45" i="2"/>
  <c r="ED46" i="2"/>
  <c r="ED47" i="2"/>
  <c r="ED48" i="2"/>
  <c r="ED49" i="2"/>
  <c r="ED50" i="2"/>
  <c r="ED51" i="2"/>
  <c r="ED52" i="2"/>
  <c r="ED53" i="2"/>
  <c r="ED54" i="2"/>
  <c r="ED55" i="2"/>
  <c r="ED56" i="2"/>
  <c r="ED57" i="2"/>
  <c r="ED58" i="2"/>
  <c r="ED59" i="2"/>
  <c r="ED60" i="2"/>
  <c r="ED61" i="2"/>
  <c r="ED62" i="2"/>
  <c r="ED63" i="2"/>
  <c r="ED64" i="2"/>
  <c r="ED65" i="2"/>
  <c r="ED66" i="2"/>
  <c r="ED67" i="2"/>
  <c r="ED68" i="2"/>
  <c r="ED69" i="2"/>
  <c r="ED70" i="2"/>
  <c r="ED71" i="2"/>
  <c r="ED72" i="2"/>
  <c r="ED73" i="2"/>
  <c r="ED74" i="2"/>
  <c r="ED75" i="2"/>
  <c r="ED76" i="2"/>
  <c r="ED77" i="2"/>
  <c r="ED78" i="2"/>
  <c r="ED79" i="2"/>
  <c r="ED80" i="2"/>
  <c r="ED81" i="2"/>
  <c r="ED82" i="2"/>
  <c r="ED83" i="2"/>
  <c r="ED84" i="2"/>
  <c r="ED85" i="2"/>
  <c r="ED86" i="2"/>
  <c r="ED87" i="2"/>
  <c r="ED88" i="2"/>
  <c r="ED89" i="2"/>
  <c r="ED90" i="2"/>
  <c r="ED91" i="2"/>
  <c r="ED92" i="2"/>
  <c r="ED93" i="2"/>
  <c r="ED94" i="2"/>
  <c r="ED95" i="2"/>
  <c r="ED96" i="2"/>
  <c r="ED97" i="2"/>
  <c r="ED98" i="2"/>
  <c r="ED99" i="2"/>
  <c r="ED100" i="2"/>
  <c r="ED101" i="2"/>
  <c r="ED102" i="2"/>
  <c r="ED103" i="2"/>
  <c r="ED104" i="2"/>
  <c r="ED105" i="2"/>
  <c r="ED106" i="2"/>
  <c r="ED107" i="2"/>
  <c r="ED108" i="2"/>
  <c r="ED109" i="2"/>
  <c r="ED110" i="2"/>
  <c r="ED111" i="2"/>
  <c r="ED112" i="2"/>
  <c r="ED113" i="2"/>
  <c r="ED114" i="2"/>
  <c r="ED115" i="2"/>
  <c r="ED116" i="2"/>
  <c r="ED117" i="2"/>
  <c r="ED118" i="2"/>
  <c r="ED119" i="2"/>
  <c r="ED120" i="2"/>
  <c r="ED121" i="2"/>
  <c r="ED122" i="2"/>
  <c r="ED123" i="2"/>
  <c r="ED124" i="2"/>
  <c r="ED125" i="2"/>
  <c r="ED126" i="2"/>
  <c r="ED127" i="2"/>
  <c r="ED128" i="2"/>
  <c r="ED129" i="2"/>
  <c r="ED130" i="2"/>
  <c r="ED131" i="2"/>
  <c r="ED132" i="2"/>
  <c r="ED133" i="2"/>
  <c r="ED134" i="2"/>
  <c r="ED135" i="2"/>
  <c r="ED136" i="2"/>
  <c r="ED137" i="2"/>
  <c r="ED138" i="2"/>
  <c r="ED139" i="2"/>
  <c r="ED140" i="2"/>
  <c r="ED141" i="2"/>
  <c r="ED142" i="2"/>
  <c r="ED143" i="2"/>
  <c r="ED144" i="2"/>
  <c r="ED145" i="2"/>
  <c r="ED146" i="2"/>
  <c r="ED147" i="2"/>
  <c r="ED148" i="2"/>
  <c r="ED149" i="2"/>
  <c r="ED150" i="2"/>
  <c r="ED151" i="2"/>
  <c r="ED152" i="2"/>
  <c r="ED153" i="2"/>
  <c r="ED154" i="2"/>
  <c r="ED155" i="2"/>
  <c r="ED156" i="2"/>
  <c r="ED157" i="2"/>
  <c r="ED158" i="2"/>
  <c r="ED159" i="2"/>
  <c r="ED160" i="2"/>
  <c r="ED161" i="2"/>
  <c r="ED162" i="2"/>
  <c r="ED163" i="2"/>
  <c r="ED164" i="2"/>
  <c r="ED165" i="2"/>
  <c r="ED166" i="2"/>
  <c r="ED167" i="2"/>
  <c r="ED168" i="2"/>
  <c r="ED169" i="2"/>
  <c r="ED170" i="2"/>
  <c r="ED171" i="2"/>
  <c r="ED172" i="2"/>
  <c r="ED173" i="2"/>
  <c r="ED174" i="2"/>
  <c r="ED175" i="2"/>
  <c r="ED176" i="2"/>
  <c r="ED177" i="2"/>
  <c r="ED178" i="2"/>
  <c r="ED179" i="2"/>
  <c r="ED180" i="2"/>
  <c r="ED181" i="2"/>
  <c r="ED182" i="2"/>
  <c r="ED183" i="2"/>
  <c r="ED184" i="2"/>
  <c r="ED185" i="2"/>
  <c r="ED186" i="2"/>
  <c r="ED187" i="2"/>
  <c r="ED188" i="2"/>
  <c r="ED189" i="2"/>
  <c r="ED190" i="2"/>
  <c r="ED191" i="2"/>
  <c r="ED192" i="2"/>
  <c r="ED193" i="2"/>
  <c r="ED194" i="2"/>
  <c r="ED195" i="2"/>
  <c r="ED196" i="2"/>
  <c r="ED197" i="2"/>
  <c r="ED198" i="2"/>
  <c r="ED199" i="2"/>
  <c r="ED200" i="2"/>
  <c r="ED201" i="2"/>
  <c r="EC3" i="2"/>
  <c r="EC4" i="2"/>
  <c r="EC5" i="2"/>
  <c r="EC6" i="2"/>
  <c r="EC7" i="2"/>
  <c r="EC8" i="2"/>
  <c r="EC9" i="2"/>
  <c r="EC10" i="2"/>
  <c r="EC11" i="2"/>
  <c r="EC12" i="2"/>
  <c r="EC13" i="2"/>
  <c r="EC14" i="2"/>
  <c r="EC15" i="2"/>
  <c r="EC16" i="2"/>
  <c r="EC17" i="2"/>
  <c r="EC18" i="2"/>
  <c r="EC19" i="2"/>
  <c r="EC20" i="2"/>
  <c r="EC21" i="2"/>
  <c r="EC22" i="2"/>
  <c r="EC23" i="2"/>
  <c r="EC24" i="2"/>
  <c r="EC25" i="2"/>
  <c r="EC26" i="2"/>
  <c r="EC27" i="2"/>
  <c r="EC28" i="2"/>
  <c r="EC29" i="2"/>
  <c r="EC30" i="2"/>
  <c r="EC31" i="2"/>
  <c r="EC32" i="2"/>
  <c r="EC33" i="2"/>
  <c r="EC34" i="2"/>
  <c r="EC35" i="2"/>
  <c r="EC36" i="2"/>
  <c r="EC37" i="2"/>
  <c r="EC38" i="2"/>
  <c r="EC39" i="2"/>
  <c r="EC40" i="2"/>
  <c r="EC41" i="2"/>
  <c r="EC42" i="2"/>
  <c r="EC43" i="2"/>
  <c r="EC44" i="2"/>
  <c r="EC45" i="2"/>
  <c r="EC46" i="2"/>
  <c r="EC47" i="2"/>
  <c r="EC48" i="2"/>
  <c r="EC49" i="2"/>
  <c r="EC50" i="2"/>
  <c r="EC51" i="2"/>
  <c r="EC52" i="2"/>
  <c r="EC53" i="2"/>
  <c r="EC54" i="2"/>
  <c r="EC55" i="2"/>
  <c r="EC56" i="2"/>
  <c r="EC57" i="2"/>
  <c r="EC58" i="2"/>
  <c r="EC59" i="2"/>
  <c r="EC60" i="2"/>
  <c r="EC61" i="2"/>
  <c r="EC62" i="2"/>
  <c r="EC63" i="2"/>
  <c r="EC64" i="2"/>
  <c r="EC65" i="2"/>
  <c r="EC66" i="2"/>
  <c r="EC67" i="2"/>
  <c r="EC68" i="2"/>
  <c r="EC69" i="2"/>
  <c r="EC70" i="2"/>
  <c r="EC71" i="2"/>
  <c r="EC72" i="2"/>
  <c r="EC73" i="2"/>
  <c r="EC74" i="2"/>
  <c r="EC75" i="2"/>
  <c r="EC76" i="2"/>
  <c r="EC77" i="2"/>
  <c r="EC78" i="2"/>
  <c r="EC79" i="2"/>
  <c r="EC80" i="2"/>
  <c r="EC81" i="2"/>
  <c r="EC82" i="2"/>
  <c r="EC83" i="2"/>
  <c r="EC84" i="2"/>
  <c r="EC85" i="2"/>
  <c r="EC86" i="2"/>
  <c r="EC87" i="2"/>
  <c r="EC88" i="2"/>
  <c r="EC89" i="2"/>
  <c r="EC90" i="2"/>
  <c r="EC91" i="2"/>
  <c r="EC92" i="2"/>
  <c r="EC93" i="2"/>
  <c r="EC94" i="2"/>
  <c r="EC95" i="2"/>
  <c r="EC96" i="2"/>
  <c r="EC97" i="2"/>
  <c r="EC98" i="2"/>
  <c r="EC99" i="2"/>
  <c r="EC100" i="2"/>
  <c r="EC101" i="2"/>
  <c r="EC102" i="2"/>
  <c r="EC103" i="2"/>
  <c r="EC104" i="2"/>
  <c r="EC105" i="2"/>
  <c r="EC106" i="2"/>
  <c r="EC107" i="2"/>
  <c r="EC108" i="2"/>
  <c r="EC109" i="2"/>
  <c r="EC110" i="2"/>
  <c r="EC111" i="2"/>
  <c r="EC112" i="2"/>
  <c r="EC113" i="2"/>
  <c r="EC114" i="2"/>
  <c r="EC115" i="2"/>
  <c r="EC116" i="2"/>
  <c r="EC117" i="2"/>
  <c r="EC118" i="2"/>
  <c r="EC119" i="2"/>
  <c r="EC120" i="2"/>
  <c r="EC121" i="2"/>
  <c r="EC122" i="2"/>
  <c r="EC123" i="2"/>
  <c r="EC124" i="2"/>
  <c r="EC125" i="2"/>
  <c r="EC126" i="2"/>
  <c r="EC127" i="2"/>
  <c r="EC128" i="2"/>
  <c r="EC129" i="2"/>
  <c r="EC130" i="2"/>
  <c r="EC131" i="2"/>
  <c r="EC132" i="2"/>
  <c r="EC133" i="2"/>
  <c r="EC134" i="2"/>
  <c r="EC135" i="2"/>
  <c r="EC136" i="2"/>
  <c r="EC137" i="2"/>
  <c r="EC138" i="2"/>
  <c r="EC139" i="2"/>
  <c r="EC140" i="2"/>
  <c r="EC141" i="2"/>
  <c r="EC142" i="2"/>
  <c r="EC143" i="2"/>
  <c r="EC144" i="2"/>
  <c r="EC145" i="2"/>
  <c r="EC146" i="2"/>
  <c r="EC147" i="2"/>
  <c r="EC148" i="2"/>
  <c r="EC149" i="2"/>
  <c r="EC150" i="2"/>
  <c r="EC151" i="2"/>
  <c r="EC152" i="2"/>
  <c r="EC153" i="2"/>
  <c r="EC154" i="2"/>
  <c r="EC155" i="2"/>
  <c r="EC156" i="2"/>
  <c r="EC157" i="2"/>
  <c r="EC158" i="2"/>
  <c r="EC159" i="2"/>
  <c r="EC160" i="2"/>
  <c r="EC161" i="2"/>
  <c r="EC162" i="2"/>
  <c r="EC163" i="2"/>
  <c r="EC164" i="2"/>
  <c r="EC165" i="2"/>
  <c r="EC166" i="2"/>
  <c r="EC167" i="2"/>
  <c r="EC168" i="2"/>
  <c r="EC169" i="2"/>
  <c r="EC170" i="2"/>
  <c r="EC171" i="2"/>
  <c r="EC172" i="2"/>
  <c r="EC173" i="2"/>
  <c r="EC174" i="2"/>
  <c r="EC175" i="2"/>
  <c r="EC176" i="2"/>
  <c r="EC177" i="2"/>
  <c r="EC178" i="2"/>
  <c r="EC179" i="2"/>
  <c r="EC180" i="2"/>
  <c r="EC181" i="2"/>
  <c r="EC182" i="2"/>
  <c r="EC183" i="2"/>
  <c r="EC184" i="2"/>
  <c r="EC185" i="2"/>
  <c r="EC186" i="2"/>
  <c r="EC187" i="2"/>
  <c r="EC188" i="2"/>
  <c r="EC189" i="2"/>
  <c r="EC190" i="2"/>
  <c r="EC191" i="2"/>
  <c r="EC192" i="2"/>
  <c r="EC193" i="2"/>
  <c r="EC194" i="2"/>
  <c r="EC195" i="2"/>
  <c r="EC196" i="2"/>
  <c r="EC197" i="2"/>
  <c r="EC198" i="2"/>
  <c r="EC199" i="2"/>
  <c r="EC200" i="2"/>
  <c r="EC201" i="2"/>
  <c r="CV22" i="2"/>
  <c r="CV21" i="2"/>
  <c r="HB1" i="2"/>
  <c r="HI1" i="2"/>
  <c r="EY10" i="2"/>
  <c r="A17" i="8"/>
  <c r="A16" i="8"/>
  <c r="A15" i="8"/>
  <c r="FC1" i="2"/>
  <c r="A16" i="10"/>
  <c r="A15" i="10"/>
  <c r="A17" i="10"/>
  <c r="EK1" i="2"/>
  <c r="EJ1" i="2"/>
  <c r="EM1" i="2"/>
  <c r="EL1" i="2"/>
  <c r="ED1" i="2"/>
  <c r="EC1" i="2"/>
  <c r="EA1" i="2"/>
  <c r="A34" i="9"/>
  <c r="A36" i="9"/>
  <c r="A35" i="9"/>
  <c r="BL7" i="2"/>
  <c r="BL6" i="2"/>
  <c r="BL5" i="2"/>
  <c r="BL4" i="2"/>
  <c r="BL3" i="2"/>
  <c r="BL2" i="2"/>
  <c r="A49" i="5"/>
  <c r="A48" i="5"/>
  <c r="F1" i="5"/>
  <c r="A16" i="5"/>
  <c r="A47" i="5"/>
  <c r="A44" i="5"/>
  <c r="A43" i="5"/>
  <c r="A42" i="5"/>
  <c r="AR1" i="2"/>
  <c r="FW15" i="2"/>
  <c r="AF15" i="2"/>
  <c r="AG15" i="2"/>
  <c r="Z15" i="2"/>
  <c r="T15" i="2"/>
  <c r="M15" i="2"/>
  <c r="Y15" i="2"/>
  <c r="S15" i="2"/>
  <c r="N15" i="2"/>
  <c r="B15" i="2"/>
  <c r="E15" i="2"/>
  <c r="D15" i="2"/>
  <c r="C15" i="2"/>
  <c r="A15" i="1"/>
  <c r="FD15" i="2"/>
  <c r="AM15" i="2"/>
  <c r="FW102" i="2"/>
  <c r="AF102" i="2"/>
  <c r="Y102" i="2"/>
  <c r="S102" i="2"/>
  <c r="N102" i="2"/>
  <c r="AG102" i="2"/>
  <c r="Z102" i="2"/>
  <c r="T102" i="2"/>
  <c r="M102" i="2"/>
  <c r="FW90" i="2"/>
  <c r="AF90" i="2"/>
  <c r="Y90" i="2"/>
  <c r="S90" i="2"/>
  <c r="N90" i="2"/>
  <c r="AG90" i="2"/>
  <c r="Z90" i="2"/>
  <c r="T90" i="2"/>
  <c r="M90" i="2"/>
  <c r="FW82" i="2"/>
  <c r="AF82" i="2"/>
  <c r="Y82" i="2"/>
  <c r="S82" i="2"/>
  <c r="N82" i="2"/>
  <c r="AG82" i="2"/>
  <c r="Z82" i="2"/>
  <c r="T82" i="2"/>
  <c r="M82" i="2"/>
  <c r="FW70" i="2"/>
  <c r="AF70" i="2"/>
  <c r="Y70" i="2"/>
  <c r="S70" i="2"/>
  <c r="N70" i="2"/>
  <c r="AG70" i="2"/>
  <c r="Z70" i="2"/>
  <c r="T70" i="2"/>
  <c r="M70" i="2"/>
  <c r="FW58" i="2"/>
  <c r="AF58" i="2"/>
  <c r="AG58" i="2"/>
  <c r="Y58" i="2"/>
  <c r="S58" i="2"/>
  <c r="N58" i="2"/>
  <c r="Z58" i="2"/>
  <c r="T58" i="2"/>
  <c r="M58" i="2"/>
  <c r="FW46" i="2"/>
  <c r="AF46" i="2"/>
  <c r="AG46" i="2"/>
  <c r="Y46" i="2"/>
  <c r="S46" i="2"/>
  <c r="N46" i="2"/>
  <c r="Z46" i="2"/>
  <c r="T46" i="2"/>
  <c r="M46" i="2"/>
  <c r="FW34" i="2"/>
  <c r="AF34" i="2"/>
  <c r="AG34" i="2"/>
  <c r="Y34" i="2"/>
  <c r="S34" i="2"/>
  <c r="N34" i="2"/>
  <c r="Z34" i="2"/>
  <c r="T34" i="2"/>
  <c r="M34" i="2"/>
  <c r="FW30" i="2"/>
  <c r="AF30" i="2"/>
  <c r="AG30" i="2"/>
  <c r="Y30" i="2"/>
  <c r="S30" i="2"/>
  <c r="N30" i="2"/>
  <c r="Z30" i="2"/>
  <c r="T30" i="2"/>
  <c r="M30" i="2"/>
  <c r="FW26" i="2"/>
  <c r="AF26" i="2"/>
  <c r="AG26" i="2"/>
  <c r="Y26" i="2"/>
  <c r="S26" i="2"/>
  <c r="N26" i="2"/>
  <c r="Z26" i="2"/>
  <c r="T26" i="2"/>
  <c r="M26" i="2"/>
  <c r="FW22" i="2"/>
  <c r="AF22" i="2"/>
  <c r="AG22" i="2"/>
  <c r="Y22" i="2"/>
  <c r="S22" i="2"/>
  <c r="N22" i="2"/>
  <c r="Z22" i="2"/>
  <c r="T22" i="2"/>
  <c r="M22" i="2"/>
  <c r="FW18" i="2"/>
  <c r="AF18" i="2"/>
  <c r="AG18" i="2"/>
  <c r="Y18" i="2"/>
  <c r="S18" i="2"/>
  <c r="N18" i="2"/>
  <c r="Z18" i="2"/>
  <c r="T18" i="2"/>
  <c r="M18" i="2"/>
  <c r="FW14" i="2"/>
  <c r="AF14" i="2"/>
  <c r="AG14" i="2"/>
  <c r="Y14" i="2"/>
  <c r="S14" i="2"/>
  <c r="N14" i="2"/>
  <c r="Z14" i="2"/>
  <c r="T14" i="2"/>
  <c r="M14" i="2"/>
  <c r="FW199" i="2"/>
  <c r="AG199" i="2"/>
  <c r="Z199" i="2"/>
  <c r="M199" i="2"/>
  <c r="S199" i="2"/>
  <c r="AF199" i="2"/>
  <c r="Y199" i="2"/>
  <c r="T199" i="2"/>
  <c r="N199" i="2"/>
  <c r="FW187" i="2"/>
  <c r="AG187" i="2"/>
  <c r="Z187" i="2"/>
  <c r="M187" i="2"/>
  <c r="S187" i="2"/>
  <c r="AF187" i="2"/>
  <c r="T187" i="2"/>
  <c r="N187" i="2"/>
  <c r="Y187" i="2"/>
  <c r="FW107" i="2"/>
  <c r="AG107" i="2"/>
  <c r="Z107" i="2"/>
  <c r="T107" i="2"/>
  <c r="M107" i="2"/>
  <c r="AF107" i="2"/>
  <c r="N107" i="2"/>
  <c r="Y107" i="2"/>
  <c r="S107" i="2"/>
  <c r="FW99" i="2"/>
  <c r="AG99" i="2"/>
  <c r="Z99" i="2"/>
  <c r="T99" i="2"/>
  <c r="M99" i="2"/>
  <c r="Y99" i="2"/>
  <c r="N99" i="2"/>
  <c r="AF99" i="2"/>
  <c r="S99" i="2"/>
  <c r="FW91" i="2"/>
  <c r="AG91" i="2"/>
  <c r="Z91" i="2"/>
  <c r="T91" i="2"/>
  <c r="M91" i="2"/>
  <c r="AF91" i="2"/>
  <c r="S91" i="2"/>
  <c r="N91" i="2"/>
  <c r="Y91" i="2"/>
  <c r="FW83" i="2"/>
  <c r="AG83" i="2"/>
  <c r="Z83" i="2"/>
  <c r="T83" i="2"/>
  <c r="M83" i="2"/>
  <c r="Y83" i="2"/>
  <c r="N83" i="2"/>
  <c r="AF83" i="2"/>
  <c r="S83" i="2"/>
  <c r="FW75" i="2"/>
  <c r="AG75" i="2"/>
  <c r="Z75" i="2"/>
  <c r="T75" i="2"/>
  <c r="M75" i="2"/>
  <c r="AF75" i="2"/>
  <c r="S75" i="2"/>
  <c r="N75" i="2"/>
  <c r="Y75" i="2"/>
  <c r="FW67" i="2"/>
  <c r="AG67" i="2"/>
  <c r="Z67" i="2"/>
  <c r="T67" i="2"/>
  <c r="M67" i="2"/>
  <c r="Y67" i="2"/>
  <c r="N67" i="2"/>
  <c r="AF67" i="2"/>
  <c r="S67" i="2"/>
  <c r="FW59" i="2"/>
  <c r="AF59" i="2"/>
  <c r="AG59" i="2"/>
  <c r="Z59" i="2"/>
  <c r="T59" i="2"/>
  <c r="M59" i="2"/>
  <c r="S59" i="2"/>
  <c r="N59" i="2"/>
  <c r="Y59" i="2"/>
  <c r="FW51" i="2"/>
  <c r="AF51" i="2"/>
  <c r="AG51" i="2"/>
  <c r="Z51" i="2"/>
  <c r="T51" i="2"/>
  <c r="M51" i="2"/>
  <c r="Y51" i="2"/>
  <c r="N51" i="2"/>
  <c r="S51" i="2"/>
  <c r="FW43" i="2"/>
  <c r="AF43" i="2"/>
  <c r="AG43" i="2"/>
  <c r="Z43" i="2"/>
  <c r="T43" i="2"/>
  <c r="M43" i="2"/>
  <c r="S43" i="2"/>
  <c r="N43" i="2"/>
  <c r="Y43" i="2"/>
  <c r="FW35" i="2"/>
  <c r="AF35" i="2"/>
  <c r="AG35" i="2"/>
  <c r="Z35" i="2"/>
  <c r="T35" i="2"/>
  <c r="M35" i="2"/>
  <c r="Y35" i="2"/>
  <c r="N35" i="2"/>
  <c r="S35" i="2"/>
  <c r="FW27" i="2"/>
  <c r="AF27" i="2"/>
  <c r="AG27" i="2"/>
  <c r="Z27" i="2"/>
  <c r="T27" i="2"/>
  <c r="M27" i="2"/>
  <c r="S27" i="2"/>
  <c r="N27" i="2"/>
  <c r="Y27" i="2"/>
  <c r="FW19" i="2"/>
  <c r="AF19" i="2"/>
  <c r="AG19" i="2"/>
  <c r="Z19" i="2"/>
  <c r="T19" i="2"/>
  <c r="M19" i="2"/>
  <c r="Y19" i="2"/>
  <c r="N19" i="2"/>
  <c r="S19" i="2"/>
  <c r="FW194" i="2"/>
  <c r="AF194" i="2"/>
  <c r="Y194" i="2"/>
  <c r="T194" i="2"/>
  <c r="N194" i="2"/>
  <c r="AG194" i="2"/>
  <c r="Z194" i="2"/>
  <c r="S194" i="2"/>
  <c r="M194" i="2"/>
  <c r="FW186" i="2"/>
  <c r="AF186" i="2"/>
  <c r="Y186" i="2"/>
  <c r="T186" i="2"/>
  <c r="N186" i="2"/>
  <c r="AG186" i="2"/>
  <c r="Z186" i="2"/>
  <c r="S186" i="2"/>
  <c r="M186" i="2"/>
  <c r="FW178" i="2"/>
  <c r="AF178" i="2"/>
  <c r="Y178" i="2"/>
  <c r="T178" i="2"/>
  <c r="N178" i="2"/>
  <c r="AG178" i="2"/>
  <c r="Z178" i="2"/>
  <c r="S178" i="2"/>
  <c r="M178" i="2"/>
  <c r="FW170" i="2"/>
  <c r="AF170" i="2"/>
  <c r="Y170" i="2"/>
  <c r="S170" i="2"/>
  <c r="N170" i="2"/>
  <c r="AG170" i="2"/>
  <c r="Z170" i="2"/>
  <c r="M170" i="2"/>
  <c r="T170" i="2"/>
  <c r="FW162" i="2"/>
  <c r="AF162" i="2"/>
  <c r="Y162" i="2"/>
  <c r="S162" i="2"/>
  <c r="N162" i="2"/>
  <c r="AG162" i="2"/>
  <c r="Z162" i="2"/>
  <c r="M162" i="2"/>
  <c r="T162" i="2"/>
  <c r="FW150" i="2"/>
  <c r="AF150" i="2"/>
  <c r="Y150" i="2"/>
  <c r="S150" i="2"/>
  <c r="N150" i="2"/>
  <c r="AG150" i="2"/>
  <c r="Z150" i="2"/>
  <c r="T150" i="2"/>
  <c r="M150" i="2"/>
  <c r="FW142" i="2"/>
  <c r="AF142" i="2"/>
  <c r="Y142" i="2"/>
  <c r="S142" i="2"/>
  <c r="N142" i="2"/>
  <c r="AG142" i="2"/>
  <c r="Z142" i="2"/>
  <c r="T142" i="2"/>
  <c r="M142" i="2"/>
  <c r="FW134" i="2"/>
  <c r="AF134" i="2"/>
  <c r="Y134" i="2"/>
  <c r="S134" i="2"/>
  <c r="N134" i="2"/>
  <c r="AG134" i="2"/>
  <c r="Z134" i="2"/>
  <c r="T134" i="2"/>
  <c r="M134" i="2"/>
  <c r="FW126" i="2"/>
  <c r="AF126" i="2"/>
  <c r="Y126" i="2"/>
  <c r="S126" i="2"/>
  <c r="N126" i="2"/>
  <c r="AG126" i="2"/>
  <c r="Z126" i="2"/>
  <c r="T126" i="2"/>
  <c r="M126" i="2"/>
  <c r="FW122" i="2"/>
  <c r="AF122" i="2"/>
  <c r="Y122" i="2"/>
  <c r="S122" i="2"/>
  <c r="N122" i="2"/>
  <c r="AG122" i="2"/>
  <c r="Z122" i="2"/>
  <c r="M122" i="2"/>
  <c r="T122" i="2"/>
  <c r="FW114" i="2"/>
  <c r="AF114" i="2"/>
  <c r="Y114" i="2"/>
  <c r="S114" i="2"/>
  <c r="N114" i="2"/>
  <c r="AG114" i="2"/>
  <c r="Z114" i="2"/>
  <c r="M114" i="2"/>
  <c r="T114" i="2"/>
  <c r="FW106" i="2"/>
  <c r="AF106" i="2"/>
  <c r="Y106" i="2"/>
  <c r="S106" i="2"/>
  <c r="N106" i="2"/>
  <c r="AG106" i="2"/>
  <c r="Z106" i="2"/>
  <c r="M106" i="2"/>
  <c r="T106" i="2"/>
  <c r="FW94" i="2"/>
  <c r="AF94" i="2"/>
  <c r="Y94" i="2"/>
  <c r="S94" i="2"/>
  <c r="N94" i="2"/>
  <c r="AG94" i="2"/>
  <c r="Z94" i="2"/>
  <c r="T94" i="2"/>
  <c r="M94" i="2"/>
  <c r="FW78" i="2"/>
  <c r="AF78" i="2"/>
  <c r="Y78" i="2"/>
  <c r="S78" i="2"/>
  <c r="N78" i="2"/>
  <c r="AG78" i="2"/>
  <c r="Z78" i="2"/>
  <c r="T78" i="2"/>
  <c r="M78" i="2"/>
  <c r="FW66" i="2"/>
  <c r="AF66" i="2"/>
  <c r="Y66" i="2"/>
  <c r="S66" i="2"/>
  <c r="N66" i="2"/>
  <c r="AG66" i="2"/>
  <c r="Z66" i="2"/>
  <c r="T66" i="2"/>
  <c r="M66" i="2"/>
  <c r="FW50" i="2"/>
  <c r="AF50" i="2"/>
  <c r="AG50" i="2"/>
  <c r="Y50" i="2"/>
  <c r="S50" i="2"/>
  <c r="N50" i="2"/>
  <c r="Z50" i="2"/>
  <c r="T50" i="2"/>
  <c r="M50" i="2"/>
  <c r="FW42" i="2"/>
  <c r="AF42" i="2"/>
  <c r="AG42" i="2"/>
  <c r="Y42" i="2"/>
  <c r="S42" i="2"/>
  <c r="N42" i="2"/>
  <c r="Z42" i="2"/>
  <c r="T42" i="2"/>
  <c r="M42" i="2"/>
  <c r="FW201" i="2"/>
  <c r="AG201" i="2"/>
  <c r="Z201" i="2"/>
  <c r="M201" i="2"/>
  <c r="AF201" i="2"/>
  <c r="Y201" i="2"/>
  <c r="S201" i="2"/>
  <c r="T201" i="2"/>
  <c r="N201" i="2"/>
  <c r="FW197" i="2"/>
  <c r="AG197" i="2"/>
  <c r="Z197" i="2"/>
  <c r="M197" i="2"/>
  <c r="AF197" i="2"/>
  <c r="Y197" i="2"/>
  <c r="S197" i="2"/>
  <c r="T197" i="2"/>
  <c r="N197" i="2"/>
  <c r="FW193" i="2"/>
  <c r="AG193" i="2"/>
  <c r="Z193" i="2"/>
  <c r="M193" i="2"/>
  <c r="AF193" i="2"/>
  <c r="Y193" i="2"/>
  <c r="S193" i="2"/>
  <c r="T193" i="2"/>
  <c r="N193" i="2"/>
  <c r="FW189" i="2"/>
  <c r="AG189" i="2"/>
  <c r="Z189" i="2"/>
  <c r="M189" i="2"/>
  <c r="AF189" i="2"/>
  <c r="Y189" i="2"/>
  <c r="S189" i="2"/>
  <c r="T189" i="2"/>
  <c r="N189" i="2"/>
  <c r="FW185" i="2"/>
  <c r="AG185" i="2"/>
  <c r="Z185" i="2"/>
  <c r="M185" i="2"/>
  <c r="AF185" i="2"/>
  <c r="Y185" i="2"/>
  <c r="S185" i="2"/>
  <c r="T185" i="2"/>
  <c r="N185" i="2"/>
  <c r="FW181" i="2"/>
  <c r="AG181" i="2"/>
  <c r="Z181" i="2"/>
  <c r="M181" i="2"/>
  <c r="AF181" i="2"/>
  <c r="Y181" i="2"/>
  <c r="S181" i="2"/>
  <c r="T181" i="2"/>
  <c r="N181" i="2"/>
  <c r="FW177" i="2"/>
  <c r="AG177" i="2"/>
  <c r="Z177" i="2"/>
  <c r="AF177" i="2"/>
  <c r="Y177" i="2"/>
  <c r="S177" i="2"/>
  <c r="M177" i="2"/>
  <c r="T177" i="2"/>
  <c r="N177" i="2"/>
  <c r="FW173" i="2"/>
  <c r="AG173" i="2"/>
  <c r="Z173" i="2"/>
  <c r="AF173" i="2"/>
  <c r="Y173" i="2"/>
  <c r="S173" i="2"/>
  <c r="M173" i="2"/>
  <c r="T173" i="2"/>
  <c r="N173" i="2"/>
  <c r="FW169" i="2"/>
  <c r="AG169" i="2"/>
  <c r="Z169" i="2"/>
  <c r="T169" i="2"/>
  <c r="AF169" i="2"/>
  <c r="Y169" i="2"/>
  <c r="S169" i="2"/>
  <c r="M169" i="2"/>
  <c r="N169" i="2"/>
  <c r="FW165" i="2"/>
  <c r="AG165" i="2"/>
  <c r="Z165" i="2"/>
  <c r="T165" i="2"/>
  <c r="AF165" i="2"/>
  <c r="Y165" i="2"/>
  <c r="S165" i="2"/>
  <c r="M165" i="2"/>
  <c r="N165" i="2"/>
  <c r="FW161" i="2"/>
  <c r="AG161" i="2"/>
  <c r="Z161" i="2"/>
  <c r="T161" i="2"/>
  <c r="AF161" i="2"/>
  <c r="Y161" i="2"/>
  <c r="S161" i="2"/>
  <c r="M161" i="2"/>
  <c r="N161" i="2"/>
  <c r="FW157" i="2"/>
  <c r="AG157" i="2"/>
  <c r="Z157" i="2"/>
  <c r="T157" i="2"/>
  <c r="AF157" i="2"/>
  <c r="Y157" i="2"/>
  <c r="S157" i="2"/>
  <c r="M157" i="2"/>
  <c r="N157" i="2"/>
  <c r="FW153" i="2"/>
  <c r="AG153" i="2"/>
  <c r="Z153" i="2"/>
  <c r="T153" i="2"/>
  <c r="AF153" i="2"/>
  <c r="Y153" i="2"/>
  <c r="S153" i="2"/>
  <c r="M153" i="2"/>
  <c r="N153" i="2"/>
  <c r="FW149" i="2"/>
  <c r="AG149" i="2"/>
  <c r="Z149" i="2"/>
  <c r="T149" i="2"/>
  <c r="AF149" i="2"/>
  <c r="Y149" i="2"/>
  <c r="S149" i="2"/>
  <c r="M149" i="2"/>
  <c r="N149" i="2"/>
  <c r="FW145" i="2"/>
  <c r="AG145" i="2"/>
  <c r="Z145" i="2"/>
  <c r="T145" i="2"/>
  <c r="AF145" i="2"/>
  <c r="Y145" i="2"/>
  <c r="S145" i="2"/>
  <c r="M145" i="2"/>
  <c r="N145" i="2"/>
  <c r="FW141" i="2"/>
  <c r="AG141" i="2"/>
  <c r="Z141" i="2"/>
  <c r="T141" i="2"/>
  <c r="AF141" i="2"/>
  <c r="Y141" i="2"/>
  <c r="S141" i="2"/>
  <c r="M141" i="2"/>
  <c r="N141" i="2"/>
  <c r="FW137" i="2"/>
  <c r="AG137" i="2"/>
  <c r="Z137" i="2"/>
  <c r="T137" i="2"/>
  <c r="AF137" i="2"/>
  <c r="Y137" i="2"/>
  <c r="S137" i="2"/>
  <c r="M137" i="2"/>
  <c r="N137" i="2"/>
  <c r="FW133" i="2"/>
  <c r="AG133" i="2"/>
  <c r="Z133" i="2"/>
  <c r="T133" i="2"/>
  <c r="AF133" i="2"/>
  <c r="Y133" i="2"/>
  <c r="S133" i="2"/>
  <c r="M133" i="2"/>
  <c r="N133" i="2"/>
  <c r="FW129" i="2"/>
  <c r="AG129" i="2"/>
  <c r="Z129" i="2"/>
  <c r="T129" i="2"/>
  <c r="AF129" i="2"/>
  <c r="Y129" i="2"/>
  <c r="S129" i="2"/>
  <c r="M129" i="2"/>
  <c r="N129" i="2"/>
  <c r="FW125" i="2"/>
  <c r="AG125" i="2"/>
  <c r="Z125" i="2"/>
  <c r="T125" i="2"/>
  <c r="AF125" i="2"/>
  <c r="Y125" i="2"/>
  <c r="S125" i="2"/>
  <c r="M125" i="2"/>
  <c r="N125" i="2"/>
  <c r="FW121" i="2"/>
  <c r="AG121" i="2"/>
  <c r="Z121" i="2"/>
  <c r="T121" i="2"/>
  <c r="AF121" i="2"/>
  <c r="Y121" i="2"/>
  <c r="S121" i="2"/>
  <c r="M121" i="2"/>
  <c r="N121" i="2"/>
  <c r="FW117" i="2"/>
  <c r="AG117" i="2"/>
  <c r="Z117" i="2"/>
  <c r="T117" i="2"/>
  <c r="AF117" i="2"/>
  <c r="Y117" i="2"/>
  <c r="S117" i="2"/>
  <c r="M117" i="2"/>
  <c r="N117" i="2"/>
  <c r="FW113" i="2"/>
  <c r="AG113" i="2"/>
  <c r="Z113" i="2"/>
  <c r="T113" i="2"/>
  <c r="AF113" i="2"/>
  <c r="Y113" i="2"/>
  <c r="S113" i="2"/>
  <c r="M113" i="2"/>
  <c r="N113" i="2"/>
  <c r="FW109" i="2"/>
  <c r="AG109" i="2"/>
  <c r="Z109" i="2"/>
  <c r="T109" i="2"/>
  <c r="AF109" i="2"/>
  <c r="Y109" i="2"/>
  <c r="S109" i="2"/>
  <c r="M109" i="2"/>
  <c r="N109" i="2"/>
  <c r="FW105" i="2"/>
  <c r="AG105" i="2"/>
  <c r="Z105" i="2"/>
  <c r="T105" i="2"/>
  <c r="AF105" i="2"/>
  <c r="Y105" i="2"/>
  <c r="S105" i="2"/>
  <c r="M105" i="2"/>
  <c r="N105" i="2"/>
  <c r="FW101" i="2"/>
  <c r="AG101" i="2"/>
  <c r="Z101" i="2"/>
  <c r="T101" i="2"/>
  <c r="AF101" i="2"/>
  <c r="Y101" i="2"/>
  <c r="S101" i="2"/>
  <c r="M101" i="2"/>
  <c r="N101" i="2"/>
  <c r="FW97" i="2"/>
  <c r="AG97" i="2"/>
  <c r="Z97" i="2"/>
  <c r="T97" i="2"/>
  <c r="AF97" i="2"/>
  <c r="Y97" i="2"/>
  <c r="S97" i="2"/>
  <c r="M97" i="2"/>
  <c r="N97" i="2"/>
  <c r="FW93" i="2"/>
  <c r="AG93" i="2"/>
  <c r="Z93" i="2"/>
  <c r="T93" i="2"/>
  <c r="AF93" i="2"/>
  <c r="Y93" i="2"/>
  <c r="S93" i="2"/>
  <c r="M93" i="2"/>
  <c r="N93" i="2"/>
  <c r="FW89" i="2"/>
  <c r="AG89" i="2"/>
  <c r="Z89" i="2"/>
  <c r="T89" i="2"/>
  <c r="AF89" i="2"/>
  <c r="Y89" i="2"/>
  <c r="S89" i="2"/>
  <c r="M89" i="2"/>
  <c r="N89" i="2"/>
  <c r="FW85" i="2"/>
  <c r="AG85" i="2"/>
  <c r="Z85" i="2"/>
  <c r="T85" i="2"/>
  <c r="AF85" i="2"/>
  <c r="Y85" i="2"/>
  <c r="S85" i="2"/>
  <c r="M85" i="2"/>
  <c r="N85" i="2"/>
  <c r="FW81" i="2"/>
  <c r="AG81" i="2"/>
  <c r="Z81" i="2"/>
  <c r="T81" i="2"/>
  <c r="AF81" i="2"/>
  <c r="Y81" i="2"/>
  <c r="S81" i="2"/>
  <c r="M81" i="2"/>
  <c r="N81" i="2"/>
  <c r="FW77" i="2"/>
  <c r="AG77" i="2"/>
  <c r="Z77" i="2"/>
  <c r="T77" i="2"/>
  <c r="AF77" i="2"/>
  <c r="Y77" i="2"/>
  <c r="S77" i="2"/>
  <c r="M77" i="2"/>
  <c r="N77" i="2"/>
  <c r="FW73" i="2"/>
  <c r="AG73" i="2"/>
  <c r="Z73" i="2"/>
  <c r="T73" i="2"/>
  <c r="AF73" i="2"/>
  <c r="Y73" i="2"/>
  <c r="S73" i="2"/>
  <c r="M73" i="2"/>
  <c r="N73" i="2"/>
  <c r="FW69" i="2"/>
  <c r="AG69" i="2"/>
  <c r="Z69" i="2"/>
  <c r="T69" i="2"/>
  <c r="AF69" i="2"/>
  <c r="Y69" i="2"/>
  <c r="S69" i="2"/>
  <c r="M69" i="2"/>
  <c r="N69" i="2"/>
  <c r="FW65" i="2"/>
  <c r="AG65" i="2"/>
  <c r="Z65" i="2"/>
  <c r="T65" i="2"/>
  <c r="AF65" i="2"/>
  <c r="Y65" i="2"/>
  <c r="S65" i="2"/>
  <c r="M65" i="2"/>
  <c r="N65" i="2"/>
  <c r="FW61" i="2"/>
  <c r="AF61" i="2"/>
  <c r="AG61" i="2"/>
  <c r="Z61" i="2"/>
  <c r="T61" i="2"/>
  <c r="Y61" i="2"/>
  <c r="S61" i="2"/>
  <c r="M61" i="2"/>
  <c r="N61" i="2"/>
  <c r="FW57" i="2"/>
  <c r="AF57" i="2"/>
  <c r="AG57" i="2"/>
  <c r="Z57" i="2"/>
  <c r="T57" i="2"/>
  <c r="Y57" i="2"/>
  <c r="S57" i="2"/>
  <c r="M57" i="2"/>
  <c r="N57" i="2"/>
  <c r="FW53" i="2"/>
  <c r="AF53" i="2"/>
  <c r="AG53" i="2"/>
  <c r="Z53" i="2"/>
  <c r="T53" i="2"/>
  <c r="Y53" i="2"/>
  <c r="S53" i="2"/>
  <c r="M53" i="2"/>
  <c r="N53" i="2"/>
  <c r="FW49" i="2"/>
  <c r="AF49" i="2"/>
  <c r="AG49" i="2"/>
  <c r="Z49" i="2"/>
  <c r="T49" i="2"/>
  <c r="Y49" i="2"/>
  <c r="S49" i="2"/>
  <c r="M49" i="2"/>
  <c r="N49" i="2"/>
  <c r="FW45" i="2"/>
  <c r="AF45" i="2"/>
  <c r="AG45" i="2"/>
  <c r="Z45" i="2"/>
  <c r="T45" i="2"/>
  <c r="Y45" i="2"/>
  <c r="S45" i="2"/>
  <c r="M45" i="2"/>
  <c r="N45" i="2"/>
  <c r="FW41" i="2"/>
  <c r="AF41" i="2"/>
  <c r="AG41" i="2"/>
  <c r="Z41" i="2"/>
  <c r="T41" i="2"/>
  <c r="Y41" i="2"/>
  <c r="S41" i="2"/>
  <c r="M41" i="2"/>
  <c r="N41" i="2"/>
  <c r="FW37" i="2"/>
  <c r="AF37" i="2"/>
  <c r="AG37" i="2"/>
  <c r="Z37" i="2"/>
  <c r="T37" i="2"/>
  <c r="Y37" i="2"/>
  <c r="S37" i="2"/>
  <c r="M37" i="2"/>
  <c r="N37" i="2"/>
  <c r="FW33" i="2"/>
  <c r="AF33" i="2"/>
  <c r="AG33" i="2"/>
  <c r="Z33" i="2"/>
  <c r="T33" i="2"/>
  <c r="Y33" i="2"/>
  <c r="S33" i="2"/>
  <c r="M33" i="2"/>
  <c r="N33" i="2"/>
  <c r="FW29" i="2"/>
  <c r="AF29" i="2"/>
  <c r="AG29" i="2"/>
  <c r="Z29" i="2"/>
  <c r="T29" i="2"/>
  <c r="Y29" i="2"/>
  <c r="S29" i="2"/>
  <c r="M29" i="2"/>
  <c r="N29" i="2"/>
  <c r="FW25" i="2"/>
  <c r="AF25" i="2"/>
  <c r="AG25" i="2"/>
  <c r="Z25" i="2"/>
  <c r="T25" i="2"/>
  <c r="Y25" i="2"/>
  <c r="S25" i="2"/>
  <c r="M25" i="2"/>
  <c r="N25" i="2"/>
  <c r="FW21" i="2"/>
  <c r="AF21" i="2"/>
  <c r="AG21" i="2"/>
  <c r="Z21" i="2"/>
  <c r="T21" i="2"/>
  <c r="Y21" i="2"/>
  <c r="S21" i="2"/>
  <c r="M21" i="2"/>
  <c r="N21" i="2"/>
  <c r="FW17" i="2"/>
  <c r="AF17" i="2"/>
  <c r="AG17" i="2"/>
  <c r="Z17" i="2"/>
  <c r="T17" i="2"/>
  <c r="Y17" i="2"/>
  <c r="S17" i="2"/>
  <c r="M17" i="2"/>
  <c r="N17" i="2"/>
  <c r="FW195" i="2"/>
  <c r="AG195" i="2"/>
  <c r="Z195" i="2"/>
  <c r="M195" i="2"/>
  <c r="S195" i="2"/>
  <c r="Y195" i="2"/>
  <c r="T195" i="2"/>
  <c r="N195" i="2"/>
  <c r="AF195" i="2"/>
  <c r="FW191" i="2"/>
  <c r="AG191" i="2"/>
  <c r="Z191" i="2"/>
  <c r="M191" i="2"/>
  <c r="S191" i="2"/>
  <c r="Y191" i="2"/>
  <c r="AF191" i="2"/>
  <c r="T191" i="2"/>
  <c r="N191" i="2"/>
  <c r="FW183" i="2"/>
  <c r="AG183" i="2"/>
  <c r="Z183" i="2"/>
  <c r="M183" i="2"/>
  <c r="S183" i="2"/>
  <c r="AF183" i="2"/>
  <c r="Y183" i="2"/>
  <c r="T183" i="2"/>
  <c r="N183" i="2"/>
  <c r="FW179" i="2"/>
  <c r="AG179" i="2"/>
  <c r="Z179" i="2"/>
  <c r="M179" i="2"/>
  <c r="S179" i="2"/>
  <c r="Y179" i="2"/>
  <c r="T179" i="2"/>
  <c r="N179" i="2"/>
  <c r="AF179" i="2"/>
  <c r="FW175" i="2"/>
  <c r="AG175" i="2"/>
  <c r="Z175" i="2"/>
  <c r="S175" i="2"/>
  <c r="M175" i="2"/>
  <c r="Y175" i="2"/>
  <c r="AF175" i="2"/>
  <c r="T175" i="2"/>
  <c r="N175" i="2"/>
  <c r="FW171" i="2"/>
  <c r="AG171" i="2"/>
  <c r="Z171" i="2"/>
  <c r="T171" i="2"/>
  <c r="M171" i="2"/>
  <c r="AF171" i="2"/>
  <c r="N171" i="2"/>
  <c r="Y171" i="2"/>
  <c r="S171" i="2"/>
  <c r="FW167" i="2"/>
  <c r="AG167" i="2"/>
  <c r="Z167" i="2"/>
  <c r="T167" i="2"/>
  <c r="M167" i="2"/>
  <c r="AF167" i="2"/>
  <c r="S167" i="2"/>
  <c r="Y167" i="2"/>
  <c r="N167" i="2"/>
  <c r="FW163" i="2"/>
  <c r="AG163" i="2"/>
  <c r="Z163" i="2"/>
  <c r="T163" i="2"/>
  <c r="M163" i="2"/>
  <c r="Y163" i="2"/>
  <c r="N163" i="2"/>
  <c r="AF163" i="2"/>
  <c r="S163" i="2"/>
  <c r="FW159" i="2"/>
  <c r="AG159" i="2"/>
  <c r="Z159" i="2"/>
  <c r="T159" i="2"/>
  <c r="M159" i="2"/>
  <c r="Y159" i="2"/>
  <c r="S159" i="2"/>
  <c r="AF159" i="2"/>
  <c r="N159" i="2"/>
  <c r="FW155" i="2"/>
  <c r="AG155" i="2"/>
  <c r="Z155" i="2"/>
  <c r="T155" i="2"/>
  <c r="M155" i="2"/>
  <c r="AF155" i="2"/>
  <c r="N155" i="2"/>
  <c r="Y155" i="2"/>
  <c r="S155" i="2"/>
  <c r="FW151" i="2"/>
  <c r="AG151" i="2"/>
  <c r="Z151" i="2"/>
  <c r="T151" i="2"/>
  <c r="M151" i="2"/>
  <c r="AF151" i="2"/>
  <c r="S151" i="2"/>
  <c r="Y151" i="2"/>
  <c r="N151" i="2"/>
  <c r="FW147" i="2"/>
  <c r="AG147" i="2"/>
  <c r="Z147" i="2"/>
  <c r="T147" i="2"/>
  <c r="M147" i="2"/>
  <c r="Y147" i="2"/>
  <c r="N147" i="2"/>
  <c r="AF147" i="2"/>
  <c r="S147" i="2"/>
  <c r="FW143" i="2"/>
  <c r="AG143" i="2"/>
  <c r="Z143" i="2"/>
  <c r="T143" i="2"/>
  <c r="M143" i="2"/>
  <c r="Y143" i="2"/>
  <c r="S143" i="2"/>
  <c r="AF143" i="2"/>
  <c r="N143" i="2"/>
  <c r="FW139" i="2"/>
  <c r="AG139" i="2"/>
  <c r="Z139" i="2"/>
  <c r="T139" i="2"/>
  <c r="M139" i="2"/>
  <c r="AF139" i="2"/>
  <c r="N139" i="2"/>
  <c r="Y139" i="2"/>
  <c r="S139" i="2"/>
  <c r="FW135" i="2"/>
  <c r="AG135" i="2"/>
  <c r="Z135" i="2"/>
  <c r="T135" i="2"/>
  <c r="M135" i="2"/>
  <c r="AF135" i="2"/>
  <c r="S135" i="2"/>
  <c r="Y135" i="2"/>
  <c r="N135" i="2"/>
  <c r="FW131" i="2"/>
  <c r="AG131" i="2"/>
  <c r="Z131" i="2"/>
  <c r="T131" i="2"/>
  <c r="M131" i="2"/>
  <c r="Y131" i="2"/>
  <c r="N131" i="2"/>
  <c r="AF131" i="2"/>
  <c r="S131" i="2"/>
  <c r="FW127" i="2"/>
  <c r="AG127" i="2"/>
  <c r="Z127" i="2"/>
  <c r="T127" i="2"/>
  <c r="M127" i="2"/>
  <c r="Y127" i="2"/>
  <c r="S127" i="2"/>
  <c r="AF127" i="2"/>
  <c r="N127" i="2"/>
  <c r="FW123" i="2"/>
  <c r="AG123" i="2"/>
  <c r="Z123" i="2"/>
  <c r="T123" i="2"/>
  <c r="M123" i="2"/>
  <c r="AF123" i="2"/>
  <c r="N123" i="2"/>
  <c r="Y123" i="2"/>
  <c r="S123" i="2"/>
  <c r="FW119" i="2"/>
  <c r="AG119" i="2"/>
  <c r="Z119" i="2"/>
  <c r="T119" i="2"/>
  <c r="M119" i="2"/>
  <c r="AF119" i="2"/>
  <c r="S119" i="2"/>
  <c r="Y119" i="2"/>
  <c r="N119" i="2"/>
  <c r="FW115" i="2"/>
  <c r="AG115" i="2"/>
  <c r="Z115" i="2"/>
  <c r="T115" i="2"/>
  <c r="M115" i="2"/>
  <c r="Y115" i="2"/>
  <c r="N115" i="2"/>
  <c r="AF115" i="2"/>
  <c r="S115" i="2"/>
  <c r="FW111" i="2"/>
  <c r="AG111" i="2"/>
  <c r="Z111" i="2"/>
  <c r="T111" i="2"/>
  <c r="M111" i="2"/>
  <c r="Y111" i="2"/>
  <c r="S111" i="2"/>
  <c r="AF111" i="2"/>
  <c r="N111" i="2"/>
  <c r="FW103" i="2"/>
  <c r="AG103" i="2"/>
  <c r="Z103" i="2"/>
  <c r="T103" i="2"/>
  <c r="M103" i="2"/>
  <c r="AF103" i="2"/>
  <c r="S103" i="2"/>
  <c r="Y103" i="2"/>
  <c r="N103" i="2"/>
  <c r="FW95" i="2"/>
  <c r="AG95" i="2"/>
  <c r="Z95" i="2"/>
  <c r="T95" i="2"/>
  <c r="M95" i="2"/>
  <c r="Y95" i="2"/>
  <c r="AF95" i="2"/>
  <c r="S95" i="2"/>
  <c r="N95" i="2"/>
  <c r="FW87" i="2"/>
  <c r="AG87" i="2"/>
  <c r="Z87" i="2"/>
  <c r="T87" i="2"/>
  <c r="M87" i="2"/>
  <c r="AF87" i="2"/>
  <c r="S87" i="2"/>
  <c r="Y87" i="2"/>
  <c r="N87" i="2"/>
  <c r="FW79" i="2"/>
  <c r="AG79" i="2"/>
  <c r="Z79" i="2"/>
  <c r="T79" i="2"/>
  <c r="M79" i="2"/>
  <c r="Y79" i="2"/>
  <c r="AF79" i="2"/>
  <c r="S79" i="2"/>
  <c r="N79" i="2"/>
  <c r="FW71" i="2"/>
  <c r="AG71" i="2"/>
  <c r="Z71" i="2"/>
  <c r="T71" i="2"/>
  <c r="M71" i="2"/>
  <c r="AF71" i="2"/>
  <c r="S71" i="2"/>
  <c r="Y71" i="2"/>
  <c r="N71" i="2"/>
  <c r="FW63" i="2"/>
  <c r="AG63" i="2"/>
  <c r="Z63" i="2"/>
  <c r="T63" i="2"/>
  <c r="M63" i="2"/>
  <c r="Y63" i="2"/>
  <c r="AF63" i="2"/>
  <c r="S63" i="2"/>
  <c r="N63" i="2"/>
  <c r="FW55" i="2"/>
  <c r="AF55" i="2"/>
  <c r="AG55" i="2"/>
  <c r="Z55" i="2"/>
  <c r="T55" i="2"/>
  <c r="M55" i="2"/>
  <c r="S55" i="2"/>
  <c r="Y55" i="2"/>
  <c r="N55" i="2"/>
  <c r="FW47" i="2"/>
  <c r="AF47" i="2"/>
  <c r="AG47" i="2"/>
  <c r="Z47" i="2"/>
  <c r="T47" i="2"/>
  <c r="M47" i="2"/>
  <c r="Y47" i="2"/>
  <c r="S47" i="2"/>
  <c r="N47" i="2"/>
  <c r="FW39" i="2"/>
  <c r="AF39" i="2"/>
  <c r="AG39" i="2"/>
  <c r="Z39" i="2"/>
  <c r="T39" i="2"/>
  <c r="M39" i="2"/>
  <c r="S39" i="2"/>
  <c r="Y39" i="2"/>
  <c r="N39" i="2"/>
  <c r="FW31" i="2"/>
  <c r="AF31" i="2"/>
  <c r="AG31" i="2"/>
  <c r="Z31" i="2"/>
  <c r="T31" i="2"/>
  <c r="M31" i="2"/>
  <c r="Y31" i="2"/>
  <c r="S31" i="2"/>
  <c r="N31" i="2"/>
  <c r="FW23" i="2"/>
  <c r="AF23" i="2"/>
  <c r="AG23" i="2"/>
  <c r="Z23" i="2"/>
  <c r="T23" i="2"/>
  <c r="M23" i="2"/>
  <c r="S23" i="2"/>
  <c r="Y23" i="2"/>
  <c r="N23" i="2"/>
  <c r="FW198" i="2"/>
  <c r="AF198" i="2"/>
  <c r="Y198" i="2"/>
  <c r="T198" i="2"/>
  <c r="N198" i="2"/>
  <c r="AG198" i="2"/>
  <c r="Z198" i="2"/>
  <c r="S198" i="2"/>
  <c r="M198" i="2"/>
  <c r="FW190" i="2"/>
  <c r="AF190" i="2"/>
  <c r="Y190" i="2"/>
  <c r="T190" i="2"/>
  <c r="N190" i="2"/>
  <c r="AG190" i="2"/>
  <c r="Z190" i="2"/>
  <c r="S190" i="2"/>
  <c r="M190" i="2"/>
  <c r="FW182" i="2"/>
  <c r="AF182" i="2"/>
  <c r="Y182" i="2"/>
  <c r="T182" i="2"/>
  <c r="N182" i="2"/>
  <c r="AG182" i="2"/>
  <c r="Z182" i="2"/>
  <c r="S182" i="2"/>
  <c r="M182" i="2"/>
  <c r="FW174" i="2"/>
  <c r="AF174" i="2"/>
  <c r="Y174" i="2"/>
  <c r="T174" i="2"/>
  <c r="N174" i="2"/>
  <c r="AG174" i="2"/>
  <c r="Z174" i="2"/>
  <c r="S174" i="2"/>
  <c r="M174" i="2"/>
  <c r="FW166" i="2"/>
  <c r="AF166" i="2"/>
  <c r="Y166" i="2"/>
  <c r="S166" i="2"/>
  <c r="N166" i="2"/>
  <c r="AG166" i="2"/>
  <c r="Z166" i="2"/>
  <c r="T166" i="2"/>
  <c r="M166" i="2"/>
  <c r="FW158" i="2"/>
  <c r="AF158" i="2"/>
  <c r="Y158" i="2"/>
  <c r="S158" i="2"/>
  <c r="N158" i="2"/>
  <c r="AG158" i="2"/>
  <c r="Z158" i="2"/>
  <c r="T158" i="2"/>
  <c r="M158" i="2"/>
  <c r="FW154" i="2"/>
  <c r="AF154" i="2"/>
  <c r="Y154" i="2"/>
  <c r="S154" i="2"/>
  <c r="N154" i="2"/>
  <c r="AG154" i="2"/>
  <c r="Z154" i="2"/>
  <c r="M154" i="2"/>
  <c r="T154" i="2"/>
  <c r="FW146" i="2"/>
  <c r="AF146" i="2"/>
  <c r="Y146" i="2"/>
  <c r="S146" i="2"/>
  <c r="N146" i="2"/>
  <c r="AG146" i="2"/>
  <c r="Z146" i="2"/>
  <c r="M146" i="2"/>
  <c r="T146" i="2"/>
  <c r="FW138" i="2"/>
  <c r="AF138" i="2"/>
  <c r="Y138" i="2"/>
  <c r="S138" i="2"/>
  <c r="N138" i="2"/>
  <c r="AG138" i="2"/>
  <c r="Z138" i="2"/>
  <c r="M138" i="2"/>
  <c r="T138" i="2"/>
  <c r="FW130" i="2"/>
  <c r="AF130" i="2"/>
  <c r="Y130" i="2"/>
  <c r="S130" i="2"/>
  <c r="N130" i="2"/>
  <c r="AG130" i="2"/>
  <c r="Z130" i="2"/>
  <c r="M130" i="2"/>
  <c r="T130" i="2"/>
  <c r="FW118" i="2"/>
  <c r="AF118" i="2"/>
  <c r="Y118" i="2"/>
  <c r="S118" i="2"/>
  <c r="N118" i="2"/>
  <c r="AG118" i="2"/>
  <c r="Z118" i="2"/>
  <c r="T118" i="2"/>
  <c r="M118" i="2"/>
  <c r="FW110" i="2"/>
  <c r="AF110" i="2"/>
  <c r="Y110" i="2"/>
  <c r="S110" i="2"/>
  <c r="N110" i="2"/>
  <c r="AG110" i="2"/>
  <c r="Z110" i="2"/>
  <c r="T110" i="2"/>
  <c r="M110" i="2"/>
  <c r="FW98" i="2"/>
  <c r="AF98" i="2"/>
  <c r="Y98" i="2"/>
  <c r="S98" i="2"/>
  <c r="N98" i="2"/>
  <c r="AG98" i="2"/>
  <c r="Z98" i="2"/>
  <c r="T98" i="2"/>
  <c r="M98" i="2"/>
  <c r="FW86" i="2"/>
  <c r="AF86" i="2"/>
  <c r="Y86" i="2"/>
  <c r="S86" i="2"/>
  <c r="N86" i="2"/>
  <c r="AG86" i="2"/>
  <c r="Z86" i="2"/>
  <c r="T86" i="2"/>
  <c r="M86" i="2"/>
  <c r="FW74" i="2"/>
  <c r="AF74" i="2"/>
  <c r="Y74" i="2"/>
  <c r="S74" i="2"/>
  <c r="N74" i="2"/>
  <c r="AG74" i="2"/>
  <c r="Z74" i="2"/>
  <c r="T74" i="2"/>
  <c r="M74" i="2"/>
  <c r="FW62" i="2"/>
  <c r="AF62" i="2"/>
  <c r="Y62" i="2"/>
  <c r="S62" i="2"/>
  <c r="N62" i="2"/>
  <c r="AG62" i="2"/>
  <c r="Z62" i="2"/>
  <c r="T62" i="2"/>
  <c r="M62" i="2"/>
  <c r="FW54" i="2"/>
  <c r="AF54" i="2"/>
  <c r="AG54" i="2"/>
  <c r="Y54" i="2"/>
  <c r="S54" i="2"/>
  <c r="N54" i="2"/>
  <c r="Z54" i="2"/>
  <c r="T54" i="2"/>
  <c r="M54" i="2"/>
  <c r="FW38" i="2"/>
  <c r="AF38" i="2"/>
  <c r="AG38" i="2"/>
  <c r="Y38" i="2"/>
  <c r="S38" i="2"/>
  <c r="N38" i="2"/>
  <c r="Z38" i="2"/>
  <c r="T38" i="2"/>
  <c r="M38" i="2"/>
  <c r="FW200" i="2"/>
  <c r="AF200" i="2"/>
  <c r="Y200" i="2"/>
  <c r="AG200" i="2"/>
  <c r="Z200" i="2"/>
  <c r="T200" i="2"/>
  <c r="N200" i="2"/>
  <c r="S200" i="2"/>
  <c r="M200" i="2"/>
  <c r="FW196" i="2"/>
  <c r="AF196" i="2"/>
  <c r="Y196" i="2"/>
  <c r="AG196" i="2"/>
  <c r="Z196" i="2"/>
  <c r="T196" i="2"/>
  <c r="N196" i="2"/>
  <c r="S196" i="2"/>
  <c r="M196" i="2"/>
  <c r="FW192" i="2"/>
  <c r="AF192" i="2"/>
  <c r="Y192" i="2"/>
  <c r="AG192" i="2"/>
  <c r="Z192" i="2"/>
  <c r="T192" i="2"/>
  <c r="N192" i="2"/>
  <c r="S192" i="2"/>
  <c r="M192" i="2"/>
  <c r="FW188" i="2"/>
  <c r="AF188" i="2"/>
  <c r="Y188" i="2"/>
  <c r="AG188" i="2"/>
  <c r="Z188" i="2"/>
  <c r="T188" i="2"/>
  <c r="N188" i="2"/>
  <c r="S188" i="2"/>
  <c r="M188" i="2"/>
  <c r="FW184" i="2"/>
  <c r="AF184" i="2"/>
  <c r="Y184" i="2"/>
  <c r="AG184" i="2"/>
  <c r="Z184" i="2"/>
  <c r="T184" i="2"/>
  <c r="N184" i="2"/>
  <c r="S184" i="2"/>
  <c r="M184" i="2"/>
  <c r="FW180" i="2"/>
  <c r="AF180" i="2"/>
  <c r="Y180" i="2"/>
  <c r="AG180" i="2"/>
  <c r="Z180" i="2"/>
  <c r="T180" i="2"/>
  <c r="N180" i="2"/>
  <c r="S180" i="2"/>
  <c r="M180" i="2"/>
  <c r="FW176" i="2"/>
  <c r="AF176" i="2"/>
  <c r="Y176" i="2"/>
  <c r="AG176" i="2"/>
  <c r="Z176" i="2"/>
  <c r="T176" i="2"/>
  <c r="N176" i="2"/>
  <c r="S176" i="2"/>
  <c r="M176" i="2"/>
  <c r="FW172" i="2"/>
  <c r="AF172" i="2"/>
  <c r="Y172" i="2"/>
  <c r="S172" i="2"/>
  <c r="AG172" i="2"/>
  <c r="Z172" i="2"/>
  <c r="T172" i="2"/>
  <c r="N172" i="2"/>
  <c r="M172" i="2"/>
  <c r="FW168" i="2"/>
  <c r="AF168" i="2"/>
  <c r="Y168" i="2"/>
  <c r="S168" i="2"/>
  <c r="AG168" i="2"/>
  <c r="Z168" i="2"/>
  <c r="T168" i="2"/>
  <c r="N168" i="2"/>
  <c r="M168" i="2"/>
  <c r="FW164" i="2"/>
  <c r="AF164" i="2"/>
  <c r="Y164" i="2"/>
  <c r="S164" i="2"/>
  <c r="AG164" i="2"/>
  <c r="Z164" i="2"/>
  <c r="T164" i="2"/>
  <c r="N164" i="2"/>
  <c r="M164" i="2"/>
  <c r="FW160" i="2"/>
  <c r="AF160" i="2"/>
  <c r="Y160" i="2"/>
  <c r="S160" i="2"/>
  <c r="AG160" i="2"/>
  <c r="Z160" i="2"/>
  <c r="T160" i="2"/>
  <c r="N160" i="2"/>
  <c r="M160" i="2"/>
  <c r="FW156" i="2"/>
  <c r="AF156" i="2"/>
  <c r="Y156" i="2"/>
  <c r="S156" i="2"/>
  <c r="AG156" i="2"/>
  <c r="Z156" i="2"/>
  <c r="T156" i="2"/>
  <c r="N156" i="2"/>
  <c r="M156" i="2"/>
  <c r="FW152" i="2"/>
  <c r="AF152" i="2"/>
  <c r="Y152" i="2"/>
  <c r="S152" i="2"/>
  <c r="AG152" i="2"/>
  <c r="Z152" i="2"/>
  <c r="T152" i="2"/>
  <c r="N152" i="2"/>
  <c r="M152" i="2"/>
  <c r="FW148" i="2"/>
  <c r="AF148" i="2"/>
  <c r="Y148" i="2"/>
  <c r="S148" i="2"/>
  <c r="AG148" i="2"/>
  <c r="Z148" i="2"/>
  <c r="T148" i="2"/>
  <c r="N148" i="2"/>
  <c r="M148" i="2"/>
  <c r="FW144" i="2"/>
  <c r="AF144" i="2"/>
  <c r="Y144" i="2"/>
  <c r="S144" i="2"/>
  <c r="AG144" i="2"/>
  <c r="Z144" i="2"/>
  <c r="T144" i="2"/>
  <c r="N144" i="2"/>
  <c r="M144" i="2"/>
  <c r="FW140" i="2"/>
  <c r="AF140" i="2"/>
  <c r="Y140" i="2"/>
  <c r="S140" i="2"/>
  <c r="AG140" i="2"/>
  <c r="Z140" i="2"/>
  <c r="T140" i="2"/>
  <c r="N140" i="2"/>
  <c r="M140" i="2"/>
  <c r="FW136" i="2"/>
  <c r="AF136" i="2"/>
  <c r="Y136" i="2"/>
  <c r="S136" i="2"/>
  <c r="AG136" i="2"/>
  <c r="Z136" i="2"/>
  <c r="T136" i="2"/>
  <c r="N136" i="2"/>
  <c r="M136" i="2"/>
  <c r="FW132" i="2"/>
  <c r="AF132" i="2"/>
  <c r="Y132" i="2"/>
  <c r="S132" i="2"/>
  <c r="AG132" i="2"/>
  <c r="Z132" i="2"/>
  <c r="T132" i="2"/>
  <c r="N132" i="2"/>
  <c r="M132" i="2"/>
  <c r="FW128" i="2"/>
  <c r="AF128" i="2"/>
  <c r="Y128" i="2"/>
  <c r="S128" i="2"/>
  <c r="AG128" i="2"/>
  <c r="Z128" i="2"/>
  <c r="T128" i="2"/>
  <c r="N128" i="2"/>
  <c r="M128" i="2"/>
  <c r="FW124" i="2"/>
  <c r="AF124" i="2"/>
  <c r="Y124" i="2"/>
  <c r="S124" i="2"/>
  <c r="AG124" i="2"/>
  <c r="Z124" i="2"/>
  <c r="T124" i="2"/>
  <c r="N124" i="2"/>
  <c r="M124" i="2"/>
  <c r="FW120" i="2"/>
  <c r="AF120" i="2"/>
  <c r="Y120" i="2"/>
  <c r="S120" i="2"/>
  <c r="AG120" i="2"/>
  <c r="Z120" i="2"/>
  <c r="T120" i="2"/>
  <c r="N120" i="2"/>
  <c r="M120" i="2"/>
  <c r="FW116" i="2"/>
  <c r="AF116" i="2"/>
  <c r="Y116" i="2"/>
  <c r="S116" i="2"/>
  <c r="AG116" i="2"/>
  <c r="Z116" i="2"/>
  <c r="T116" i="2"/>
  <c r="N116" i="2"/>
  <c r="M116" i="2"/>
  <c r="FW112" i="2"/>
  <c r="AF112" i="2"/>
  <c r="Y112" i="2"/>
  <c r="S112" i="2"/>
  <c r="AG112" i="2"/>
  <c r="Z112" i="2"/>
  <c r="T112" i="2"/>
  <c r="N112" i="2"/>
  <c r="M112" i="2"/>
  <c r="FW108" i="2"/>
  <c r="AF108" i="2"/>
  <c r="Y108" i="2"/>
  <c r="S108" i="2"/>
  <c r="AG108" i="2"/>
  <c r="Z108" i="2"/>
  <c r="T108" i="2"/>
  <c r="N108" i="2"/>
  <c r="M108" i="2"/>
  <c r="FW104" i="2"/>
  <c r="AF104" i="2"/>
  <c r="Y104" i="2"/>
  <c r="S104" i="2"/>
  <c r="AG104" i="2"/>
  <c r="Z104" i="2"/>
  <c r="T104" i="2"/>
  <c r="N104" i="2"/>
  <c r="M104" i="2"/>
  <c r="FW100" i="2"/>
  <c r="AF100" i="2"/>
  <c r="Y100" i="2"/>
  <c r="S100" i="2"/>
  <c r="AG100" i="2"/>
  <c r="Z100" i="2"/>
  <c r="T100" i="2"/>
  <c r="N100" i="2"/>
  <c r="M100" i="2"/>
  <c r="FW96" i="2"/>
  <c r="AF96" i="2"/>
  <c r="Y96" i="2"/>
  <c r="S96" i="2"/>
  <c r="AG96" i="2"/>
  <c r="Z96" i="2"/>
  <c r="T96" i="2"/>
  <c r="N96" i="2"/>
  <c r="M96" i="2"/>
  <c r="FW92" i="2"/>
  <c r="AF92" i="2"/>
  <c r="Y92" i="2"/>
  <c r="S92" i="2"/>
  <c r="AG92" i="2"/>
  <c r="Z92" i="2"/>
  <c r="T92" i="2"/>
  <c r="N92" i="2"/>
  <c r="M92" i="2"/>
  <c r="FW88" i="2"/>
  <c r="AF88" i="2"/>
  <c r="Y88" i="2"/>
  <c r="S88" i="2"/>
  <c r="AG88" i="2"/>
  <c r="Z88" i="2"/>
  <c r="T88" i="2"/>
  <c r="N88" i="2"/>
  <c r="M88" i="2"/>
  <c r="FW84" i="2"/>
  <c r="AF84" i="2"/>
  <c r="Y84" i="2"/>
  <c r="S84" i="2"/>
  <c r="AG84" i="2"/>
  <c r="Z84" i="2"/>
  <c r="T84" i="2"/>
  <c r="N84" i="2"/>
  <c r="M84" i="2"/>
  <c r="FW80" i="2"/>
  <c r="AF80" i="2"/>
  <c r="Y80" i="2"/>
  <c r="S80" i="2"/>
  <c r="AG80" i="2"/>
  <c r="Z80" i="2"/>
  <c r="T80" i="2"/>
  <c r="N80" i="2"/>
  <c r="M80" i="2"/>
  <c r="FW76" i="2"/>
  <c r="AF76" i="2"/>
  <c r="Y76" i="2"/>
  <c r="S76" i="2"/>
  <c r="AG76" i="2"/>
  <c r="Z76" i="2"/>
  <c r="T76" i="2"/>
  <c r="N76" i="2"/>
  <c r="M76" i="2"/>
  <c r="FW72" i="2"/>
  <c r="AF72" i="2"/>
  <c r="Y72" i="2"/>
  <c r="S72" i="2"/>
  <c r="AG72" i="2"/>
  <c r="Z72" i="2"/>
  <c r="T72" i="2"/>
  <c r="N72" i="2"/>
  <c r="M72" i="2"/>
  <c r="FW68" i="2"/>
  <c r="AF68" i="2"/>
  <c r="Y68" i="2"/>
  <c r="S68" i="2"/>
  <c r="AG68" i="2"/>
  <c r="Z68" i="2"/>
  <c r="T68" i="2"/>
  <c r="N68" i="2"/>
  <c r="M68" i="2"/>
  <c r="FW64" i="2"/>
  <c r="AF64" i="2"/>
  <c r="Y64" i="2"/>
  <c r="S64" i="2"/>
  <c r="AG64" i="2"/>
  <c r="Z64" i="2"/>
  <c r="T64" i="2"/>
  <c r="N64" i="2"/>
  <c r="M64" i="2"/>
  <c r="FW60" i="2"/>
  <c r="Y60" i="2"/>
  <c r="S60" i="2"/>
  <c r="AF60" i="2"/>
  <c r="Z60" i="2"/>
  <c r="T60" i="2"/>
  <c r="N60" i="2"/>
  <c r="AG60" i="2"/>
  <c r="M60" i="2"/>
  <c r="FW56" i="2"/>
  <c r="Y56" i="2"/>
  <c r="S56" i="2"/>
  <c r="Z56" i="2"/>
  <c r="T56" i="2"/>
  <c r="N56" i="2"/>
  <c r="AF56" i="2"/>
  <c r="AG56" i="2"/>
  <c r="M56" i="2"/>
  <c r="FW52" i="2"/>
  <c r="Y52" i="2"/>
  <c r="S52" i="2"/>
  <c r="AF52" i="2"/>
  <c r="Z52" i="2"/>
  <c r="T52" i="2"/>
  <c r="N52" i="2"/>
  <c r="AG52" i="2"/>
  <c r="M52" i="2"/>
  <c r="FW48" i="2"/>
  <c r="Y48" i="2"/>
  <c r="S48" i="2"/>
  <c r="Z48" i="2"/>
  <c r="T48" i="2"/>
  <c r="N48" i="2"/>
  <c r="AF48" i="2"/>
  <c r="AG48" i="2"/>
  <c r="M48" i="2"/>
  <c r="FW44" i="2"/>
  <c r="Y44" i="2"/>
  <c r="S44" i="2"/>
  <c r="AF44" i="2"/>
  <c r="Z44" i="2"/>
  <c r="T44" i="2"/>
  <c r="N44" i="2"/>
  <c r="AG44" i="2"/>
  <c r="M44" i="2"/>
  <c r="FW40" i="2"/>
  <c r="Y40" i="2"/>
  <c r="S40" i="2"/>
  <c r="Z40" i="2"/>
  <c r="T40" i="2"/>
  <c r="N40" i="2"/>
  <c r="AF40" i="2"/>
  <c r="AG40" i="2"/>
  <c r="M40" i="2"/>
  <c r="FW36" i="2"/>
  <c r="Y36" i="2"/>
  <c r="S36" i="2"/>
  <c r="AF36" i="2"/>
  <c r="Z36" i="2"/>
  <c r="T36" i="2"/>
  <c r="N36" i="2"/>
  <c r="AG36" i="2"/>
  <c r="M36" i="2"/>
  <c r="FW32" i="2"/>
  <c r="Y32" i="2"/>
  <c r="S32" i="2"/>
  <c r="Z32" i="2"/>
  <c r="T32" i="2"/>
  <c r="N32" i="2"/>
  <c r="AF32" i="2"/>
  <c r="AG32" i="2"/>
  <c r="M32" i="2"/>
  <c r="FW28" i="2"/>
  <c r="Y28" i="2"/>
  <c r="S28" i="2"/>
  <c r="AF28" i="2"/>
  <c r="Z28" i="2"/>
  <c r="T28" i="2"/>
  <c r="N28" i="2"/>
  <c r="AG28" i="2"/>
  <c r="M28" i="2"/>
  <c r="FW24" i="2"/>
  <c r="Y24" i="2"/>
  <c r="S24" i="2"/>
  <c r="Z24" i="2"/>
  <c r="T24" i="2"/>
  <c r="N24" i="2"/>
  <c r="AF24" i="2"/>
  <c r="AG24" i="2"/>
  <c r="M24" i="2"/>
  <c r="FW20" i="2"/>
  <c r="Y20" i="2"/>
  <c r="S20" i="2"/>
  <c r="AF20" i="2"/>
  <c r="Z20" i="2"/>
  <c r="T20" i="2"/>
  <c r="N20" i="2"/>
  <c r="AG20" i="2"/>
  <c r="M20" i="2"/>
  <c r="FW16" i="2"/>
  <c r="Y16" i="2"/>
  <c r="S16" i="2"/>
  <c r="Z16" i="2"/>
  <c r="T16" i="2"/>
  <c r="N16" i="2"/>
  <c r="AF16" i="2"/>
  <c r="AG16" i="2"/>
  <c r="M16" i="2"/>
  <c r="D200" i="2"/>
  <c r="A200" i="1"/>
  <c r="E200" i="2"/>
  <c r="B200" i="2"/>
  <c r="C200" i="2"/>
  <c r="F200" i="2"/>
  <c r="BG200" i="8"/>
  <c r="JH200" i="2"/>
  <c r="IL200" i="2"/>
  <c r="IM200" i="2"/>
  <c r="AV200" i="8"/>
  <c r="CY200" i="2"/>
  <c r="AU200" i="8"/>
  <c r="FD200" i="2"/>
  <c r="F200" i="8"/>
  <c r="DF200" i="2"/>
  <c r="DC200" i="2"/>
  <c r="AR200" i="2"/>
  <c r="AO200" i="2"/>
  <c r="DG200" i="2"/>
  <c r="D196" i="2"/>
  <c r="A196" i="1"/>
  <c r="E196" i="2"/>
  <c r="B196" i="2"/>
  <c r="C196" i="2"/>
  <c r="F196" i="2"/>
  <c r="BG196" i="8"/>
  <c r="JH196" i="2"/>
  <c r="IL196" i="2"/>
  <c r="IM196" i="2"/>
  <c r="AV196" i="8"/>
  <c r="CY196" i="2"/>
  <c r="AU196" i="8"/>
  <c r="F196" i="8"/>
  <c r="FD196" i="2"/>
  <c r="DF196" i="2"/>
  <c r="DC196" i="2"/>
  <c r="AO196" i="2"/>
  <c r="AR196" i="2"/>
  <c r="DG196" i="2"/>
  <c r="C192" i="2"/>
  <c r="D192" i="2"/>
  <c r="A192" i="1"/>
  <c r="E192" i="2"/>
  <c r="B192" i="2"/>
  <c r="F192" i="2"/>
  <c r="BG192" i="8"/>
  <c r="JH192" i="2"/>
  <c r="IL192" i="2"/>
  <c r="IM192" i="2"/>
  <c r="AV192" i="8"/>
  <c r="CY192" i="2"/>
  <c r="AU192" i="8"/>
  <c r="F192" i="8"/>
  <c r="FD192" i="2"/>
  <c r="DF192" i="2"/>
  <c r="DC192" i="2"/>
  <c r="AO192" i="2"/>
  <c r="AR192" i="2"/>
  <c r="DG192" i="2"/>
  <c r="C188" i="2"/>
  <c r="D188" i="2"/>
  <c r="A188" i="1"/>
  <c r="E188" i="2"/>
  <c r="B188" i="2"/>
  <c r="F188" i="2"/>
  <c r="BG188" i="8"/>
  <c r="JH188" i="2"/>
  <c r="IL188" i="2"/>
  <c r="IM188" i="2"/>
  <c r="AV188" i="8"/>
  <c r="AU188" i="8"/>
  <c r="CY188" i="2"/>
  <c r="F188" i="8"/>
  <c r="FD188" i="2"/>
  <c r="DF188" i="2"/>
  <c r="DC188" i="2"/>
  <c r="AR188" i="2"/>
  <c r="AO188" i="2"/>
  <c r="DG188" i="2"/>
  <c r="C184" i="2"/>
  <c r="D184" i="2"/>
  <c r="A184" i="1"/>
  <c r="E184" i="2"/>
  <c r="B184" i="2"/>
  <c r="F184" i="2"/>
  <c r="BG184" i="8"/>
  <c r="JH184" i="2"/>
  <c r="IL184" i="2"/>
  <c r="AV184" i="8"/>
  <c r="IM184" i="2"/>
  <c r="CY184" i="2"/>
  <c r="AU184" i="8"/>
  <c r="FD184" i="2"/>
  <c r="F184" i="8"/>
  <c r="DF184" i="2"/>
  <c r="DC184" i="2"/>
  <c r="AR184" i="2"/>
  <c r="AO184" i="2"/>
  <c r="DG184" i="2"/>
  <c r="E180" i="2"/>
  <c r="B180" i="2"/>
  <c r="C180" i="2"/>
  <c r="D180" i="2"/>
  <c r="A180" i="1"/>
  <c r="F180" i="2"/>
  <c r="BG180" i="8"/>
  <c r="JH180" i="2"/>
  <c r="IL180" i="2"/>
  <c r="IM180" i="2"/>
  <c r="AV180" i="8"/>
  <c r="CY180" i="2"/>
  <c r="AU180" i="8"/>
  <c r="F180" i="8"/>
  <c r="FD180" i="2"/>
  <c r="DF180" i="2"/>
  <c r="DC180" i="2"/>
  <c r="AO180" i="2"/>
  <c r="AR180" i="2"/>
  <c r="DG180" i="2"/>
  <c r="E176" i="2"/>
  <c r="B176" i="2"/>
  <c r="C176" i="2"/>
  <c r="D176" i="2"/>
  <c r="A176" i="1"/>
  <c r="F176" i="2"/>
  <c r="BG176" i="8"/>
  <c r="JH176" i="2"/>
  <c r="IL176" i="2"/>
  <c r="IM176" i="2"/>
  <c r="AV176" i="8"/>
  <c r="CY176" i="2"/>
  <c r="AU176" i="8"/>
  <c r="F176" i="8"/>
  <c r="FD176" i="2"/>
  <c r="DF176" i="2"/>
  <c r="DC176" i="2"/>
  <c r="AO176" i="2"/>
  <c r="AR176" i="2"/>
  <c r="DG176" i="2"/>
  <c r="E172" i="2"/>
  <c r="B172" i="2"/>
  <c r="C172" i="2"/>
  <c r="D172" i="2"/>
  <c r="A172" i="1"/>
  <c r="F172" i="2"/>
  <c r="BG172" i="8"/>
  <c r="JH172" i="2"/>
  <c r="IL172" i="2"/>
  <c r="IM172" i="2"/>
  <c r="AV172" i="8"/>
  <c r="AU172" i="8"/>
  <c r="CY172" i="2"/>
  <c r="F172" i="8"/>
  <c r="FD172" i="2"/>
  <c r="DF172" i="2"/>
  <c r="DC172" i="2"/>
  <c r="AR172" i="2"/>
  <c r="AO172" i="2"/>
  <c r="DG172" i="2"/>
  <c r="E168" i="2"/>
  <c r="B168" i="2"/>
  <c r="C168" i="2"/>
  <c r="D168" i="2"/>
  <c r="A168" i="1"/>
  <c r="F168" i="2"/>
  <c r="BG168" i="8"/>
  <c r="JH168" i="2"/>
  <c r="IL168" i="2"/>
  <c r="AV168" i="8"/>
  <c r="IM168" i="2"/>
  <c r="CY168" i="2"/>
  <c r="AU168" i="8"/>
  <c r="FD168" i="2"/>
  <c r="F168" i="8"/>
  <c r="DF168" i="2"/>
  <c r="AO168" i="2"/>
  <c r="DC168" i="2"/>
  <c r="AR168" i="2"/>
  <c r="DG168" i="2"/>
  <c r="E164" i="2"/>
  <c r="D164" i="2"/>
  <c r="B164" i="2"/>
  <c r="C164" i="2"/>
  <c r="A164" i="1"/>
  <c r="F164" i="2"/>
  <c r="BG164" i="8"/>
  <c r="JH164" i="2"/>
  <c r="IL164" i="2"/>
  <c r="IM164" i="2"/>
  <c r="AV164" i="8"/>
  <c r="CY164" i="2"/>
  <c r="AU164" i="8"/>
  <c r="F164" i="8"/>
  <c r="FD164" i="2"/>
  <c r="DF164" i="2"/>
  <c r="DC164" i="2"/>
  <c r="AR164" i="2"/>
  <c r="AO164" i="2"/>
  <c r="DG164" i="2"/>
  <c r="E160" i="2"/>
  <c r="D160" i="2"/>
  <c r="B160" i="2"/>
  <c r="C160" i="2"/>
  <c r="A160" i="1"/>
  <c r="F160" i="2"/>
  <c r="BG160" i="8"/>
  <c r="JH160" i="2"/>
  <c r="IL160" i="2"/>
  <c r="IM160" i="2"/>
  <c r="AV160" i="8"/>
  <c r="CY160" i="2"/>
  <c r="AU160" i="8"/>
  <c r="F160" i="8"/>
  <c r="FD160" i="2"/>
  <c r="DF160" i="2"/>
  <c r="DC160" i="2"/>
  <c r="AO160" i="2"/>
  <c r="AR160" i="2"/>
  <c r="DG160" i="2"/>
  <c r="E156" i="2"/>
  <c r="D156" i="2"/>
  <c r="B156" i="2"/>
  <c r="C156" i="2"/>
  <c r="A156" i="1"/>
  <c r="F156" i="2"/>
  <c r="BG156" i="8"/>
  <c r="JH156" i="2"/>
  <c r="IL156" i="2"/>
  <c r="IM156" i="2"/>
  <c r="AV156" i="8"/>
  <c r="AU156" i="8"/>
  <c r="CY156" i="2"/>
  <c r="FD156" i="2"/>
  <c r="F156" i="8"/>
  <c r="DF156" i="2"/>
  <c r="AO156" i="2"/>
  <c r="DC156" i="2"/>
  <c r="AR156" i="2"/>
  <c r="DG156" i="2"/>
  <c r="E152" i="2"/>
  <c r="D152" i="2"/>
  <c r="B152" i="2"/>
  <c r="C152" i="2"/>
  <c r="A152" i="1"/>
  <c r="F152" i="2"/>
  <c r="BG152" i="8"/>
  <c r="JH152" i="2"/>
  <c r="IL152" i="2"/>
  <c r="AV152" i="8"/>
  <c r="IM152" i="2"/>
  <c r="CY152" i="2"/>
  <c r="AU152" i="8"/>
  <c r="F152" i="8"/>
  <c r="FD152" i="2"/>
  <c r="DF152" i="2"/>
  <c r="DC152" i="2"/>
  <c r="AR152" i="2"/>
  <c r="AO152" i="2"/>
  <c r="DG152" i="2"/>
  <c r="E148" i="2"/>
  <c r="D148" i="2"/>
  <c r="B148" i="2"/>
  <c r="C148" i="2"/>
  <c r="A148" i="1"/>
  <c r="F148" i="2"/>
  <c r="BG148" i="8"/>
  <c r="JH148" i="2"/>
  <c r="IL148" i="2"/>
  <c r="IM148" i="2"/>
  <c r="AV148" i="8"/>
  <c r="CY148" i="2"/>
  <c r="AU148" i="8"/>
  <c r="F148" i="8"/>
  <c r="FD148" i="2"/>
  <c r="DF148" i="2"/>
  <c r="DC148" i="2"/>
  <c r="AO148" i="2"/>
  <c r="AR148" i="2"/>
  <c r="DG148" i="2"/>
  <c r="E144" i="2"/>
  <c r="D144" i="2"/>
  <c r="B144" i="2"/>
  <c r="C144" i="2"/>
  <c r="A144" i="1"/>
  <c r="F144" i="2"/>
  <c r="BG144" i="8"/>
  <c r="JH144" i="2"/>
  <c r="IL144" i="2"/>
  <c r="AV144" i="8"/>
  <c r="IM144" i="2"/>
  <c r="CY144" i="2"/>
  <c r="AU144" i="8"/>
  <c r="F144" i="8"/>
  <c r="FD144" i="2"/>
  <c r="DF144" i="2"/>
  <c r="DC144" i="2"/>
  <c r="AR144" i="2"/>
  <c r="AO144" i="2"/>
  <c r="DG144" i="2"/>
  <c r="E140" i="2"/>
  <c r="D140" i="2"/>
  <c r="B140" i="2"/>
  <c r="C140" i="2"/>
  <c r="A140" i="1"/>
  <c r="F140" i="2"/>
  <c r="BG140" i="8"/>
  <c r="JH140" i="2"/>
  <c r="IL140" i="2"/>
  <c r="AV140" i="8"/>
  <c r="IM140" i="2"/>
  <c r="AU140" i="8"/>
  <c r="CY140" i="2"/>
  <c r="FD140" i="2"/>
  <c r="F140" i="8"/>
  <c r="DF140" i="2"/>
  <c r="AO140" i="2"/>
  <c r="DC140" i="2"/>
  <c r="AR140" i="2"/>
  <c r="DG140" i="2"/>
  <c r="E136" i="2"/>
  <c r="D136" i="2"/>
  <c r="B136" i="2"/>
  <c r="C136" i="2"/>
  <c r="A136" i="1"/>
  <c r="F136" i="2"/>
  <c r="BG136" i="8"/>
  <c r="JH136" i="2"/>
  <c r="IL136" i="2"/>
  <c r="AV136" i="8"/>
  <c r="IM136" i="2"/>
  <c r="CY136" i="2"/>
  <c r="AU136" i="8"/>
  <c r="F136" i="8"/>
  <c r="FD136" i="2"/>
  <c r="DF136" i="2"/>
  <c r="DC136" i="2"/>
  <c r="AR136" i="2"/>
  <c r="AO136" i="2"/>
  <c r="DG136" i="2"/>
  <c r="E132" i="2"/>
  <c r="D132" i="2"/>
  <c r="B132" i="2"/>
  <c r="C132" i="2"/>
  <c r="A132" i="1"/>
  <c r="F132" i="2"/>
  <c r="BG132" i="8"/>
  <c r="JH132" i="2"/>
  <c r="IL132" i="2"/>
  <c r="IM132" i="2"/>
  <c r="AV132" i="8"/>
  <c r="CY132" i="2"/>
  <c r="AU132" i="8"/>
  <c r="F132" i="8"/>
  <c r="FD132" i="2"/>
  <c r="DF132" i="2"/>
  <c r="DC132" i="2"/>
  <c r="AO132" i="2"/>
  <c r="AR132" i="2"/>
  <c r="DG132" i="2"/>
  <c r="E128" i="2"/>
  <c r="D128" i="2"/>
  <c r="B128" i="2"/>
  <c r="C128" i="2"/>
  <c r="A128" i="1"/>
  <c r="F128" i="2"/>
  <c r="BG128" i="8"/>
  <c r="JH128" i="2"/>
  <c r="IL128" i="2"/>
  <c r="AV128" i="8"/>
  <c r="IM128" i="2"/>
  <c r="CY128" i="2"/>
  <c r="AU128" i="8"/>
  <c r="F128" i="8"/>
  <c r="FD128" i="2"/>
  <c r="DF128" i="2"/>
  <c r="DC128" i="2"/>
  <c r="AO128" i="2"/>
  <c r="AR128" i="2"/>
  <c r="DG128" i="2"/>
  <c r="E124" i="2"/>
  <c r="D124" i="2"/>
  <c r="B124" i="2"/>
  <c r="C124" i="2"/>
  <c r="A124" i="1"/>
  <c r="F124" i="2"/>
  <c r="BG124" i="8"/>
  <c r="JH124" i="2"/>
  <c r="IL124" i="2"/>
  <c r="AV124" i="8"/>
  <c r="IM124" i="2"/>
  <c r="AU124" i="8"/>
  <c r="CY124" i="2"/>
  <c r="F124" i="8"/>
  <c r="FD124" i="2"/>
  <c r="DF124" i="2"/>
  <c r="DC124" i="2"/>
  <c r="AR124" i="2"/>
  <c r="AO124" i="2"/>
  <c r="DG124" i="2"/>
  <c r="E120" i="2"/>
  <c r="D120" i="2"/>
  <c r="B120" i="2"/>
  <c r="C120" i="2"/>
  <c r="A120" i="1"/>
  <c r="F120" i="2"/>
  <c r="BG120" i="8"/>
  <c r="JH120" i="2"/>
  <c r="IL120" i="2"/>
  <c r="AV120" i="8"/>
  <c r="IM120" i="2"/>
  <c r="CY120" i="2"/>
  <c r="AU120" i="8"/>
  <c r="F120" i="8"/>
  <c r="FD120" i="2"/>
  <c r="DF120" i="2"/>
  <c r="AO120" i="2"/>
  <c r="DC120" i="2"/>
  <c r="AR120" i="2"/>
  <c r="DG120" i="2"/>
  <c r="E116" i="2"/>
  <c r="D116" i="2"/>
  <c r="B116" i="2"/>
  <c r="C116" i="2"/>
  <c r="A116" i="1"/>
  <c r="F116" i="2"/>
  <c r="BG116" i="8"/>
  <c r="JH116" i="2"/>
  <c r="IL116" i="2"/>
  <c r="IM116" i="2"/>
  <c r="AV116" i="8"/>
  <c r="CY116" i="2"/>
  <c r="AU116" i="8"/>
  <c r="F116" i="8"/>
  <c r="FD116" i="2"/>
  <c r="DF116" i="2"/>
  <c r="DC116" i="2"/>
  <c r="AR116" i="2"/>
  <c r="AO116" i="2"/>
  <c r="DG116" i="2"/>
  <c r="E112" i="2"/>
  <c r="D112" i="2"/>
  <c r="B112" i="2"/>
  <c r="C112" i="2"/>
  <c r="A112" i="1"/>
  <c r="F112" i="2"/>
  <c r="BG112" i="8"/>
  <c r="JH112" i="2"/>
  <c r="IL112" i="2"/>
  <c r="AV112" i="8"/>
  <c r="IM112" i="2"/>
  <c r="CY112" i="2"/>
  <c r="AU112" i="8"/>
  <c r="F112" i="8"/>
  <c r="FD112" i="2"/>
  <c r="DF112" i="2"/>
  <c r="AO112" i="2"/>
  <c r="DC112" i="2"/>
  <c r="AR112" i="2"/>
  <c r="DG112" i="2"/>
  <c r="E108" i="2"/>
  <c r="D108" i="2"/>
  <c r="B108" i="2"/>
  <c r="C108" i="2"/>
  <c r="A108" i="1"/>
  <c r="F108" i="2"/>
  <c r="BG108" i="8"/>
  <c r="JH108" i="2"/>
  <c r="IL108" i="2"/>
  <c r="AV108" i="8"/>
  <c r="IM108" i="2"/>
  <c r="AU108" i="8"/>
  <c r="CY108" i="2"/>
  <c r="F108" i="8"/>
  <c r="FD108" i="2"/>
  <c r="DF108" i="2"/>
  <c r="DC108" i="2"/>
  <c r="AR108" i="2"/>
  <c r="AO108" i="2"/>
  <c r="DG108" i="2"/>
  <c r="B104" i="2"/>
  <c r="E104" i="2"/>
  <c r="D104" i="2"/>
  <c r="C104" i="2"/>
  <c r="A104" i="1"/>
  <c r="F104" i="2"/>
  <c r="BG104" i="8"/>
  <c r="JH104" i="2"/>
  <c r="IL104" i="2"/>
  <c r="AV104" i="8"/>
  <c r="IM104" i="2"/>
  <c r="CY104" i="2"/>
  <c r="AU104" i="8"/>
  <c r="F104" i="8"/>
  <c r="FD104" i="2"/>
  <c r="DF104" i="2"/>
  <c r="AO104" i="2"/>
  <c r="DC104" i="2"/>
  <c r="AR104" i="2"/>
  <c r="DG104" i="2"/>
  <c r="B100" i="2"/>
  <c r="E100" i="2"/>
  <c r="D100" i="2"/>
  <c r="C100" i="2"/>
  <c r="A100" i="1"/>
  <c r="F100" i="2"/>
  <c r="BG100" i="8"/>
  <c r="JH100" i="2"/>
  <c r="IL100" i="2"/>
  <c r="IM100" i="2"/>
  <c r="AV100" i="8"/>
  <c r="CY100" i="2"/>
  <c r="AU100" i="8"/>
  <c r="F100" i="8"/>
  <c r="FD100" i="2"/>
  <c r="DF100" i="2"/>
  <c r="DC100" i="2"/>
  <c r="AO100" i="2"/>
  <c r="AR100" i="2"/>
  <c r="DG100" i="2"/>
  <c r="B96" i="2"/>
  <c r="D96" i="2"/>
  <c r="E96" i="2"/>
  <c r="C96" i="2"/>
  <c r="A96" i="1"/>
  <c r="F96" i="2"/>
  <c r="BG96" i="8"/>
  <c r="JH96" i="2"/>
  <c r="IL96" i="2"/>
  <c r="AV96" i="8"/>
  <c r="IM96" i="2"/>
  <c r="CY96" i="2"/>
  <c r="AU96" i="8"/>
  <c r="F96" i="8"/>
  <c r="FD96" i="2"/>
  <c r="DF96" i="2"/>
  <c r="AR96" i="2"/>
  <c r="DC96" i="2"/>
  <c r="AO96" i="2"/>
  <c r="DG96" i="2"/>
  <c r="B92" i="2"/>
  <c r="D92" i="2"/>
  <c r="E92" i="2"/>
  <c r="C92" i="2"/>
  <c r="A92" i="1"/>
  <c r="F92" i="2"/>
  <c r="BG92" i="8"/>
  <c r="JH92" i="2"/>
  <c r="IL92" i="2"/>
  <c r="AV92" i="8"/>
  <c r="IM92" i="2"/>
  <c r="AU92" i="8"/>
  <c r="CY92" i="2"/>
  <c r="F92" i="8"/>
  <c r="FD92" i="2"/>
  <c r="DF92" i="2"/>
  <c r="DC92" i="2"/>
  <c r="AR92" i="2"/>
  <c r="AO92" i="2"/>
  <c r="DG92" i="2"/>
  <c r="B88" i="2"/>
  <c r="D88" i="2"/>
  <c r="E88" i="2"/>
  <c r="C88" i="2"/>
  <c r="A88" i="1"/>
  <c r="F88" i="2"/>
  <c r="BG88" i="8"/>
  <c r="JH88" i="2"/>
  <c r="IL88" i="2"/>
  <c r="AV88" i="8"/>
  <c r="IM88" i="2"/>
  <c r="CY88" i="2"/>
  <c r="AU88" i="8"/>
  <c r="F88" i="8"/>
  <c r="FD88" i="2"/>
  <c r="DF88" i="2"/>
  <c r="AO88" i="2"/>
  <c r="DC88" i="2"/>
  <c r="AR88" i="2"/>
  <c r="DG88" i="2"/>
  <c r="B84" i="2"/>
  <c r="C84" i="2"/>
  <c r="D84" i="2"/>
  <c r="E84" i="2"/>
  <c r="A84" i="1"/>
  <c r="F84" i="2"/>
  <c r="BG84" i="8"/>
  <c r="JH84" i="2"/>
  <c r="IL84" i="2"/>
  <c r="IM84" i="2"/>
  <c r="AV84" i="8"/>
  <c r="CY84" i="2"/>
  <c r="AU84" i="8"/>
  <c r="F84" i="8"/>
  <c r="FD84" i="2"/>
  <c r="DF84" i="2"/>
  <c r="DC84" i="2"/>
  <c r="AR84" i="2"/>
  <c r="AO84" i="2"/>
  <c r="DG84" i="2"/>
  <c r="B80" i="2"/>
  <c r="C80" i="2"/>
  <c r="D80" i="2"/>
  <c r="E80" i="2"/>
  <c r="A80" i="1"/>
  <c r="F80" i="2"/>
  <c r="BG80" i="8"/>
  <c r="JH80" i="2"/>
  <c r="IL80" i="2"/>
  <c r="AV80" i="8"/>
  <c r="IM80" i="2"/>
  <c r="CY80" i="2"/>
  <c r="AU80" i="8"/>
  <c r="F80" i="8"/>
  <c r="FD80" i="2"/>
  <c r="DF80" i="2"/>
  <c r="AR80" i="2"/>
  <c r="DC80" i="2"/>
  <c r="AO80" i="2"/>
  <c r="DG80" i="2"/>
  <c r="B76" i="2"/>
  <c r="C76" i="2"/>
  <c r="D76" i="2"/>
  <c r="E76" i="2"/>
  <c r="A76" i="1"/>
  <c r="F76" i="2"/>
  <c r="BG76" i="8"/>
  <c r="JH76" i="2"/>
  <c r="IL76" i="2"/>
  <c r="AV76" i="8"/>
  <c r="IM76" i="2"/>
  <c r="AU76" i="8"/>
  <c r="CY76" i="2"/>
  <c r="F76" i="8"/>
  <c r="FD76" i="2"/>
  <c r="DF76" i="2"/>
  <c r="DC76" i="2"/>
  <c r="AR76" i="2"/>
  <c r="AO76" i="2"/>
  <c r="DG76" i="2"/>
  <c r="B72" i="2"/>
  <c r="C72" i="2"/>
  <c r="D72" i="2"/>
  <c r="E72" i="2"/>
  <c r="A72" i="1"/>
  <c r="F72" i="2"/>
  <c r="BG72" i="8"/>
  <c r="JH72" i="2"/>
  <c r="IL72" i="2"/>
  <c r="AV72" i="8"/>
  <c r="IM72" i="2"/>
  <c r="CY72" i="2"/>
  <c r="AU72" i="8"/>
  <c r="F72" i="8"/>
  <c r="FD72" i="2"/>
  <c r="DF72" i="2"/>
  <c r="AO72" i="2"/>
  <c r="DC72" i="2"/>
  <c r="AR72" i="2"/>
  <c r="DG72" i="2"/>
  <c r="B68" i="2"/>
  <c r="C68" i="2"/>
  <c r="D68" i="2"/>
  <c r="E68" i="2"/>
  <c r="A68" i="1"/>
  <c r="F68" i="2"/>
  <c r="BG68" i="8"/>
  <c r="JH68" i="2"/>
  <c r="IL68" i="2"/>
  <c r="IM68" i="2"/>
  <c r="AV68" i="8"/>
  <c r="AU68" i="8"/>
  <c r="CY68" i="2"/>
  <c r="F68" i="8"/>
  <c r="FD68" i="2"/>
  <c r="DF68" i="2"/>
  <c r="DC68" i="2"/>
  <c r="AO68" i="2"/>
  <c r="AR68" i="2"/>
  <c r="DG68" i="2"/>
  <c r="B64" i="2"/>
  <c r="C64" i="2"/>
  <c r="D64" i="2"/>
  <c r="E64" i="2"/>
  <c r="A64" i="1"/>
  <c r="F64" i="2"/>
  <c r="BG64" i="8"/>
  <c r="JH64" i="2"/>
  <c r="IL64" i="2"/>
  <c r="AV64" i="8"/>
  <c r="IM64" i="2"/>
  <c r="CY64" i="2"/>
  <c r="AU64" i="8"/>
  <c r="F64" i="8"/>
  <c r="FD64" i="2"/>
  <c r="DF64" i="2"/>
  <c r="DC64" i="2"/>
  <c r="AO64" i="2"/>
  <c r="AR64" i="2"/>
  <c r="DG64" i="2"/>
  <c r="B60" i="2"/>
  <c r="C60" i="2"/>
  <c r="D60" i="2"/>
  <c r="E60" i="2"/>
  <c r="A60" i="1"/>
  <c r="F60" i="2"/>
  <c r="BG60" i="8"/>
  <c r="JH60" i="2"/>
  <c r="IL60" i="2"/>
  <c r="AV60" i="8"/>
  <c r="IM60" i="2"/>
  <c r="AU60" i="8"/>
  <c r="CY60" i="2"/>
  <c r="F60" i="8"/>
  <c r="FD60" i="2"/>
  <c r="DF60" i="2"/>
  <c r="DC60" i="2"/>
  <c r="AR60" i="2"/>
  <c r="AO60" i="2"/>
  <c r="DG60" i="2"/>
  <c r="B56" i="2"/>
  <c r="C56" i="2"/>
  <c r="D56" i="2"/>
  <c r="E56" i="2"/>
  <c r="A56" i="1"/>
  <c r="F56" i="2"/>
  <c r="BG56" i="8"/>
  <c r="JH56" i="2"/>
  <c r="IL56" i="2"/>
  <c r="AV56" i="8"/>
  <c r="IM56" i="2"/>
  <c r="CY56" i="2"/>
  <c r="AU56" i="8"/>
  <c r="F56" i="8"/>
  <c r="FD56" i="2"/>
  <c r="DF56" i="2"/>
  <c r="AO56" i="2"/>
  <c r="DC56" i="2"/>
  <c r="AR56" i="2"/>
  <c r="DG56" i="2"/>
  <c r="B52" i="2"/>
  <c r="C52" i="2"/>
  <c r="D52" i="2"/>
  <c r="E52" i="2"/>
  <c r="A52" i="1"/>
  <c r="F52" i="2"/>
  <c r="BG52" i="8"/>
  <c r="JH52" i="2"/>
  <c r="IL52" i="2"/>
  <c r="IM52" i="2"/>
  <c r="AV52" i="8"/>
  <c r="AU52" i="8"/>
  <c r="CY52" i="2"/>
  <c r="F52" i="8"/>
  <c r="FD52" i="2"/>
  <c r="DF52" i="2"/>
  <c r="DC52" i="2"/>
  <c r="AO52" i="2"/>
  <c r="AR52" i="2"/>
  <c r="DG52" i="2"/>
  <c r="B48" i="2"/>
  <c r="C48" i="2"/>
  <c r="D48" i="2"/>
  <c r="E48" i="2"/>
  <c r="A48" i="1"/>
  <c r="F48" i="2"/>
  <c r="BG48" i="8"/>
  <c r="JH48" i="2"/>
  <c r="IL48" i="2"/>
  <c r="AV48" i="8"/>
  <c r="IM48" i="2"/>
  <c r="CY48" i="2"/>
  <c r="AU48" i="8"/>
  <c r="F48" i="8"/>
  <c r="FD48" i="2"/>
  <c r="DF48" i="2"/>
  <c r="DC48" i="2"/>
  <c r="AO48" i="2"/>
  <c r="AR48" i="2"/>
  <c r="DG48" i="2"/>
  <c r="E44" i="2"/>
  <c r="B44" i="2"/>
  <c r="C44" i="2"/>
  <c r="D44" i="2"/>
  <c r="A44" i="1"/>
  <c r="F44" i="2"/>
  <c r="BG44" i="8"/>
  <c r="JH44" i="2"/>
  <c r="IL44" i="2"/>
  <c r="AV44" i="8"/>
  <c r="IM44" i="2"/>
  <c r="AU44" i="8"/>
  <c r="CY44" i="2"/>
  <c r="F44" i="8"/>
  <c r="FD44" i="2"/>
  <c r="DF44" i="2"/>
  <c r="DC44" i="2"/>
  <c r="AR44" i="2"/>
  <c r="AO44" i="2"/>
  <c r="DG44" i="2"/>
  <c r="E40" i="2"/>
  <c r="B40" i="2"/>
  <c r="C40" i="2"/>
  <c r="D40" i="2"/>
  <c r="A40" i="1"/>
  <c r="E36" i="2"/>
  <c r="B36" i="2"/>
  <c r="C36" i="2"/>
  <c r="D36" i="2"/>
  <c r="A36" i="1"/>
  <c r="E32" i="2"/>
  <c r="B32" i="2"/>
  <c r="C32" i="2"/>
  <c r="D32" i="2"/>
  <c r="A32" i="1"/>
  <c r="E28" i="2"/>
  <c r="B28" i="2"/>
  <c r="C28" i="2"/>
  <c r="D28" i="2"/>
  <c r="A28" i="1"/>
  <c r="E24" i="2"/>
  <c r="B24" i="2"/>
  <c r="C24" i="2"/>
  <c r="D24" i="2"/>
  <c r="A24" i="1"/>
  <c r="E20" i="2"/>
  <c r="B20" i="2"/>
  <c r="C20" i="2"/>
  <c r="D20" i="2"/>
  <c r="A20" i="1"/>
  <c r="E16" i="2"/>
  <c r="B16" i="2"/>
  <c r="C16" i="2"/>
  <c r="D16" i="2"/>
  <c r="A16" i="1"/>
  <c r="D199" i="2"/>
  <c r="E199" i="2"/>
  <c r="C199" i="2"/>
  <c r="B199" i="2"/>
  <c r="A199" i="1"/>
  <c r="F199" i="2"/>
  <c r="JH199" i="2"/>
  <c r="BG199" i="8"/>
  <c r="IM199" i="2"/>
  <c r="IL199" i="2"/>
  <c r="CY199" i="2"/>
  <c r="AU199" i="8"/>
  <c r="AV199" i="8"/>
  <c r="F199" i="8"/>
  <c r="FD199" i="2"/>
  <c r="DF199" i="2"/>
  <c r="DC199" i="2"/>
  <c r="AR199" i="2"/>
  <c r="AO199" i="2"/>
  <c r="DG199" i="2"/>
  <c r="C191" i="2"/>
  <c r="D191" i="2"/>
  <c r="E191" i="2"/>
  <c r="B191" i="2"/>
  <c r="A191" i="1"/>
  <c r="F191" i="2"/>
  <c r="JH191" i="2"/>
  <c r="BG191" i="8"/>
  <c r="IM191" i="2"/>
  <c r="IL191" i="2"/>
  <c r="CY191" i="2"/>
  <c r="AV191" i="8"/>
  <c r="AU191" i="8"/>
  <c r="F191" i="8"/>
  <c r="FD191" i="2"/>
  <c r="DF191" i="2"/>
  <c r="DC191" i="2"/>
  <c r="AR191" i="2"/>
  <c r="AO191" i="2"/>
  <c r="DG191" i="2"/>
  <c r="C187" i="2"/>
  <c r="D187" i="2"/>
  <c r="E187" i="2"/>
  <c r="B187" i="2"/>
  <c r="A187" i="1"/>
  <c r="F187" i="2"/>
  <c r="JH187" i="2"/>
  <c r="BG187" i="8"/>
  <c r="IM187" i="2"/>
  <c r="IL187" i="2"/>
  <c r="CY187" i="2"/>
  <c r="AV187" i="8"/>
  <c r="AU187" i="8"/>
  <c r="F187" i="8"/>
  <c r="FD187" i="2"/>
  <c r="DF187" i="2"/>
  <c r="DC187" i="2"/>
  <c r="AR187" i="2"/>
  <c r="AO187" i="2"/>
  <c r="DG187" i="2"/>
  <c r="C183" i="2"/>
  <c r="D183" i="2"/>
  <c r="E183" i="2"/>
  <c r="B183" i="2"/>
  <c r="A183" i="1"/>
  <c r="F183" i="2"/>
  <c r="JH183" i="2"/>
  <c r="BG183" i="8"/>
  <c r="AV183" i="8"/>
  <c r="IM183" i="2"/>
  <c r="IL183" i="2"/>
  <c r="CY183" i="2"/>
  <c r="AU183" i="8"/>
  <c r="F183" i="8"/>
  <c r="FD183" i="2"/>
  <c r="DF183" i="2"/>
  <c r="DC183" i="2"/>
  <c r="AO183" i="2"/>
  <c r="AR183" i="2"/>
  <c r="DG183" i="2"/>
  <c r="E179" i="2"/>
  <c r="B179" i="2"/>
  <c r="C179" i="2"/>
  <c r="D179" i="2"/>
  <c r="A179" i="1"/>
  <c r="F179" i="2"/>
  <c r="JH179" i="2"/>
  <c r="BG179" i="8"/>
  <c r="IL179" i="2"/>
  <c r="AV179" i="8"/>
  <c r="IM179" i="2"/>
  <c r="CY179" i="2"/>
  <c r="AU179" i="8"/>
  <c r="F179" i="8"/>
  <c r="FD179" i="2"/>
  <c r="DF179" i="2"/>
  <c r="DC179" i="2"/>
  <c r="AR179" i="2"/>
  <c r="AO179" i="2"/>
  <c r="DG179" i="2"/>
  <c r="E175" i="2"/>
  <c r="B175" i="2"/>
  <c r="C175" i="2"/>
  <c r="D175" i="2"/>
  <c r="A175" i="1"/>
  <c r="F175" i="2"/>
  <c r="JH175" i="2"/>
  <c r="BG175" i="8"/>
  <c r="IM175" i="2"/>
  <c r="IL175" i="2"/>
  <c r="AV175" i="8"/>
  <c r="CY175" i="2"/>
  <c r="AU175" i="8"/>
  <c r="F175" i="8"/>
  <c r="FD175" i="2"/>
  <c r="DF175" i="2"/>
  <c r="DC175" i="2"/>
  <c r="AO175" i="2"/>
  <c r="AR175" i="2"/>
  <c r="DG175" i="2"/>
  <c r="E171" i="2"/>
  <c r="B171" i="2"/>
  <c r="C171" i="2"/>
  <c r="D171" i="2"/>
  <c r="A171" i="1"/>
  <c r="F171" i="2"/>
  <c r="JH171" i="2"/>
  <c r="BG171" i="8"/>
  <c r="IM171" i="2"/>
  <c r="AV171" i="8"/>
  <c r="IL171" i="2"/>
  <c r="CY171" i="2"/>
  <c r="AU171" i="8"/>
  <c r="F171" i="8"/>
  <c r="FD171" i="2"/>
  <c r="DF171" i="2"/>
  <c r="DC171" i="2"/>
  <c r="AR171" i="2"/>
  <c r="AO171" i="2"/>
  <c r="DG171" i="2"/>
  <c r="E167" i="2"/>
  <c r="B167" i="2"/>
  <c r="C167" i="2"/>
  <c r="D167" i="2"/>
  <c r="A167" i="1"/>
  <c r="F167" i="2"/>
  <c r="JH167" i="2"/>
  <c r="BG167" i="8"/>
  <c r="AV167" i="8"/>
  <c r="IM167" i="2"/>
  <c r="IL167" i="2"/>
  <c r="CY167" i="2"/>
  <c r="AU167" i="8"/>
  <c r="F167" i="8"/>
  <c r="FD167" i="2"/>
  <c r="DF167" i="2"/>
  <c r="DC167" i="2"/>
  <c r="AO167" i="2"/>
  <c r="AR167" i="2"/>
  <c r="DG167" i="2"/>
  <c r="E163" i="2"/>
  <c r="C163" i="2"/>
  <c r="D163" i="2"/>
  <c r="B163" i="2"/>
  <c r="A163" i="1"/>
  <c r="F163" i="2"/>
  <c r="JH163" i="2"/>
  <c r="BG163" i="8"/>
  <c r="IL163" i="2"/>
  <c r="AV163" i="8"/>
  <c r="IM163" i="2"/>
  <c r="CY163" i="2"/>
  <c r="AU163" i="8"/>
  <c r="F163" i="8"/>
  <c r="FD163" i="2"/>
  <c r="DF163" i="2"/>
  <c r="DC163" i="2"/>
  <c r="AR163" i="2"/>
  <c r="AO163" i="2"/>
  <c r="DG163" i="2"/>
  <c r="E159" i="2"/>
  <c r="C159" i="2"/>
  <c r="D159" i="2"/>
  <c r="B159" i="2"/>
  <c r="A159" i="1"/>
  <c r="F159" i="2"/>
  <c r="JH159" i="2"/>
  <c r="BG159" i="8"/>
  <c r="IM159" i="2"/>
  <c r="IL159" i="2"/>
  <c r="AV159" i="8"/>
  <c r="CY159" i="2"/>
  <c r="AU159" i="8"/>
  <c r="F159" i="8"/>
  <c r="FD159" i="2"/>
  <c r="DF159" i="2"/>
  <c r="DC159" i="2"/>
  <c r="AO159" i="2"/>
  <c r="AR159" i="2"/>
  <c r="DG159" i="2"/>
  <c r="E155" i="2"/>
  <c r="C155" i="2"/>
  <c r="D155" i="2"/>
  <c r="B155" i="2"/>
  <c r="A155" i="1"/>
  <c r="F155" i="2"/>
  <c r="JH155" i="2"/>
  <c r="BG155" i="8"/>
  <c r="IM155" i="2"/>
  <c r="AV155" i="8"/>
  <c r="IL155" i="2"/>
  <c r="CY155" i="2"/>
  <c r="AU155" i="8"/>
  <c r="F155" i="8"/>
  <c r="FD155" i="2"/>
  <c r="DF155" i="2"/>
  <c r="DC155" i="2"/>
  <c r="AR155" i="2"/>
  <c r="AO155" i="2"/>
  <c r="DG155" i="2"/>
  <c r="E151" i="2"/>
  <c r="C151" i="2"/>
  <c r="D151" i="2"/>
  <c r="B151" i="2"/>
  <c r="A151" i="1"/>
  <c r="F151" i="2"/>
  <c r="JH151" i="2"/>
  <c r="BG151" i="8"/>
  <c r="AV151" i="8"/>
  <c r="IM151" i="2"/>
  <c r="IL151" i="2"/>
  <c r="CY151" i="2"/>
  <c r="AU151" i="8"/>
  <c r="F151" i="8"/>
  <c r="FD151" i="2"/>
  <c r="DF151" i="2"/>
  <c r="DC151" i="2"/>
  <c r="AO151" i="2"/>
  <c r="AR151" i="2"/>
  <c r="DG151" i="2"/>
  <c r="E147" i="2"/>
  <c r="C147" i="2"/>
  <c r="D147" i="2"/>
  <c r="B147" i="2"/>
  <c r="A147" i="1"/>
  <c r="F147" i="2"/>
  <c r="JH147" i="2"/>
  <c r="BG147" i="8"/>
  <c r="IL147" i="2"/>
  <c r="AV147" i="8"/>
  <c r="IM147" i="2"/>
  <c r="CY147" i="2"/>
  <c r="AU147" i="8"/>
  <c r="F147" i="8"/>
  <c r="FD147" i="2"/>
  <c r="DF147" i="2"/>
  <c r="DC147" i="2"/>
  <c r="AR147" i="2"/>
  <c r="AO147" i="2"/>
  <c r="DG147" i="2"/>
  <c r="E143" i="2"/>
  <c r="C143" i="2"/>
  <c r="D143" i="2"/>
  <c r="B143" i="2"/>
  <c r="A143" i="1"/>
  <c r="F143" i="2"/>
  <c r="JH143" i="2"/>
  <c r="BG143" i="8"/>
  <c r="IM143" i="2"/>
  <c r="IL143" i="2"/>
  <c r="AV143" i="8"/>
  <c r="CY143" i="2"/>
  <c r="AU143" i="8"/>
  <c r="F143" i="8"/>
  <c r="FD143" i="2"/>
  <c r="DF143" i="2"/>
  <c r="DC143" i="2"/>
  <c r="AO143" i="2"/>
  <c r="AR143" i="2"/>
  <c r="DG143" i="2"/>
  <c r="E139" i="2"/>
  <c r="C139" i="2"/>
  <c r="D139" i="2"/>
  <c r="B139" i="2"/>
  <c r="A139" i="1"/>
  <c r="F139" i="2"/>
  <c r="JH139" i="2"/>
  <c r="BG139" i="8"/>
  <c r="AV139" i="8"/>
  <c r="IM139" i="2"/>
  <c r="IL139" i="2"/>
  <c r="CY139" i="2"/>
  <c r="AU139" i="8"/>
  <c r="F139" i="8"/>
  <c r="FD139" i="2"/>
  <c r="DF139" i="2"/>
  <c r="DC139" i="2"/>
  <c r="AR139" i="2"/>
  <c r="AO139" i="2"/>
  <c r="DG139" i="2"/>
  <c r="E135" i="2"/>
  <c r="C135" i="2"/>
  <c r="D135" i="2"/>
  <c r="B135" i="2"/>
  <c r="A135" i="1"/>
  <c r="F135" i="2"/>
  <c r="JH135" i="2"/>
  <c r="BG135" i="8"/>
  <c r="AV135" i="8"/>
  <c r="IM135" i="2"/>
  <c r="IL135" i="2"/>
  <c r="CY135" i="2"/>
  <c r="AU135" i="8"/>
  <c r="F135" i="8"/>
  <c r="FD135" i="2"/>
  <c r="DF135" i="2"/>
  <c r="DC135" i="2"/>
  <c r="AO135" i="2"/>
  <c r="AR135" i="2"/>
  <c r="DG135" i="2"/>
  <c r="E131" i="2"/>
  <c r="C131" i="2"/>
  <c r="D131" i="2"/>
  <c r="B131" i="2"/>
  <c r="A131" i="1"/>
  <c r="F131" i="2"/>
  <c r="JH131" i="2"/>
  <c r="BG131" i="8"/>
  <c r="IL131" i="2"/>
  <c r="AV131" i="8"/>
  <c r="IM131" i="2"/>
  <c r="CY131" i="2"/>
  <c r="AU131" i="8"/>
  <c r="F131" i="8"/>
  <c r="FD131" i="2"/>
  <c r="DF131" i="2"/>
  <c r="DC131" i="2"/>
  <c r="AO131" i="2"/>
  <c r="AR131" i="2"/>
  <c r="DG131" i="2"/>
  <c r="E127" i="2"/>
  <c r="C127" i="2"/>
  <c r="D127" i="2"/>
  <c r="B127" i="2"/>
  <c r="A127" i="1"/>
  <c r="F127" i="2"/>
  <c r="JH127" i="2"/>
  <c r="BG127" i="8"/>
  <c r="IM127" i="2"/>
  <c r="IL127" i="2"/>
  <c r="AV127" i="8"/>
  <c r="CY127" i="2"/>
  <c r="AU127" i="8"/>
  <c r="F127" i="8"/>
  <c r="FD127" i="2"/>
  <c r="DF127" i="2"/>
  <c r="DC127" i="2"/>
  <c r="AR127" i="2"/>
  <c r="AO127" i="2"/>
  <c r="DG127" i="2"/>
  <c r="E123" i="2"/>
  <c r="C123" i="2"/>
  <c r="D123" i="2"/>
  <c r="B123" i="2"/>
  <c r="A123" i="1"/>
  <c r="F123" i="2"/>
  <c r="JH123" i="2"/>
  <c r="BG123" i="8"/>
  <c r="AV123" i="8"/>
  <c r="IM123" i="2"/>
  <c r="IL123" i="2"/>
  <c r="CY123" i="2"/>
  <c r="AU123" i="8"/>
  <c r="F123" i="8"/>
  <c r="FD123" i="2"/>
  <c r="DF123" i="2"/>
  <c r="DC123" i="2"/>
  <c r="AR123" i="2"/>
  <c r="AO123" i="2"/>
  <c r="DG123" i="2"/>
  <c r="E119" i="2"/>
  <c r="C119" i="2"/>
  <c r="D119" i="2"/>
  <c r="B119" i="2"/>
  <c r="A119" i="1"/>
  <c r="F119" i="2"/>
  <c r="JH119" i="2"/>
  <c r="BG119" i="8"/>
  <c r="AV119" i="8"/>
  <c r="IM119" i="2"/>
  <c r="IL119" i="2"/>
  <c r="CY119" i="2"/>
  <c r="AU119" i="8"/>
  <c r="F119" i="8"/>
  <c r="FD119" i="2"/>
  <c r="DF119" i="2"/>
  <c r="DC119" i="2"/>
  <c r="AO119" i="2"/>
  <c r="AR119" i="2"/>
  <c r="DG119" i="2"/>
  <c r="E115" i="2"/>
  <c r="C115" i="2"/>
  <c r="D115" i="2"/>
  <c r="B115" i="2"/>
  <c r="A115" i="1"/>
  <c r="F115" i="2"/>
  <c r="JH115" i="2"/>
  <c r="BG115" i="8"/>
  <c r="IL115" i="2"/>
  <c r="AV115" i="8"/>
  <c r="IM115" i="2"/>
  <c r="CY115" i="2"/>
  <c r="AU115" i="8"/>
  <c r="F115" i="8"/>
  <c r="FD115" i="2"/>
  <c r="DF115" i="2"/>
  <c r="DC115" i="2"/>
  <c r="AR115" i="2"/>
  <c r="AO115" i="2"/>
  <c r="DG115" i="2"/>
  <c r="E111" i="2"/>
  <c r="C111" i="2"/>
  <c r="D111" i="2"/>
  <c r="B111" i="2"/>
  <c r="A111" i="1"/>
  <c r="F111" i="2"/>
  <c r="JH111" i="2"/>
  <c r="BG111" i="8"/>
  <c r="IM111" i="2"/>
  <c r="IL111" i="2"/>
  <c r="AV111" i="8"/>
  <c r="CY111" i="2"/>
  <c r="AU111" i="8"/>
  <c r="F111" i="8"/>
  <c r="FD111" i="2"/>
  <c r="DF111" i="2"/>
  <c r="DC111" i="2"/>
  <c r="AO111" i="2"/>
  <c r="AR111" i="2"/>
  <c r="DG111" i="2"/>
  <c r="E107" i="2"/>
  <c r="C107" i="2"/>
  <c r="D107" i="2"/>
  <c r="B107" i="2"/>
  <c r="A107" i="1"/>
  <c r="F107" i="2"/>
  <c r="JH107" i="2"/>
  <c r="BG107" i="8"/>
  <c r="AV107" i="8"/>
  <c r="IM107" i="2"/>
  <c r="IL107" i="2"/>
  <c r="CY107" i="2"/>
  <c r="AU107" i="8"/>
  <c r="F107" i="8"/>
  <c r="FD107" i="2"/>
  <c r="DF107" i="2"/>
  <c r="DC107" i="2"/>
  <c r="AR107" i="2"/>
  <c r="AO107" i="2"/>
  <c r="DG107" i="2"/>
  <c r="B103" i="2"/>
  <c r="E103" i="2"/>
  <c r="C103" i="2"/>
  <c r="D103" i="2"/>
  <c r="A103" i="1"/>
  <c r="F103" i="2"/>
  <c r="JH103" i="2"/>
  <c r="BG103" i="8"/>
  <c r="AV103" i="8"/>
  <c r="IM103" i="2"/>
  <c r="IL103" i="2"/>
  <c r="CY103" i="2"/>
  <c r="AU103" i="8"/>
  <c r="F103" i="8"/>
  <c r="FD103" i="2"/>
  <c r="DF103" i="2"/>
  <c r="DC103" i="2"/>
  <c r="AR103" i="2"/>
  <c r="AO103" i="2"/>
  <c r="DG103" i="2"/>
  <c r="B99" i="2"/>
  <c r="E99" i="2"/>
  <c r="C99" i="2"/>
  <c r="D99" i="2"/>
  <c r="A99" i="1"/>
  <c r="F99" i="2"/>
  <c r="JH99" i="2"/>
  <c r="BG99" i="8"/>
  <c r="IL99" i="2"/>
  <c r="AV99" i="8"/>
  <c r="IM99" i="2"/>
  <c r="CY99" i="2"/>
  <c r="AU99" i="8"/>
  <c r="F99" i="8"/>
  <c r="FD99" i="2"/>
  <c r="DF99" i="2"/>
  <c r="DC99" i="2"/>
  <c r="AR99" i="2"/>
  <c r="AO99" i="2"/>
  <c r="DG99" i="2"/>
  <c r="B95" i="2"/>
  <c r="D95" i="2"/>
  <c r="E95" i="2"/>
  <c r="C95" i="2"/>
  <c r="A95" i="1"/>
  <c r="F95" i="2"/>
  <c r="JH95" i="2"/>
  <c r="BG95" i="8"/>
  <c r="IM95" i="2"/>
  <c r="IL95" i="2"/>
  <c r="AV95" i="8"/>
  <c r="CY95" i="2"/>
  <c r="AU95" i="8"/>
  <c r="F95" i="8"/>
  <c r="FD95" i="2"/>
  <c r="DF95" i="2"/>
  <c r="DC95" i="2"/>
  <c r="AR95" i="2"/>
  <c r="AO95" i="2"/>
  <c r="DG95" i="2"/>
  <c r="B91" i="2"/>
  <c r="D91" i="2"/>
  <c r="E91" i="2"/>
  <c r="C91" i="2"/>
  <c r="A91" i="1"/>
  <c r="F91" i="2"/>
  <c r="JH91" i="2"/>
  <c r="BG91" i="8"/>
  <c r="AV91" i="8"/>
  <c r="IM91" i="2"/>
  <c r="IL91" i="2"/>
  <c r="CY91" i="2"/>
  <c r="AU91" i="8"/>
  <c r="F91" i="8"/>
  <c r="FD91" i="2"/>
  <c r="DF91" i="2"/>
  <c r="DC91" i="2"/>
  <c r="AR91" i="2"/>
  <c r="AO91" i="2"/>
  <c r="DG91" i="2"/>
  <c r="B87" i="2"/>
  <c r="D87" i="2"/>
  <c r="E87" i="2"/>
  <c r="C87" i="2"/>
  <c r="A87" i="1"/>
  <c r="F87" i="2"/>
  <c r="JH87" i="2"/>
  <c r="BG87" i="8"/>
  <c r="AV87" i="8"/>
  <c r="IM87" i="2"/>
  <c r="IL87" i="2"/>
  <c r="CY87" i="2"/>
  <c r="AU87" i="8"/>
  <c r="F87" i="8"/>
  <c r="FD87" i="2"/>
  <c r="DF87" i="2"/>
  <c r="DC87" i="2"/>
  <c r="AR87" i="2"/>
  <c r="AO87" i="2"/>
  <c r="DG87" i="2"/>
  <c r="B83" i="2"/>
  <c r="C83" i="2"/>
  <c r="D83" i="2"/>
  <c r="E83" i="2"/>
  <c r="A83" i="1"/>
  <c r="F83" i="2"/>
  <c r="JH83" i="2"/>
  <c r="BG83" i="8"/>
  <c r="IL83" i="2"/>
  <c r="AV83" i="8"/>
  <c r="IM83" i="2"/>
  <c r="CY83" i="2"/>
  <c r="AU83" i="8"/>
  <c r="F83" i="8"/>
  <c r="FD83" i="2"/>
  <c r="DF83" i="2"/>
  <c r="DC83" i="2"/>
  <c r="AR83" i="2"/>
  <c r="AO83" i="2"/>
  <c r="DG83" i="2"/>
  <c r="B79" i="2"/>
  <c r="C79" i="2"/>
  <c r="D79" i="2"/>
  <c r="E79" i="2"/>
  <c r="A79" i="1"/>
  <c r="F79" i="2"/>
  <c r="JH79" i="2"/>
  <c r="BG79" i="8"/>
  <c r="IM79" i="2"/>
  <c r="AU79" i="8"/>
  <c r="IL79" i="2"/>
  <c r="AV79" i="8"/>
  <c r="CY79" i="2"/>
  <c r="F79" i="8"/>
  <c r="FD79" i="2"/>
  <c r="DF79" i="2"/>
  <c r="DC79" i="2"/>
  <c r="AR79" i="2"/>
  <c r="AO79" i="2"/>
  <c r="DG79" i="2"/>
  <c r="B75" i="2"/>
  <c r="C75" i="2"/>
  <c r="D75" i="2"/>
  <c r="E75" i="2"/>
  <c r="A75" i="1"/>
  <c r="F75" i="2"/>
  <c r="JH75" i="2"/>
  <c r="BG75" i="8"/>
  <c r="AV75" i="8"/>
  <c r="AU75" i="8"/>
  <c r="IL75" i="2"/>
  <c r="IM75" i="2"/>
  <c r="CY75" i="2"/>
  <c r="F75" i="8"/>
  <c r="FD75" i="2"/>
  <c r="DF75" i="2"/>
  <c r="DC75" i="2"/>
  <c r="AR75" i="2"/>
  <c r="AO75" i="2"/>
  <c r="DG75" i="2"/>
  <c r="B71" i="2"/>
  <c r="C71" i="2"/>
  <c r="D71" i="2"/>
  <c r="E71" i="2"/>
  <c r="A71" i="1"/>
  <c r="F71" i="2"/>
  <c r="JH71" i="2"/>
  <c r="BG71" i="8"/>
  <c r="AU71" i="8"/>
  <c r="AV71" i="8"/>
  <c r="IM71" i="2"/>
  <c r="IL71" i="2"/>
  <c r="CY71" i="2"/>
  <c r="F71" i="8"/>
  <c r="FD71" i="2"/>
  <c r="DF71" i="2"/>
  <c r="DC71" i="2"/>
  <c r="AR71" i="2"/>
  <c r="AO71" i="2"/>
  <c r="DG71" i="2"/>
  <c r="B67" i="2"/>
  <c r="C67" i="2"/>
  <c r="D67" i="2"/>
  <c r="E67" i="2"/>
  <c r="A67" i="1"/>
  <c r="F67" i="2"/>
  <c r="JH67" i="2"/>
  <c r="BG67" i="8"/>
  <c r="AU67" i="8"/>
  <c r="IL67" i="2"/>
  <c r="AV67" i="8"/>
  <c r="IM67" i="2"/>
  <c r="CY67" i="2"/>
  <c r="F67" i="8"/>
  <c r="FD67" i="2"/>
  <c r="DF67" i="2"/>
  <c r="DC67" i="2"/>
  <c r="AR67" i="2"/>
  <c r="AO67" i="2"/>
  <c r="DG67" i="2"/>
  <c r="B63" i="2"/>
  <c r="C63" i="2"/>
  <c r="D63" i="2"/>
  <c r="E63" i="2"/>
  <c r="A63" i="1"/>
  <c r="F63" i="2"/>
  <c r="JH63" i="2"/>
  <c r="IL63" i="2"/>
  <c r="BG63" i="8"/>
  <c r="IM63" i="2"/>
  <c r="AU63" i="8"/>
  <c r="AV63" i="8"/>
  <c r="CY63" i="2"/>
  <c r="F63" i="8"/>
  <c r="FD63" i="2"/>
  <c r="DF63" i="2"/>
  <c r="DC63" i="2"/>
  <c r="AR63" i="2"/>
  <c r="AO63" i="2"/>
  <c r="DG63" i="2"/>
  <c r="B59" i="2"/>
  <c r="C59" i="2"/>
  <c r="D59" i="2"/>
  <c r="E59" i="2"/>
  <c r="A59" i="1"/>
  <c r="F59" i="2"/>
  <c r="JH59" i="2"/>
  <c r="IL59" i="2"/>
  <c r="BG59" i="8"/>
  <c r="AV59" i="8"/>
  <c r="AU59" i="8"/>
  <c r="IM59" i="2"/>
  <c r="CY59" i="2"/>
  <c r="F59" i="8"/>
  <c r="FD59" i="2"/>
  <c r="DF59" i="2"/>
  <c r="DC59" i="2"/>
  <c r="AR59" i="2"/>
  <c r="AO59" i="2"/>
  <c r="DG59" i="2"/>
  <c r="B55" i="2"/>
  <c r="C55" i="2"/>
  <c r="D55" i="2"/>
  <c r="E55" i="2"/>
  <c r="A55" i="1"/>
  <c r="F55" i="2"/>
  <c r="JH55" i="2"/>
  <c r="IL55" i="2"/>
  <c r="BG55" i="8"/>
  <c r="AU55" i="8"/>
  <c r="AV55" i="8"/>
  <c r="IM55" i="2"/>
  <c r="CY55" i="2"/>
  <c r="F55" i="8"/>
  <c r="FD55" i="2"/>
  <c r="DF55" i="2"/>
  <c r="DC55" i="2"/>
  <c r="AR55" i="2"/>
  <c r="AO55" i="2"/>
  <c r="DG55" i="2"/>
  <c r="B51" i="2"/>
  <c r="C51" i="2"/>
  <c r="D51" i="2"/>
  <c r="E51" i="2"/>
  <c r="A51" i="1"/>
  <c r="F51" i="2"/>
  <c r="JH51" i="2"/>
  <c r="IL51" i="2"/>
  <c r="BG51" i="8"/>
  <c r="AU51" i="8"/>
  <c r="AV51" i="8"/>
  <c r="IM51" i="2"/>
  <c r="CY51" i="2"/>
  <c r="F51" i="8"/>
  <c r="FD51" i="2"/>
  <c r="DF51" i="2"/>
  <c r="DC51" i="2"/>
  <c r="AR51" i="2"/>
  <c r="AO51" i="2"/>
  <c r="DG51" i="2"/>
  <c r="B47" i="2"/>
  <c r="C47" i="2"/>
  <c r="D47" i="2"/>
  <c r="E47" i="2"/>
  <c r="A47" i="1"/>
  <c r="F47" i="2"/>
  <c r="JH47" i="2"/>
  <c r="IL47" i="2"/>
  <c r="BG47" i="8"/>
  <c r="IM47" i="2"/>
  <c r="AU47" i="8"/>
  <c r="AV47" i="8"/>
  <c r="CY47" i="2"/>
  <c r="F47" i="8"/>
  <c r="FD47" i="2"/>
  <c r="DF47" i="2"/>
  <c r="DC47" i="2"/>
  <c r="AR47" i="2"/>
  <c r="AO47" i="2"/>
  <c r="DG47" i="2"/>
  <c r="E43" i="2"/>
  <c r="D43" i="2"/>
  <c r="B43" i="2"/>
  <c r="C43" i="2"/>
  <c r="A43" i="1"/>
  <c r="E39" i="2"/>
  <c r="D39" i="2"/>
  <c r="B39" i="2"/>
  <c r="C39" i="2"/>
  <c r="A39" i="1"/>
  <c r="E35" i="2"/>
  <c r="D35" i="2"/>
  <c r="B35" i="2"/>
  <c r="C35" i="2"/>
  <c r="A35" i="1"/>
  <c r="E31" i="2"/>
  <c r="D31" i="2"/>
  <c r="B31" i="2"/>
  <c r="C31" i="2"/>
  <c r="A31" i="1"/>
  <c r="E27" i="2"/>
  <c r="D27" i="2"/>
  <c r="B27" i="2"/>
  <c r="C27" i="2"/>
  <c r="A27" i="1"/>
  <c r="E23" i="2"/>
  <c r="D23" i="2"/>
  <c r="B23" i="2"/>
  <c r="C23" i="2"/>
  <c r="A23" i="1"/>
  <c r="E19" i="2"/>
  <c r="D19" i="2"/>
  <c r="B19" i="2"/>
  <c r="C19" i="2"/>
  <c r="A19" i="1"/>
  <c r="D195" i="2"/>
  <c r="E195" i="2"/>
  <c r="C195" i="2"/>
  <c r="B195" i="2"/>
  <c r="A195" i="1"/>
  <c r="F195" i="2"/>
  <c r="JH195" i="2"/>
  <c r="BG195" i="8"/>
  <c r="IL195" i="2"/>
  <c r="IM195" i="2"/>
  <c r="CY195" i="2"/>
  <c r="AU195" i="8"/>
  <c r="AV195" i="8"/>
  <c r="F195" i="8"/>
  <c r="FD195" i="2"/>
  <c r="DF195" i="2"/>
  <c r="DC195" i="2"/>
  <c r="AO195" i="2"/>
  <c r="AR195" i="2"/>
  <c r="DG195" i="2"/>
  <c r="D198" i="2"/>
  <c r="E198" i="2"/>
  <c r="B198" i="2"/>
  <c r="C198" i="2"/>
  <c r="A198" i="1"/>
  <c r="F198" i="2"/>
  <c r="BG198" i="8"/>
  <c r="JH198" i="2"/>
  <c r="AV198" i="8"/>
  <c r="IM198" i="2"/>
  <c r="IL198" i="2"/>
  <c r="AU198" i="8"/>
  <c r="CY198" i="2"/>
  <c r="F198" i="8"/>
  <c r="FD198" i="2"/>
  <c r="DF198" i="2"/>
  <c r="DC198" i="2"/>
  <c r="AO198" i="2"/>
  <c r="AR198" i="2"/>
  <c r="DG198" i="2"/>
  <c r="D194" i="2"/>
  <c r="E194" i="2"/>
  <c r="B194" i="2"/>
  <c r="C194" i="2"/>
  <c r="A194" i="1"/>
  <c r="F194" i="2"/>
  <c r="BG194" i="8"/>
  <c r="JH194" i="2"/>
  <c r="AV194" i="8"/>
  <c r="IM194" i="2"/>
  <c r="IL194" i="2"/>
  <c r="AU194" i="8"/>
  <c r="CY194" i="2"/>
  <c r="F194" i="8"/>
  <c r="FD194" i="2"/>
  <c r="DF194" i="2"/>
  <c r="AR194" i="2"/>
  <c r="DC194" i="2"/>
  <c r="AO194" i="2"/>
  <c r="DG194" i="2"/>
  <c r="C190" i="2"/>
  <c r="D190" i="2"/>
  <c r="E190" i="2"/>
  <c r="B190" i="2"/>
  <c r="A190" i="1"/>
  <c r="F190" i="2"/>
  <c r="BG190" i="8"/>
  <c r="JH190" i="2"/>
  <c r="IL190" i="2"/>
  <c r="AV190" i="8"/>
  <c r="IM190" i="2"/>
  <c r="AU190" i="8"/>
  <c r="CY190" i="2"/>
  <c r="F190" i="8"/>
  <c r="FD190" i="2"/>
  <c r="DF190" i="2"/>
  <c r="DC190" i="2"/>
  <c r="AO190" i="2"/>
  <c r="AR190" i="2"/>
  <c r="DG190" i="2"/>
  <c r="C186" i="2"/>
  <c r="D186" i="2"/>
  <c r="E186" i="2"/>
  <c r="B186" i="2"/>
  <c r="A186" i="1"/>
  <c r="F186" i="2"/>
  <c r="BG186" i="8"/>
  <c r="JH186" i="2"/>
  <c r="IM186" i="2"/>
  <c r="AV186" i="8"/>
  <c r="IL186" i="2"/>
  <c r="AU186" i="8"/>
  <c r="CY186" i="2"/>
  <c r="F186" i="8"/>
  <c r="FD186" i="2"/>
  <c r="DF186" i="2"/>
  <c r="AR186" i="2"/>
  <c r="DC186" i="2"/>
  <c r="AO186" i="2"/>
  <c r="DG186" i="2"/>
  <c r="E182" i="2"/>
  <c r="C182" i="2"/>
  <c r="D182" i="2"/>
  <c r="B182" i="2"/>
  <c r="A182" i="1"/>
  <c r="F182" i="2"/>
  <c r="BG182" i="8"/>
  <c r="JH182" i="2"/>
  <c r="AV182" i="8"/>
  <c r="IM182" i="2"/>
  <c r="IL182" i="2"/>
  <c r="AU182" i="8"/>
  <c r="CY182" i="2"/>
  <c r="F182" i="8"/>
  <c r="FD182" i="2"/>
  <c r="DF182" i="2"/>
  <c r="AO182" i="2"/>
  <c r="DC182" i="2"/>
  <c r="AR182" i="2"/>
  <c r="DG182" i="2"/>
  <c r="E178" i="2"/>
  <c r="B178" i="2"/>
  <c r="C178" i="2"/>
  <c r="D178" i="2"/>
  <c r="A178" i="1"/>
  <c r="F178" i="2"/>
  <c r="BG178" i="8"/>
  <c r="JH178" i="2"/>
  <c r="AV178" i="8"/>
  <c r="IM178" i="2"/>
  <c r="IL178" i="2"/>
  <c r="AU178" i="8"/>
  <c r="CY178" i="2"/>
  <c r="F178" i="8"/>
  <c r="FD178" i="2"/>
  <c r="DF178" i="2"/>
  <c r="AR178" i="2"/>
  <c r="DC178" i="2"/>
  <c r="AO178" i="2"/>
  <c r="DG178" i="2"/>
  <c r="E174" i="2"/>
  <c r="B174" i="2"/>
  <c r="C174" i="2"/>
  <c r="D174" i="2"/>
  <c r="A174" i="1"/>
  <c r="F174" i="2"/>
  <c r="BG174" i="8"/>
  <c r="JH174" i="2"/>
  <c r="IL174" i="2"/>
  <c r="AV174" i="8"/>
  <c r="IM174" i="2"/>
  <c r="AU174" i="8"/>
  <c r="CY174" i="2"/>
  <c r="F174" i="8"/>
  <c r="FD174" i="2"/>
  <c r="DF174" i="2"/>
  <c r="DC174" i="2"/>
  <c r="AO174" i="2"/>
  <c r="AR174" i="2"/>
  <c r="DG174" i="2"/>
  <c r="E170" i="2"/>
  <c r="B170" i="2"/>
  <c r="C170" i="2"/>
  <c r="D170" i="2"/>
  <c r="A170" i="1"/>
  <c r="F170" i="2"/>
  <c r="BG170" i="8"/>
  <c r="JH170" i="2"/>
  <c r="IM170" i="2"/>
  <c r="AV170" i="8"/>
  <c r="IL170" i="2"/>
  <c r="AU170" i="8"/>
  <c r="CY170" i="2"/>
  <c r="F170" i="8"/>
  <c r="FD170" i="2"/>
  <c r="DF170" i="2"/>
  <c r="AR170" i="2"/>
  <c r="DC170" i="2"/>
  <c r="AO170" i="2"/>
  <c r="DG170" i="2"/>
  <c r="E166" i="2"/>
  <c r="B166" i="2"/>
  <c r="C166" i="2"/>
  <c r="D166" i="2"/>
  <c r="A166" i="1"/>
  <c r="F166" i="2"/>
  <c r="BG166" i="8"/>
  <c r="JH166" i="2"/>
  <c r="AV166" i="8"/>
  <c r="IM166" i="2"/>
  <c r="IL166" i="2"/>
  <c r="AU166" i="8"/>
  <c r="CY166" i="2"/>
  <c r="F166" i="8"/>
  <c r="FD166" i="2"/>
  <c r="DF166" i="2"/>
  <c r="AR166" i="2"/>
  <c r="DC166" i="2"/>
  <c r="AO166" i="2"/>
  <c r="DG166" i="2"/>
  <c r="E162" i="2"/>
  <c r="B162" i="2"/>
  <c r="C162" i="2"/>
  <c r="D162" i="2"/>
  <c r="A162" i="1"/>
  <c r="F162" i="2"/>
  <c r="BG162" i="8"/>
  <c r="JH162" i="2"/>
  <c r="AV162" i="8"/>
  <c r="IM162" i="2"/>
  <c r="IL162" i="2"/>
  <c r="AU162" i="8"/>
  <c r="CY162" i="2"/>
  <c r="F162" i="8"/>
  <c r="FD162" i="2"/>
  <c r="DF162" i="2"/>
  <c r="AO162" i="2"/>
  <c r="DC162" i="2"/>
  <c r="AR162" i="2"/>
  <c r="DG162" i="2"/>
  <c r="E158" i="2"/>
  <c r="B158" i="2"/>
  <c r="C158" i="2"/>
  <c r="D158" i="2"/>
  <c r="A158" i="1"/>
  <c r="F158" i="2"/>
  <c r="BG158" i="8"/>
  <c r="JH158" i="2"/>
  <c r="IL158" i="2"/>
  <c r="AV158" i="8"/>
  <c r="IM158" i="2"/>
  <c r="AU158" i="8"/>
  <c r="CY158" i="2"/>
  <c r="F158" i="8"/>
  <c r="FD158" i="2"/>
  <c r="DF158" i="2"/>
  <c r="DC158" i="2"/>
  <c r="AR158" i="2"/>
  <c r="AO158" i="2"/>
  <c r="DG158" i="2"/>
  <c r="E154" i="2"/>
  <c r="B154" i="2"/>
  <c r="C154" i="2"/>
  <c r="D154" i="2"/>
  <c r="A154" i="1"/>
  <c r="F154" i="2"/>
  <c r="BG154" i="8"/>
  <c r="JH154" i="2"/>
  <c r="IM154" i="2"/>
  <c r="AV154" i="8"/>
  <c r="IL154" i="2"/>
  <c r="AU154" i="8"/>
  <c r="CY154" i="2"/>
  <c r="F154" i="8"/>
  <c r="FD154" i="2"/>
  <c r="DF154" i="2"/>
  <c r="DC154" i="2"/>
  <c r="AO154" i="2"/>
  <c r="AR154" i="2"/>
  <c r="DG154" i="2"/>
  <c r="E150" i="2"/>
  <c r="B150" i="2"/>
  <c r="C150" i="2"/>
  <c r="D150" i="2"/>
  <c r="A150" i="1"/>
  <c r="F150" i="2"/>
  <c r="BG150" i="8"/>
  <c r="JH150" i="2"/>
  <c r="AV150" i="8"/>
  <c r="IM150" i="2"/>
  <c r="IL150" i="2"/>
  <c r="AU150" i="8"/>
  <c r="CY150" i="2"/>
  <c r="F150" i="8"/>
  <c r="FD150" i="2"/>
  <c r="DF150" i="2"/>
  <c r="DC150" i="2"/>
  <c r="AO150" i="2"/>
  <c r="AR150" i="2"/>
  <c r="DG150" i="2"/>
  <c r="E146" i="2"/>
  <c r="B146" i="2"/>
  <c r="C146" i="2"/>
  <c r="D146" i="2"/>
  <c r="A146" i="1"/>
  <c r="F146" i="2"/>
  <c r="BG146" i="8"/>
  <c r="JH146" i="2"/>
  <c r="AV146" i="8"/>
  <c r="IM146" i="2"/>
  <c r="IL146" i="2"/>
  <c r="AU146" i="8"/>
  <c r="CY146" i="2"/>
  <c r="F146" i="8"/>
  <c r="FD146" i="2"/>
  <c r="DF146" i="2"/>
  <c r="AR146" i="2"/>
  <c r="DC146" i="2"/>
  <c r="AO146" i="2"/>
  <c r="DG146" i="2"/>
  <c r="E142" i="2"/>
  <c r="B142" i="2"/>
  <c r="C142" i="2"/>
  <c r="D142" i="2"/>
  <c r="A142" i="1"/>
  <c r="F142" i="2"/>
  <c r="BG142" i="8"/>
  <c r="JH142" i="2"/>
  <c r="AV142" i="8"/>
  <c r="IL142" i="2"/>
  <c r="IM142" i="2"/>
  <c r="AU142" i="8"/>
  <c r="CY142" i="2"/>
  <c r="F142" i="8"/>
  <c r="FD142" i="2"/>
  <c r="DF142" i="2"/>
  <c r="DC142" i="2"/>
  <c r="AO142" i="2"/>
  <c r="AR142" i="2"/>
  <c r="DG142" i="2"/>
  <c r="E138" i="2"/>
  <c r="B138" i="2"/>
  <c r="C138" i="2"/>
  <c r="D138" i="2"/>
  <c r="A138" i="1"/>
  <c r="F138" i="2"/>
  <c r="BG138" i="8"/>
  <c r="JH138" i="2"/>
  <c r="AV138" i="8"/>
  <c r="IM138" i="2"/>
  <c r="IL138" i="2"/>
  <c r="AU138" i="8"/>
  <c r="CY138" i="2"/>
  <c r="F138" i="8"/>
  <c r="FD138" i="2"/>
  <c r="DF138" i="2"/>
  <c r="AR138" i="2"/>
  <c r="DC138" i="2"/>
  <c r="AO138" i="2"/>
  <c r="DG138" i="2"/>
  <c r="E134" i="2"/>
  <c r="B134" i="2"/>
  <c r="C134" i="2"/>
  <c r="D134" i="2"/>
  <c r="A134" i="1"/>
  <c r="F134" i="2"/>
  <c r="BG134" i="8"/>
  <c r="JH134" i="2"/>
  <c r="AV134" i="8"/>
  <c r="IM134" i="2"/>
  <c r="IL134" i="2"/>
  <c r="AU134" i="8"/>
  <c r="CY134" i="2"/>
  <c r="F134" i="8"/>
  <c r="FD134" i="2"/>
  <c r="DF134" i="2"/>
  <c r="DC134" i="2"/>
  <c r="AO134" i="2"/>
  <c r="AR134" i="2"/>
  <c r="DG134" i="2"/>
  <c r="E130" i="2"/>
  <c r="B130" i="2"/>
  <c r="C130" i="2"/>
  <c r="D130" i="2"/>
  <c r="A130" i="1"/>
  <c r="F130" i="2"/>
  <c r="BG130" i="8"/>
  <c r="JH130" i="2"/>
  <c r="AV130" i="8"/>
  <c r="IM130" i="2"/>
  <c r="IL130" i="2"/>
  <c r="AU130" i="8"/>
  <c r="CY130" i="2"/>
  <c r="F130" i="8"/>
  <c r="FD130" i="2"/>
  <c r="DF130" i="2"/>
  <c r="AR130" i="2"/>
  <c r="DC130" i="2"/>
  <c r="AO130" i="2"/>
  <c r="DG130" i="2"/>
  <c r="E126" i="2"/>
  <c r="B126" i="2"/>
  <c r="C126" i="2"/>
  <c r="D126" i="2"/>
  <c r="A126" i="1"/>
  <c r="F126" i="2"/>
  <c r="BG126" i="8"/>
  <c r="JH126" i="2"/>
  <c r="AV126" i="8"/>
  <c r="IL126" i="2"/>
  <c r="IM126" i="2"/>
  <c r="AU126" i="8"/>
  <c r="CY126" i="2"/>
  <c r="F126" i="8"/>
  <c r="FD126" i="2"/>
  <c r="DF126" i="2"/>
  <c r="DC126" i="2"/>
  <c r="AO126" i="2"/>
  <c r="AR126" i="2"/>
  <c r="DG126" i="2"/>
  <c r="E122" i="2"/>
  <c r="B122" i="2"/>
  <c r="C122" i="2"/>
  <c r="D122" i="2"/>
  <c r="A122" i="1"/>
  <c r="F122" i="2"/>
  <c r="BG122" i="8"/>
  <c r="JH122" i="2"/>
  <c r="AV122" i="8"/>
  <c r="IM122" i="2"/>
  <c r="IL122" i="2"/>
  <c r="AU122" i="8"/>
  <c r="CY122" i="2"/>
  <c r="F122" i="8"/>
  <c r="FD122" i="2"/>
  <c r="DF122" i="2"/>
  <c r="AR122" i="2"/>
  <c r="DC122" i="2"/>
  <c r="AO122" i="2"/>
  <c r="DG122" i="2"/>
  <c r="E118" i="2"/>
  <c r="B118" i="2"/>
  <c r="C118" i="2"/>
  <c r="D118" i="2"/>
  <c r="A118" i="1"/>
  <c r="F118" i="2"/>
  <c r="BG118" i="8"/>
  <c r="JH118" i="2"/>
  <c r="AV118" i="8"/>
  <c r="IM118" i="2"/>
  <c r="IL118" i="2"/>
  <c r="AU118" i="8"/>
  <c r="CY118" i="2"/>
  <c r="F118" i="8"/>
  <c r="FD118" i="2"/>
  <c r="DF118" i="2"/>
  <c r="AO118" i="2"/>
  <c r="DC118" i="2"/>
  <c r="AR118" i="2"/>
  <c r="DG118" i="2"/>
  <c r="E114" i="2"/>
  <c r="B114" i="2"/>
  <c r="C114" i="2"/>
  <c r="D114" i="2"/>
  <c r="A114" i="1"/>
  <c r="F114" i="2"/>
  <c r="BG114" i="8"/>
  <c r="JH114" i="2"/>
  <c r="AV114" i="8"/>
  <c r="IM114" i="2"/>
  <c r="IL114" i="2"/>
  <c r="AU114" i="8"/>
  <c r="CY114" i="2"/>
  <c r="F114" i="8"/>
  <c r="FD114" i="2"/>
  <c r="DF114" i="2"/>
  <c r="AR114" i="2"/>
  <c r="DC114" i="2"/>
  <c r="AO114" i="2"/>
  <c r="DG114" i="2"/>
  <c r="E110" i="2"/>
  <c r="B110" i="2"/>
  <c r="C110" i="2"/>
  <c r="D110" i="2"/>
  <c r="A110" i="1"/>
  <c r="F110" i="2"/>
  <c r="BG110" i="8"/>
  <c r="JH110" i="2"/>
  <c r="AV110" i="8"/>
  <c r="IL110" i="2"/>
  <c r="IM110" i="2"/>
  <c r="AU110" i="8"/>
  <c r="CY110" i="2"/>
  <c r="F110" i="8"/>
  <c r="FD110" i="2"/>
  <c r="DF110" i="2"/>
  <c r="DC110" i="2"/>
  <c r="AR110" i="2"/>
  <c r="AO110" i="2"/>
  <c r="DG110" i="2"/>
  <c r="E106" i="2"/>
  <c r="B106" i="2"/>
  <c r="C106" i="2"/>
  <c r="D106" i="2"/>
  <c r="A106" i="1"/>
  <c r="F106" i="2"/>
  <c r="BG106" i="8"/>
  <c r="JH106" i="2"/>
  <c r="AV106" i="8"/>
  <c r="IM106" i="2"/>
  <c r="IL106" i="2"/>
  <c r="AU106" i="8"/>
  <c r="CY106" i="2"/>
  <c r="F106" i="8"/>
  <c r="FD106" i="2"/>
  <c r="DF106" i="2"/>
  <c r="DC106" i="2"/>
  <c r="AO106" i="2"/>
  <c r="AR106" i="2"/>
  <c r="DG106" i="2"/>
  <c r="B102" i="2"/>
  <c r="E102" i="2"/>
  <c r="D102" i="2"/>
  <c r="C102" i="2"/>
  <c r="A102" i="1"/>
  <c r="F102" i="2"/>
  <c r="BG102" i="8"/>
  <c r="JH102" i="2"/>
  <c r="AV102" i="8"/>
  <c r="IM102" i="2"/>
  <c r="IL102" i="2"/>
  <c r="AU102" i="8"/>
  <c r="CY102" i="2"/>
  <c r="F102" i="8"/>
  <c r="FD102" i="2"/>
  <c r="DF102" i="2"/>
  <c r="DC102" i="2"/>
  <c r="AR102" i="2"/>
  <c r="AO102" i="2"/>
  <c r="DG102" i="2"/>
  <c r="B98" i="2"/>
  <c r="E98" i="2"/>
  <c r="D98" i="2"/>
  <c r="C98" i="2"/>
  <c r="A98" i="1"/>
  <c r="F98" i="2"/>
  <c r="BG98" i="8"/>
  <c r="JH98" i="2"/>
  <c r="AV98" i="8"/>
  <c r="IM98" i="2"/>
  <c r="IL98" i="2"/>
  <c r="AU98" i="8"/>
  <c r="CY98" i="2"/>
  <c r="F98" i="8"/>
  <c r="FD98" i="2"/>
  <c r="DF98" i="2"/>
  <c r="AO98" i="2"/>
  <c r="DC98" i="2"/>
  <c r="AR98" i="2"/>
  <c r="DG98" i="2"/>
  <c r="B94" i="2"/>
  <c r="D94" i="2"/>
  <c r="E94" i="2"/>
  <c r="C94" i="2"/>
  <c r="A94" i="1"/>
  <c r="F94" i="2"/>
  <c r="BG94" i="8"/>
  <c r="JH94" i="2"/>
  <c r="AV94" i="8"/>
  <c r="IL94" i="2"/>
  <c r="IM94" i="2"/>
  <c r="AU94" i="8"/>
  <c r="CY94" i="2"/>
  <c r="F94" i="8"/>
  <c r="FD94" i="2"/>
  <c r="DF94" i="2"/>
  <c r="DC94" i="2"/>
  <c r="AR94" i="2"/>
  <c r="AO94" i="2"/>
  <c r="DG94" i="2"/>
  <c r="B90" i="2"/>
  <c r="D90" i="2"/>
  <c r="E90" i="2"/>
  <c r="C90" i="2"/>
  <c r="A90" i="1"/>
  <c r="F90" i="2"/>
  <c r="BG90" i="8"/>
  <c r="JH90" i="2"/>
  <c r="AV90" i="8"/>
  <c r="IM90" i="2"/>
  <c r="IL90" i="2"/>
  <c r="AU90" i="8"/>
  <c r="CY90" i="2"/>
  <c r="F90" i="8"/>
  <c r="FD90" i="2"/>
  <c r="DF90" i="2"/>
  <c r="DC90" i="2"/>
  <c r="AO90" i="2"/>
  <c r="AR90" i="2"/>
  <c r="DG90" i="2"/>
  <c r="B86" i="2"/>
  <c r="C86" i="2"/>
  <c r="D86" i="2"/>
  <c r="E86" i="2"/>
  <c r="A86" i="1"/>
  <c r="F86" i="2"/>
  <c r="BG86" i="8"/>
  <c r="JH86" i="2"/>
  <c r="AV86" i="8"/>
  <c r="IM86" i="2"/>
  <c r="IL86" i="2"/>
  <c r="AU86" i="8"/>
  <c r="CY86" i="2"/>
  <c r="F86" i="8"/>
  <c r="FD86" i="2"/>
  <c r="DF86" i="2"/>
  <c r="DC86" i="2"/>
  <c r="AR86" i="2"/>
  <c r="AO86" i="2"/>
  <c r="DG86" i="2"/>
  <c r="B82" i="2"/>
  <c r="C82" i="2"/>
  <c r="D82" i="2"/>
  <c r="E82" i="2"/>
  <c r="A82" i="1"/>
  <c r="F82" i="2"/>
  <c r="BG82" i="8"/>
  <c r="JH82" i="2"/>
  <c r="AV82" i="8"/>
  <c r="IL82" i="2"/>
  <c r="IM82" i="2"/>
  <c r="AU82" i="8"/>
  <c r="CY82" i="2"/>
  <c r="F82" i="8"/>
  <c r="FD82" i="2"/>
  <c r="DF82" i="2"/>
  <c r="AO82" i="2"/>
  <c r="DC82" i="2"/>
  <c r="AR82" i="2"/>
  <c r="DG82" i="2"/>
  <c r="B78" i="2"/>
  <c r="C78" i="2"/>
  <c r="D78" i="2"/>
  <c r="E78" i="2"/>
  <c r="A78" i="1"/>
  <c r="F78" i="2"/>
  <c r="BG78" i="8"/>
  <c r="JH78" i="2"/>
  <c r="AV78" i="8"/>
  <c r="IL78" i="2"/>
  <c r="IM78" i="2"/>
  <c r="AU78" i="8"/>
  <c r="CY78" i="2"/>
  <c r="F78" i="8"/>
  <c r="FD78" i="2"/>
  <c r="DF78" i="2"/>
  <c r="DC78" i="2"/>
  <c r="AR78" i="2"/>
  <c r="AO78" i="2"/>
  <c r="DG78" i="2"/>
  <c r="B74" i="2"/>
  <c r="C74" i="2"/>
  <c r="D74" i="2"/>
  <c r="E74" i="2"/>
  <c r="A74" i="1"/>
  <c r="F74" i="2"/>
  <c r="BG74" i="8"/>
  <c r="JH74" i="2"/>
  <c r="AV74" i="8"/>
  <c r="IL74" i="2"/>
  <c r="IM74" i="2"/>
  <c r="AU74" i="8"/>
  <c r="CY74" i="2"/>
  <c r="F74" i="8"/>
  <c r="FD74" i="2"/>
  <c r="DF74" i="2"/>
  <c r="DC74" i="2"/>
  <c r="AR74" i="2"/>
  <c r="AO74" i="2"/>
  <c r="DG74" i="2"/>
  <c r="B70" i="2"/>
  <c r="C70" i="2"/>
  <c r="D70" i="2"/>
  <c r="E70" i="2"/>
  <c r="A70" i="1"/>
  <c r="F70" i="2"/>
  <c r="BG70" i="8"/>
  <c r="JH70" i="2"/>
  <c r="AV70" i="8"/>
  <c r="IM70" i="2"/>
  <c r="IL70" i="2"/>
  <c r="AU70" i="8"/>
  <c r="CY70" i="2"/>
  <c r="F70" i="8"/>
  <c r="FD70" i="2"/>
  <c r="DF70" i="2"/>
  <c r="DC70" i="2"/>
  <c r="AR70" i="2"/>
  <c r="AO70" i="2"/>
  <c r="DG70" i="2"/>
  <c r="B66" i="2"/>
  <c r="C66" i="2"/>
  <c r="D66" i="2"/>
  <c r="E66" i="2"/>
  <c r="A66" i="1"/>
  <c r="F66" i="2"/>
  <c r="BG66" i="8"/>
  <c r="JH66" i="2"/>
  <c r="AV66" i="8"/>
  <c r="IL66" i="2"/>
  <c r="IM66" i="2"/>
  <c r="AU66" i="8"/>
  <c r="CY66" i="2"/>
  <c r="F66" i="8"/>
  <c r="FD66" i="2"/>
  <c r="DF66" i="2"/>
  <c r="DC66" i="2"/>
  <c r="AR66" i="2"/>
  <c r="AO66" i="2"/>
  <c r="DG66" i="2"/>
  <c r="B62" i="2"/>
  <c r="C62" i="2"/>
  <c r="D62" i="2"/>
  <c r="E62" i="2"/>
  <c r="A62" i="1"/>
  <c r="F62" i="2"/>
  <c r="BG62" i="8"/>
  <c r="JH62" i="2"/>
  <c r="AV62" i="8"/>
  <c r="IL62" i="2"/>
  <c r="IM62" i="2"/>
  <c r="AU62" i="8"/>
  <c r="CY62" i="2"/>
  <c r="F62" i="8"/>
  <c r="FD62" i="2"/>
  <c r="DF62" i="2"/>
  <c r="DC62" i="2"/>
  <c r="AO62" i="2"/>
  <c r="AR62" i="2"/>
  <c r="DG62" i="2"/>
  <c r="B58" i="2"/>
  <c r="C58" i="2"/>
  <c r="D58" i="2"/>
  <c r="E58" i="2"/>
  <c r="A58" i="1"/>
  <c r="F58" i="2"/>
  <c r="BG58" i="8"/>
  <c r="JH58" i="2"/>
  <c r="AV58" i="8"/>
  <c r="IM58" i="2"/>
  <c r="IL58" i="2"/>
  <c r="AU58" i="8"/>
  <c r="CY58" i="2"/>
  <c r="F58" i="8"/>
  <c r="FD58" i="2"/>
  <c r="DF58" i="2"/>
  <c r="DC58" i="2"/>
  <c r="AO58" i="2"/>
  <c r="AR58" i="2"/>
  <c r="DG58" i="2"/>
  <c r="B54" i="2"/>
  <c r="C54" i="2"/>
  <c r="D54" i="2"/>
  <c r="E54" i="2"/>
  <c r="A54" i="1"/>
  <c r="F54" i="2"/>
  <c r="BG54" i="8"/>
  <c r="JH54" i="2"/>
  <c r="AV54" i="8"/>
  <c r="IL54" i="2"/>
  <c r="IM54" i="2"/>
  <c r="AU54" i="8"/>
  <c r="CY54" i="2"/>
  <c r="F54" i="8"/>
  <c r="FD54" i="2"/>
  <c r="DF54" i="2"/>
  <c r="DC54" i="2"/>
  <c r="AR54" i="2"/>
  <c r="AO54" i="2"/>
  <c r="DG54" i="2"/>
  <c r="B50" i="2"/>
  <c r="C50" i="2"/>
  <c r="D50" i="2"/>
  <c r="E50" i="2"/>
  <c r="A50" i="1"/>
  <c r="F50" i="2"/>
  <c r="BG50" i="8"/>
  <c r="JH50" i="2"/>
  <c r="AV50" i="8"/>
  <c r="IL50" i="2"/>
  <c r="IM50" i="2"/>
  <c r="AU50" i="8"/>
  <c r="CY50" i="2"/>
  <c r="F50" i="8"/>
  <c r="FD50" i="2"/>
  <c r="DF50" i="2"/>
  <c r="DC50" i="2"/>
  <c r="AR50" i="2"/>
  <c r="AO50" i="2"/>
  <c r="DG50" i="2"/>
  <c r="B46" i="2"/>
  <c r="C46" i="2"/>
  <c r="D46" i="2"/>
  <c r="E46" i="2"/>
  <c r="A46" i="1"/>
  <c r="F46" i="2"/>
  <c r="BG46" i="8"/>
  <c r="JH46" i="2"/>
  <c r="AV46" i="8"/>
  <c r="IL46" i="2"/>
  <c r="IM46" i="2"/>
  <c r="AU46" i="8"/>
  <c r="CY46" i="2"/>
  <c r="F46" i="8"/>
  <c r="FD46" i="2"/>
  <c r="DF46" i="2"/>
  <c r="DC46" i="2"/>
  <c r="AR46" i="2"/>
  <c r="AO46" i="2"/>
  <c r="DG46" i="2"/>
  <c r="E42" i="2"/>
  <c r="C42" i="2"/>
  <c r="D42" i="2"/>
  <c r="B42" i="2"/>
  <c r="A42" i="1"/>
  <c r="E38" i="2"/>
  <c r="C38" i="2"/>
  <c r="D38" i="2"/>
  <c r="B38" i="2"/>
  <c r="A38" i="1"/>
  <c r="E34" i="2"/>
  <c r="C34" i="2"/>
  <c r="D34" i="2"/>
  <c r="B34" i="2"/>
  <c r="A34" i="1"/>
  <c r="E30" i="2"/>
  <c r="C30" i="2"/>
  <c r="D30" i="2"/>
  <c r="B30" i="2"/>
  <c r="A30" i="1"/>
  <c r="E26" i="2"/>
  <c r="C26" i="2"/>
  <c r="D26" i="2"/>
  <c r="B26" i="2"/>
  <c r="A26" i="1"/>
  <c r="E22" i="2"/>
  <c r="C22" i="2"/>
  <c r="D22" i="2"/>
  <c r="B22" i="2"/>
  <c r="A22" i="1"/>
  <c r="E18" i="2"/>
  <c r="C18" i="2"/>
  <c r="D18" i="2"/>
  <c r="B18" i="2"/>
  <c r="A18" i="1"/>
  <c r="B14" i="2"/>
  <c r="E14" i="2"/>
  <c r="C14" i="2"/>
  <c r="D14" i="2"/>
  <c r="A14" i="1"/>
  <c r="E201" i="2"/>
  <c r="D201" i="2"/>
  <c r="C201" i="2"/>
  <c r="B201" i="2"/>
  <c r="A201" i="1"/>
  <c r="F201" i="2"/>
  <c r="JH201" i="2"/>
  <c r="IM201" i="2"/>
  <c r="IL201" i="2"/>
  <c r="BG201" i="8"/>
  <c r="AV201" i="8"/>
  <c r="CY201" i="2"/>
  <c r="AU201" i="8"/>
  <c r="F201" i="8"/>
  <c r="FD201" i="2"/>
  <c r="DF201" i="2"/>
  <c r="DC201" i="2"/>
  <c r="AO201" i="2"/>
  <c r="AR201" i="2"/>
  <c r="DG201" i="2"/>
  <c r="E197" i="2"/>
  <c r="D197" i="2"/>
  <c r="C197" i="2"/>
  <c r="A197" i="1"/>
  <c r="B197" i="2"/>
  <c r="F197" i="2"/>
  <c r="JH197" i="2"/>
  <c r="IM197" i="2"/>
  <c r="BG197" i="8"/>
  <c r="IL197" i="2"/>
  <c r="AV197" i="8"/>
  <c r="CY197" i="2"/>
  <c r="AU197" i="8"/>
  <c r="F197" i="8"/>
  <c r="FD197" i="2"/>
  <c r="DF197" i="2"/>
  <c r="AR197" i="2"/>
  <c r="DC197" i="2"/>
  <c r="AO197" i="2"/>
  <c r="DG197" i="2"/>
  <c r="E193" i="2"/>
  <c r="D193" i="2"/>
  <c r="C193" i="2"/>
  <c r="A193" i="1"/>
  <c r="B193" i="2"/>
  <c r="F193" i="2"/>
  <c r="JH193" i="2"/>
  <c r="IM193" i="2"/>
  <c r="BG193" i="8"/>
  <c r="IL193" i="2"/>
  <c r="AV193" i="8"/>
  <c r="AU193" i="8"/>
  <c r="CY193" i="2"/>
  <c r="F193" i="8"/>
  <c r="FD193" i="2"/>
  <c r="DF193" i="2"/>
  <c r="DC193" i="2"/>
  <c r="AO193" i="2"/>
  <c r="AR193" i="2"/>
  <c r="DG193" i="2"/>
  <c r="E189" i="2"/>
  <c r="C189" i="2"/>
  <c r="D189" i="2"/>
  <c r="B189" i="2"/>
  <c r="A189" i="1"/>
  <c r="F189" i="2"/>
  <c r="BG189" i="8"/>
  <c r="JH189" i="2"/>
  <c r="IM189" i="2"/>
  <c r="IL189" i="2"/>
  <c r="AV189" i="8"/>
  <c r="CY189" i="2"/>
  <c r="AU189" i="8"/>
  <c r="F189" i="8"/>
  <c r="FD189" i="2"/>
  <c r="DF189" i="2"/>
  <c r="DC189" i="2"/>
  <c r="AO189" i="2"/>
  <c r="AR189" i="2"/>
  <c r="DG189" i="2"/>
  <c r="E185" i="2"/>
  <c r="C185" i="2"/>
  <c r="D185" i="2"/>
  <c r="B185" i="2"/>
  <c r="A185" i="1"/>
  <c r="F185" i="2"/>
  <c r="BG185" i="8"/>
  <c r="JH185" i="2"/>
  <c r="IM185" i="2"/>
  <c r="IL185" i="2"/>
  <c r="AV185" i="8"/>
  <c r="CY185" i="2"/>
  <c r="AU185" i="8"/>
  <c r="F185" i="8"/>
  <c r="FD185" i="2"/>
  <c r="DF185" i="2"/>
  <c r="DC185" i="2"/>
  <c r="AO185" i="2"/>
  <c r="AR185" i="2"/>
  <c r="DG185" i="2"/>
  <c r="B181" i="2"/>
  <c r="C181" i="2"/>
  <c r="D181" i="2"/>
  <c r="E181" i="2"/>
  <c r="A181" i="1"/>
  <c r="F181" i="2"/>
  <c r="BG181" i="8"/>
  <c r="JH181" i="2"/>
  <c r="IM181" i="2"/>
  <c r="IL181" i="2"/>
  <c r="AV181" i="8"/>
  <c r="CY181" i="2"/>
  <c r="AU181" i="8"/>
  <c r="F181" i="8"/>
  <c r="FD181" i="2"/>
  <c r="DF181" i="2"/>
  <c r="DC181" i="2"/>
  <c r="AO181" i="2"/>
  <c r="AR181" i="2"/>
  <c r="DG181" i="2"/>
  <c r="E177" i="2"/>
  <c r="B177" i="2"/>
  <c r="C177" i="2"/>
  <c r="D177" i="2"/>
  <c r="A177" i="1"/>
  <c r="F177" i="2"/>
  <c r="BG177" i="8"/>
  <c r="JH177" i="2"/>
  <c r="IM177" i="2"/>
  <c r="IL177" i="2"/>
  <c r="AV177" i="8"/>
  <c r="AU177" i="8"/>
  <c r="CY177" i="2"/>
  <c r="F177" i="8"/>
  <c r="FD177" i="2"/>
  <c r="DF177" i="2"/>
  <c r="AR177" i="2"/>
  <c r="DC177" i="2"/>
  <c r="AO177" i="2"/>
  <c r="DG177" i="2"/>
  <c r="E173" i="2"/>
  <c r="B173" i="2"/>
  <c r="C173" i="2"/>
  <c r="D173" i="2"/>
  <c r="A173" i="1"/>
  <c r="F173" i="2"/>
  <c r="BG173" i="8"/>
  <c r="JH173" i="2"/>
  <c r="IM173" i="2"/>
  <c r="IL173" i="2"/>
  <c r="AV173" i="8"/>
  <c r="CY173" i="2"/>
  <c r="AU173" i="8"/>
  <c r="F173" i="8"/>
  <c r="FD173" i="2"/>
  <c r="DF173" i="2"/>
  <c r="DC173" i="2"/>
  <c r="AO173" i="2"/>
  <c r="AR173" i="2"/>
  <c r="DG173" i="2"/>
  <c r="E169" i="2"/>
  <c r="B169" i="2"/>
  <c r="C169" i="2"/>
  <c r="D169" i="2"/>
  <c r="A169" i="1"/>
  <c r="F169" i="2"/>
  <c r="BG169" i="8"/>
  <c r="JH169" i="2"/>
  <c r="IM169" i="2"/>
  <c r="IL169" i="2"/>
  <c r="AV169" i="8"/>
  <c r="CY169" i="2"/>
  <c r="AU169" i="8"/>
  <c r="F169" i="8"/>
  <c r="FD169" i="2"/>
  <c r="DF169" i="2"/>
  <c r="DC169" i="2"/>
  <c r="AO169" i="2"/>
  <c r="AR169" i="2"/>
  <c r="DG169" i="2"/>
  <c r="E165" i="2"/>
  <c r="B165" i="2"/>
  <c r="C165" i="2"/>
  <c r="D165" i="2"/>
  <c r="A165" i="1"/>
  <c r="F165" i="2"/>
  <c r="BG165" i="8"/>
  <c r="JH165" i="2"/>
  <c r="IM165" i="2"/>
  <c r="IL165" i="2"/>
  <c r="AV165" i="8"/>
  <c r="CY165" i="2"/>
  <c r="AU165" i="8"/>
  <c r="F165" i="8"/>
  <c r="FD165" i="2"/>
  <c r="DF165" i="2"/>
  <c r="DC165" i="2"/>
  <c r="AO165" i="2"/>
  <c r="AR165" i="2"/>
  <c r="DG165" i="2"/>
  <c r="E161" i="2"/>
  <c r="B161" i="2"/>
  <c r="C161" i="2"/>
  <c r="D161" i="2"/>
  <c r="A161" i="1"/>
  <c r="F161" i="2"/>
  <c r="BG161" i="8"/>
  <c r="JH161" i="2"/>
  <c r="IM161" i="2"/>
  <c r="IL161" i="2"/>
  <c r="AV161" i="8"/>
  <c r="AU161" i="8"/>
  <c r="CY161" i="2"/>
  <c r="F161" i="8"/>
  <c r="FD161" i="2"/>
  <c r="DF161" i="2"/>
  <c r="DC161" i="2"/>
  <c r="AO161" i="2"/>
  <c r="AR161" i="2"/>
  <c r="DG161" i="2"/>
  <c r="E157" i="2"/>
  <c r="B157" i="2"/>
  <c r="C157" i="2"/>
  <c r="D157" i="2"/>
  <c r="A157" i="1"/>
  <c r="F157" i="2"/>
  <c r="BG157" i="8"/>
  <c r="JH157" i="2"/>
  <c r="IM157" i="2"/>
  <c r="IL157" i="2"/>
  <c r="AV157" i="8"/>
  <c r="CY157" i="2"/>
  <c r="AU157" i="8"/>
  <c r="F157" i="8"/>
  <c r="FD157" i="2"/>
  <c r="DF157" i="2"/>
  <c r="AR157" i="2"/>
  <c r="DC157" i="2"/>
  <c r="AO157" i="2"/>
  <c r="DG157" i="2"/>
  <c r="E153" i="2"/>
  <c r="B153" i="2"/>
  <c r="C153" i="2"/>
  <c r="D153" i="2"/>
  <c r="A153" i="1"/>
  <c r="F153" i="2"/>
  <c r="BG153" i="8"/>
  <c r="JH153" i="2"/>
  <c r="IM153" i="2"/>
  <c r="IL153" i="2"/>
  <c r="AV153" i="8"/>
  <c r="CY153" i="2"/>
  <c r="AU153" i="8"/>
  <c r="F153" i="8"/>
  <c r="FD153" i="2"/>
  <c r="DF153" i="2"/>
  <c r="DC153" i="2"/>
  <c r="AO153" i="2"/>
  <c r="AR153" i="2"/>
  <c r="DG153" i="2"/>
  <c r="E149" i="2"/>
  <c r="B149" i="2"/>
  <c r="C149" i="2"/>
  <c r="D149" i="2"/>
  <c r="A149" i="1"/>
  <c r="F149" i="2"/>
  <c r="BG149" i="8"/>
  <c r="JH149" i="2"/>
  <c r="IM149" i="2"/>
  <c r="AV149" i="8"/>
  <c r="IL149" i="2"/>
  <c r="CY149" i="2"/>
  <c r="AU149" i="8"/>
  <c r="F149" i="8"/>
  <c r="FD149" i="2"/>
  <c r="DF149" i="2"/>
  <c r="DC149" i="2"/>
  <c r="AO149" i="2"/>
  <c r="AR149" i="2"/>
  <c r="DG149" i="2"/>
  <c r="E145" i="2"/>
  <c r="B145" i="2"/>
  <c r="C145" i="2"/>
  <c r="D145" i="2"/>
  <c r="A145" i="1"/>
  <c r="F145" i="2"/>
  <c r="BG145" i="8"/>
  <c r="JH145" i="2"/>
  <c r="IM145" i="2"/>
  <c r="AV145" i="8"/>
  <c r="IL145" i="2"/>
  <c r="AU145" i="8"/>
  <c r="CY145" i="2"/>
  <c r="F145" i="8"/>
  <c r="FD145" i="2"/>
  <c r="DF145" i="2"/>
  <c r="DC145" i="2"/>
  <c r="AO145" i="2"/>
  <c r="AR145" i="2"/>
  <c r="DG145" i="2"/>
  <c r="E141" i="2"/>
  <c r="B141" i="2"/>
  <c r="C141" i="2"/>
  <c r="D141" i="2"/>
  <c r="A141" i="1"/>
  <c r="F141" i="2"/>
  <c r="BG141" i="8"/>
  <c r="JH141" i="2"/>
  <c r="IM141" i="2"/>
  <c r="AV141" i="8"/>
  <c r="IL141" i="2"/>
  <c r="CY141" i="2"/>
  <c r="AU141" i="8"/>
  <c r="F141" i="8"/>
  <c r="FD141" i="2"/>
  <c r="DF141" i="2"/>
  <c r="DC141" i="2"/>
  <c r="AO141" i="2"/>
  <c r="AR141" i="2"/>
  <c r="DG141" i="2"/>
  <c r="E137" i="2"/>
  <c r="B137" i="2"/>
  <c r="C137" i="2"/>
  <c r="D137" i="2"/>
  <c r="A137" i="1"/>
  <c r="F137" i="2"/>
  <c r="BG137" i="8"/>
  <c r="JH137" i="2"/>
  <c r="IM137" i="2"/>
  <c r="IL137" i="2"/>
  <c r="AV137" i="8"/>
  <c r="CY137" i="2"/>
  <c r="AU137" i="8"/>
  <c r="F137" i="8"/>
  <c r="FD137" i="2"/>
  <c r="DF137" i="2"/>
  <c r="DC137" i="2"/>
  <c r="AO137" i="2"/>
  <c r="AR137" i="2"/>
  <c r="DG137" i="2"/>
  <c r="E133" i="2"/>
  <c r="B133" i="2"/>
  <c r="C133" i="2"/>
  <c r="D133" i="2"/>
  <c r="A133" i="1"/>
  <c r="F133" i="2"/>
  <c r="BG133" i="8"/>
  <c r="JH133" i="2"/>
  <c r="IM133" i="2"/>
  <c r="AV133" i="8"/>
  <c r="IL133" i="2"/>
  <c r="CY133" i="2"/>
  <c r="AU133" i="8"/>
  <c r="F133" i="8"/>
  <c r="FD133" i="2"/>
  <c r="DF133" i="2"/>
  <c r="AR133" i="2"/>
  <c r="DC133" i="2"/>
  <c r="AO133" i="2"/>
  <c r="DG133" i="2"/>
  <c r="E129" i="2"/>
  <c r="B129" i="2"/>
  <c r="C129" i="2"/>
  <c r="D129" i="2"/>
  <c r="A129" i="1"/>
  <c r="F129" i="2"/>
  <c r="BG129" i="8"/>
  <c r="JH129" i="2"/>
  <c r="IM129" i="2"/>
  <c r="AV129" i="8"/>
  <c r="IL129" i="2"/>
  <c r="AU129" i="8"/>
  <c r="CY129" i="2"/>
  <c r="F129" i="8"/>
  <c r="FD129" i="2"/>
  <c r="DF129" i="2"/>
  <c r="DC129" i="2"/>
  <c r="AO129" i="2"/>
  <c r="AR129" i="2"/>
  <c r="DG129" i="2"/>
  <c r="E125" i="2"/>
  <c r="B125" i="2"/>
  <c r="C125" i="2"/>
  <c r="D125" i="2"/>
  <c r="A125" i="1"/>
  <c r="F125" i="2"/>
  <c r="BG125" i="8"/>
  <c r="JH125" i="2"/>
  <c r="IM125" i="2"/>
  <c r="AV125" i="8"/>
  <c r="IL125" i="2"/>
  <c r="CY125" i="2"/>
  <c r="AU125" i="8"/>
  <c r="F125" i="8"/>
  <c r="FD125" i="2"/>
  <c r="DF125" i="2"/>
  <c r="DC125" i="2"/>
  <c r="AO125" i="2"/>
  <c r="AR125" i="2"/>
  <c r="DG125" i="2"/>
  <c r="E121" i="2"/>
  <c r="B121" i="2"/>
  <c r="C121" i="2"/>
  <c r="D121" i="2"/>
  <c r="A121" i="1"/>
  <c r="F121" i="2"/>
  <c r="BG121" i="8"/>
  <c r="JH121" i="2"/>
  <c r="IM121" i="2"/>
  <c r="IL121" i="2"/>
  <c r="AV121" i="8"/>
  <c r="CY121" i="2"/>
  <c r="AU121" i="8"/>
  <c r="F121" i="8"/>
  <c r="FD121" i="2"/>
  <c r="DF121" i="2"/>
  <c r="DC121" i="2"/>
  <c r="AO121" i="2"/>
  <c r="AR121" i="2"/>
  <c r="DG121" i="2"/>
  <c r="E117" i="2"/>
  <c r="B117" i="2"/>
  <c r="C117" i="2"/>
  <c r="D117" i="2"/>
  <c r="A117" i="1"/>
  <c r="F117" i="2"/>
  <c r="BG117" i="8"/>
  <c r="JH117" i="2"/>
  <c r="IM117" i="2"/>
  <c r="AV117" i="8"/>
  <c r="IL117" i="2"/>
  <c r="CY117" i="2"/>
  <c r="AU117" i="8"/>
  <c r="F117" i="8"/>
  <c r="FD117" i="2"/>
  <c r="DF117" i="2"/>
  <c r="DC117" i="2"/>
  <c r="AO117" i="2"/>
  <c r="AR117" i="2"/>
  <c r="DG117" i="2"/>
  <c r="E113" i="2"/>
  <c r="B113" i="2"/>
  <c r="C113" i="2"/>
  <c r="D113" i="2"/>
  <c r="A113" i="1"/>
  <c r="F113" i="2"/>
  <c r="BG113" i="8"/>
  <c r="JH113" i="2"/>
  <c r="IM113" i="2"/>
  <c r="AV113" i="8"/>
  <c r="IL113" i="2"/>
  <c r="AU113" i="8"/>
  <c r="CY113" i="2"/>
  <c r="F113" i="8"/>
  <c r="FD113" i="2"/>
  <c r="DF113" i="2"/>
  <c r="DC113" i="2"/>
  <c r="AO113" i="2"/>
  <c r="AR113" i="2"/>
  <c r="DG113" i="2"/>
  <c r="E109" i="2"/>
  <c r="B109" i="2"/>
  <c r="C109" i="2"/>
  <c r="D109" i="2"/>
  <c r="A109" i="1"/>
  <c r="F109" i="2"/>
  <c r="BG109" i="8"/>
  <c r="JH109" i="2"/>
  <c r="IM109" i="2"/>
  <c r="AV109" i="8"/>
  <c r="IL109" i="2"/>
  <c r="CY109" i="2"/>
  <c r="AU109" i="8"/>
  <c r="F109" i="8"/>
  <c r="FD109" i="2"/>
  <c r="DF109" i="2"/>
  <c r="AR109" i="2"/>
  <c r="DC109" i="2"/>
  <c r="AO109" i="2"/>
  <c r="DG109" i="2"/>
  <c r="E105" i="2"/>
  <c r="B105" i="2"/>
  <c r="C105" i="2"/>
  <c r="D105" i="2"/>
  <c r="A105" i="1"/>
  <c r="F105" i="2"/>
  <c r="BG105" i="8"/>
  <c r="JH105" i="2"/>
  <c r="IM105" i="2"/>
  <c r="IL105" i="2"/>
  <c r="AV105" i="8"/>
  <c r="CY105" i="2"/>
  <c r="AU105" i="8"/>
  <c r="F105" i="8"/>
  <c r="FD105" i="2"/>
  <c r="DF105" i="2"/>
  <c r="DC105" i="2"/>
  <c r="AO105" i="2"/>
  <c r="AR105" i="2"/>
  <c r="DG105" i="2"/>
  <c r="B101" i="2"/>
  <c r="E101" i="2"/>
  <c r="C101" i="2"/>
  <c r="D101" i="2"/>
  <c r="A101" i="1"/>
  <c r="F101" i="2"/>
  <c r="BG101" i="8"/>
  <c r="JH101" i="2"/>
  <c r="IM101" i="2"/>
  <c r="AV101" i="8"/>
  <c r="IL101" i="2"/>
  <c r="CY101" i="2"/>
  <c r="AU101" i="8"/>
  <c r="F101" i="8"/>
  <c r="FD101" i="2"/>
  <c r="DF101" i="2"/>
  <c r="DC101" i="2"/>
  <c r="AO101" i="2"/>
  <c r="AR101" i="2"/>
  <c r="DG101" i="2"/>
  <c r="B97" i="2"/>
  <c r="D97" i="2"/>
  <c r="E97" i="2"/>
  <c r="C97" i="2"/>
  <c r="A97" i="1"/>
  <c r="F97" i="2"/>
  <c r="BG97" i="8"/>
  <c r="JH97" i="2"/>
  <c r="IM97" i="2"/>
  <c r="AV97" i="8"/>
  <c r="IL97" i="2"/>
  <c r="AU97" i="8"/>
  <c r="CY97" i="2"/>
  <c r="F97" i="8"/>
  <c r="FD97" i="2"/>
  <c r="DF97" i="2"/>
  <c r="DC97" i="2"/>
  <c r="AR97" i="2"/>
  <c r="AO97" i="2"/>
  <c r="DG97" i="2"/>
  <c r="B93" i="2"/>
  <c r="D93" i="2"/>
  <c r="E93" i="2"/>
  <c r="C93" i="2"/>
  <c r="A93" i="1"/>
  <c r="F93" i="2"/>
  <c r="BG93" i="8"/>
  <c r="JH93" i="2"/>
  <c r="IM93" i="2"/>
  <c r="AV93" i="8"/>
  <c r="IL93" i="2"/>
  <c r="CY93" i="2"/>
  <c r="AU93" i="8"/>
  <c r="F93" i="8"/>
  <c r="FD93" i="2"/>
  <c r="DF93" i="2"/>
  <c r="DC93" i="2"/>
  <c r="AR93" i="2"/>
  <c r="AO93" i="2"/>
  <c r="DG93" i="2"/>
  <c r="B89" i="2"/>
  <c r="D89" i="2"/>
  <c r="E89" i="2"/>
  <c r="C89" i="2"/>
  <c r="A89" i="1"/>
  <c r="F89" i="2"/>
  <c r="BG89" i="8"/>
  <c r="JH89" i="2"/>
  <c r="IM89" i="2"/>
  <c r="IL89" i="2"/>
  <c r="AV89" i="8"/>
  <c r="CY89" i="2"/>
  <c r="AU89" i="8"/>
  <c r="F89" i="8"/>
  <c r="FD89" i="2"/>
  <c r="DF89" i="2"/>
  <c r="DC89" i="2"/>
  <c r="AO89" i="2"/>
  <c r="AR89" i="2"/>
  <c r="DG89" i="2"/>
  <c r="B85" i="2"/>
  <c r="C85" i="2"/>
  <c r="D85" i="2"/>
  <c r="E85" i="2"/>
  <c r="A85" i="1"/>
  <c r="F85" i="2"/>
  <c r="IL85" i="2"/>
  <c r="BG85" i="8"/>
  <c r="JH85" i="2"/>
  <c r="IM85" i="2"/>
  <c r="AV85" i="8"/>
  <c r="CY85" i="2"/>
  <c r="AU85" i="8"/>
  <c r="F85" i="8"/>
  <c r="FD85" i="2"/>
  <c r="DF85" i="2"/>
  <c r="DC85" i="2"/>
  <c r="AO85" i="2"/>
  <c r="AR85" i="2"/>
  <c r="DG85" i="2"/>
  <c r="B81" i="2"/>
  <c r="C81" i="2"/>
  <c r="D81" i="2"/>
  <c r="E81" i="2"/>
  <c r="A81" i="1"/>
  <c r="F81" i="2"/>
  <c r="IL81" i="2"/>
  <c r="BG81" i="8"/>
  <c r="JH81" i="2"/>
  <c r="IM81" i="2"/>
  <c r="AV81" i="8"/>
  <c r="AU81" i="8"/>
  <c r="CY81" i="2"/>
  <c r="F81" i="8"/>
  <c r="FD81" i="2"/>
  <c r="DF81" i="2"/>
  <c r="DC81" i="2"/>
  <c r="AR81" i="2"/>
  <c r="AO81" i="2"/>
  <c r="DG81" i="2"/>
  <c r="B77" i="2"/>
  <c r="C77" i="2"/>
  <c r="D77" i="2"/>
  <c r="E77" i="2"/>
  <c r="A77" i="1"/>
  <c r="F77" i="2"/>
  <c r="IL77" i="2"/>
  <c r="BG77" i="8"/>
  <c r="JH77" i="2"/>
  <c r="IM77" i="2"/>
  <c r="AV77" i="8"/>
  <c r="CY77" i="2"/>
  <c r="AU77" i="8"/>
  <c r="F77" i="8"/>
  <c r="FD77" i="2"/>
  <c r="DF77" i="2"/>
  <c r="DC77" i="2"/>
  <c r="AR77" i="2"/>
  <c r="AO77" i="2"/>
  <c r="DG77" i="2"/>
  <c r="B73" i="2"/>
  <c r="C73" i="2"/>
  <c r="D73" i="2"/>
  <c r="E73" i="2"/>
  <c r="A73" i="1"/>
  <c r="F73" i="2"/>
  <c r="IL73" i="2"/>
  <c r="BG73" i="8"/>
  <c r="JH73" i="2"/>
  <c r="IM73" i="2"/>
  <c r="AV73" i="8"/>
  <c r="AU73" i="8"/>
  <c r="CY73" i="2"/>
  <c r="F73" i="8"/>
  <c r="FD73" i="2"/>
  <c r="DF73" i="2"/>
  <c r="DC73" i="2"/>
  <c r="AO73" i="2"/>
  <c r="AR73" i="2"/>
  <c r="DG73" i="2"/>
  <c r="B69" i="2"/>
  <c r="C69" i="2"/>
  <c r="D69" i="2"/>
  <c r="E69" i="2"/>
  <c r="A69" i="1"/>
  <c r="F69" i="2"/>
  <c r="IL69" i="2"/>
  <c r="BG69" i="8"/>
  <c r="JH69" i="2"/>
  <c r="IM69" i="2"/>
  <c r="AV69" i="8"/>
  <c r="AU69" i="8"/>
  <c r="CY69" i="2"/>
  <c r="F69" i="8"/>
  <c r="FD69" i="2"/>
  <c r="DF69" i="2"/>
  <c r="DC69" i="2"/>
  <c r="AO69" i="2"/>
  <c r="AR69" i="2"/>
  <c r="DG69" i="2"/>
  <c r="B65" i="2"/>
  <c r="C65" i="2"/>
  <c r="D65" i="2"/>
  <c r="E65" i="2"/>
  <c r="A65" i="1"/>
  <c r="F65" i="2"/>
  <c r="IL65" i="2"/>
  <c r="BG65" i="8"/>
  <c r="JH65" i="2"/>
  <c r="IM65" i="2"/>
  <c r="AV65" i="8"/>
  <c r="AU65" i="8"/>
  <c r="CY65" i="2"/>
  <c r="F65" i="8"/>
  <c r="FD65" i="2"/>
  <c r="DF65" i="2"/>
  <c r="DC65" i="2"/>
  <c r="AR65" i="2"/>
  <c r="AO65" i="2"/>
  <c r="DG65" i="2"/>
  <c r="B61" i="2"/>
  <c r="C61" i="2"/>
  <c r="D61" i="2"/>
  <c r="E61" i="2"/>
  <c r="A61" i="1"/>
  <c r="F61" i="2"/>
  <c r="IL61" i="2"/>
  <c r="BG61" i="8"/>
  <c r="JH61" i="2"/>
  <c r="IM61" i="2"/>
  <c r="AV61" i="8"/>
  <c r="CY61" i="2"/>
  <c r="AU61" i="8"/>
  <c r="F61" i="8"/>
  <c r="FD61" i="2"/>
  <c r="DF61" i="2"/>
  <c r="DC61" i="2"/>
  <c r="AR61" i="2"/>
  <c r="AO61" i="2"/>
  <c r="DG61" i="2"/>
  <c r="B57" i="2"/>
  <c r="C57" i="2"/>
  <c r="D57" i="2"/>
  <c r="E57" i="2"/>
  <c r="A57" i="1"/>
  <c r="F57" i="2"/>
  <c r="IL57" i="2"/>
  <c r="BG57" i="8"/>
  <c r="JH57" i="2"/>
  <c r="IM57" i="2"/>
  <c r="AV57" i="8"/>
  <c r="AU57" i="8"/>
  <c r="CY57" i="2"/>
  <c r="F57" i="8"/>
  <c r="FD57" i="2"/>
  <c r="DF57" i="2"/>
  <c r="DC57" i="2"/>
  <c r="AR57" i="2"/>
  <c r="AO57" i="2"/>
  <c r="DG57" i="2"/>
  <c r="B53" i="2"/>
  <c r="C53" i="2"/>
  <c r="D53" i="2"/>
  <c r="E53" i="2"/>
  <c r="A53" i="1"/>
  <c r="F53" i="2"/>
  <c r="IL53" i="2"/>
  <c r="BG53" i="8"/>
  <c r="JH53" i="2"/>
  <c r="IM53" i="2"/>
  <c r="AV53" i="8"/>
  <c r="AU53" i="8"/>
  <c r="CY53" i="2"/>
  <c r="F53" i="8"/>
  <c r="FD53" i="2"/>
  <c r="DF53" i="2"/>
  <c r="DC53" i="2"/>
  <c r="AR53" i="2"/>
  <c r="AO53" i="2"/>
  <c r="DG53" i="2"/>
  <c r="B49" i="2"/>
  <c r="C49" i="2"/>
  <c r="D49" i="2"/>
  <c r="E49" i="2"/>
  <c r="A49" i="1"/>
  <c r="F49" i="2"/>
  <c r="IL49" i="2"/>
  <c r="BG49" i="8"/>
  <c r="JH49" i="2"/>
  <c r="IM49" i="2"/>
  <c r="AV49" i="8"/>
  <c r="AU49" i="8"/>
  <c r="CY49" i="2"/>
  <c r="F49" i="8"/>
  <c r="FD49" i="2"/>
  <c r="DF49" i="2"/>
  <c r="DC49" i="2"/>
  <c r="AR49" i="2"/>
  <c r="AO49" i="2"/>
  <c r="DG49" i="2"/>
  <c r="B45" i="2"/>
  <c r="C45" i="2"/>
  <c r="D45" i="2"/>
  <c r="E45" i="2"/>
  <c r="A45" i="1"/>
  <c r="F45" i="2"/>
  <c r="IL45" i="2"/>
  <c r="BG45" i="8"/>
  <c r="JH45" i="2"/>
  <c r="IM45" i="2"/>
  <c r="AV45" i="8"/>
  <c r="CY45" i="2"/>
  <c r="AU45" i="8"/>
  <c r="F45" i="8"/>
  <c r="FD45" i="2"/>
  <c r="DF45" i="2"/>
  <c r="DC45" i="2"/>
  <c r="AR45" i="2"/>
  <c r="AO45" i="2"/>
  <c r="DG45" i="2"/>
  <c r="E41" i="2"/>
  <c r="B41" i="2"/>
  <c r="C41" i="2"/>
  <c r="D41" i="2"/>
  <c r="A41" i="1"/>
  <c r="E37" i="2"/>
  <c r="B37" i="2"/>
  <c r="C37" i="2"/>
  <c r="D37" i="2"/>
  <c r="A37" i="1"/>
  <c r="E33" i="2"/>
  <c r="B33" i="2"/>
  <c r="C33" i="2"/>
  <c r="D33" i="2"/>
  <c r="A33" i="1"/>
  <c r="E29" i="2"/>
  <c r="B29" i="2"/>
  <c r="C29" i="2"/>
  <c r="D29" i="2"/>
  <c r="A29" i="1"/>
  <c r="E25" i="2"/>
  <c r="B25" i="2"/>
  <c r="C25" i="2"/>
  <c r="D25" i="2"/>
  <c r="A25" i="1"/>
  <c r="F25" i="2"/>
  <c r="JH25" i="2"/>
  <c r="IL25" i="2"/>
  <c r="BG25" i="8"/>
  <c r="AV25" i="8"/>
  <c r="AU25" i="8"/>
  <c r="IM25" i="2"/>
  <c r="CY25" i="2"/>
  <c r="F25" i="8"/>
  <c r="FD25" i="2"/>
  <c r="DF25" i="2"/>
  <c r="DC25" i="2"/>
  <c r="AR25" i="2"/>
  <c r="AO25" i="2"/>
  <c r="DG25" i="2"/>
  <c r="E21" i="2"/>
  <c r="B21" i="2"/>
  <c r="C21" i="2"/>
  <c r="D21" i="2"/>
  <c r="A21" i="1"/>
  <c r="E17" i="2"/>
  <c r="B17" i="2"/>
  <c r="C17" i="2"/>
  <c r="D17" i="2"/>
  <c r="A17" i="1"/>
  <c r="FD23" i="2"/>
  <c r="FD21" i="2"/>
  <c r="FD19" i="2"/>
  <c r="FD17" i="2"/>
  <c r="FD24" i="2"/>
  <c r="FD22" i="2"/>
  <c r="FD20" i="2"/>
  <c r="FD18" i="2"/>
  <c r="FD16" i="2"/>
  <c r="FD14" i="2"/>
  <c r="F42" i="2"/>
  <c r="BG42" i="8"/>
  <c r="IM42" i="2"/>
  <c r="AU42" i="8"/>
  <c r="JH42" i="2"/>
  <c r="IL42" i="2"/>
  <c r="AV42" i="8"/>
  <c r="CY42" i="2"/>
  <c r="F42" i="8"/>
  <c r="FD42" i="2"/>
  <c r="DF42" i="2"/>
  <c r="AO42" i="2"/>
  <c r="DC42" i="2"/>
  <c r="AR42" i="2"/>
  <c r="DG42" i="2"/>
  <c r="F40" i="2"/>
  <c r="BG40" i="8"/>
  <c r="IM40" i="2"/>
  <c r="AU40" i="8"/>
  <c r="JH40" i="2"/>
  <c r="IL40" i="2"/>
  <c r="AV40" i="8"/>
  <c r="CY40" i="2"/>
  <c r="F40" i="8"/>
  <c r="FD40" i="2"/>
  <c r="DF40" i="2"/>
  <c r="AO40" i="2"/>
  <c r="DC40" i="2"/>
  <c r="AR40" i="2"/>
  <c r="DG40" i="2"/>
  <c r="F38" i="2"/>
  <c r="BG38" i="8"/>
  <c r="IM38" i="2"/>
  <c r="AU38" i="8"/>
  <c r="JH38" i="2"/>
  <c r="IL38" i="2"/>
  <c r="AV38" i="8"/>
  <c r="CY38" i="2"/>
  <c r="F38" i="8"/>
  <c r="FD38" i="2"/>
  <c r="AO38" i="2"/>
  <c r="DF38" i="2"/>
  <c r="DC38" i="2"/>
  <c r="AR38" i="2"/>
  <c r="DG38" i="2"/>
  <c r="F36" i="2"/>
  <c r="CY36" i="2"/>
  <c r="FD36" i="2"/>
  <c r="F34" i="2"/>
  <c r="CY34" i="2"/>
  <c r="FD34" i="2"/>
  <c r="F32" i="2"/>
  <c r="CY32" i="2"/>
  <c r="FD32" i="2"/>
  <c r="F30" i="2"/>
  <c r="CY30" i="2"/>
  <c r="FD30" i="2"/>
  <c r="F28" i="2"/>
  <c r="CY28" i="2"/>
  <c r="FD28" i="2"/>
  <c r="F26" i="2"/>
  <c r="CY26" i="2"/>
  <c r="FD26" i="2"/>
  <c r="F43" i="2"/>
  <c r="JH43" i="2"/>
  <c r="IL43" i="2"/>
  <c r="AV43" i="8"/>
  <c r="BG43" i="8"/>
  <c r="IM43" i="2"/>
  <c r="AU43" i="8"/>
  <c r="F43" i="8"/>
  <c r="FD43" i="2"/>
  <c r="CY43" i="2"/>
  <c r="DF43" i="2"/>
  <c r="DC43" i="2"/>
  <c r="AR43" i="2"/>
  <c r="AO43" i="2"/>
  <c r="DG43" i="2"/>
  <c r="F41" i="2"/>
  <c r="JH41" i="2"/>
  <c r="IL41" i="2"/>
  <c r="AV41" i="8"/>
  <c r="BG41" i="8"/>
  <c r="IM41" i="2"/>
  <c r="AU41" i="8"/>
  <c r="F41" i="8"/>
  <c r="FD41" i="2"/>
  <c r="CY41" i="2"/>
  <c r="DF41" i="2"/>
  <c r="DC41" i="2"/>
  <c r="AR41" i="2"/>
  <c r="AO41" i="2"/>
  <c r="DG41" i="2"/>
  <c r="F39" i="2"/>
  <c r="JH39" i="2"/>
  <c r="IL39" i="2"/>
  <c r="AV39" i="8"/>
  <c r="BG39" i="8"/>
  <c r="IM39" i="2"/>
  <c r="AU39" i="8"/>
  <c r="F39" i="8"/>
  <c r="FD39" i="2"/>
  <c r="CY39" i="2"/>
  <c r="DC39" i="2"/>
  <c r="AR39" i="2"/>
  <c r="DF39" i="2"/>
  <c r="AO39" i="2"/>
  <c r="DG39" i="2"/>
  <c r="F37" i="2"/>
  <c r="JH37" i="2"/>
  <c r="IL37" i="2"/>
  <c r="AV37" i="8"/>
  <c r="BG37" i="8"/>
  <c r="IM37" i="2"/>
  <c r="AU37" i="8"/>
  <c r="F37" i="8"/>
  <c r="FD37" i="2"/>
  <c r="CY37" i="2"/>
  <c r="DC37" i="2"/>
  <c r="AR37" i="2"/>
  <c r="DF37" i="2"/>
  <c r="AO37" i="2"/>
  <c r="DG37" i="2"/>
  <c r="F35" i="2"/>
  <c r="FD35" i="2"/>
  <c r="CY35" i="2"/>
  <c r="F33" i="2"/>
  <c r="FD33" i="2"/>
  <c r="CY33" i="2"/>
  <c r="F31" i="2"/>
  <c r="FD31" i="2"/>
  <c r="CY31" i="2"/>
  <c r="F29" i="2"/>
  <c r="FD29" i="2"/>
  <c r="CY29" i="2"/>
  <c r="F27" i="2"/>
  <c r="FD27" i="2"/>
  <c r="CY27" i="2"/>
  <c r="BT200" i="2"/>
  <c r="BU200" i="2"/>
  <c r="BT198" i="2"/>
  <c r="BU198" i="2"/>
  <c r="BT196" i="2"/>
  <c r="BU196" i="2"/>
  <c r="BT194" i="2"/>
  <c r="BU194" i="2"/>
  <c r="BT192" i="2"/>
  <c r="BU192" i="2"/>
  <c r="BT190" i="2"/>
  <c r="BU190" i="2"/>
  <c r="BT188" i="2"/>
  <c r="BU188" i="2"/>
  <c r="BT186" i="2"/>
  <c r="BU186" i="2"/>
  <c r="BT184" i="2"/>
  <c r="BU184" i="2"/>
  <c r="BT182" i="2"/>
  <c r="BU182" i="2"/>
  <c r="BT180" i="2"/>
  <c r="BU180" i="2"/>
  <c r="BT178" i="2"/>
  <c r="BU178" i="2"/>
  <c r="BT176" i="2"/>
  <c r="BU176" i="2"/>
  <c r="BT174" i="2"/>
  <c r="BU174" i="2"/>
  <c r="BT172" i="2"/>
  <c r="BU172" i="2"/>
  <c r="BT170" i="2"/>
  <c r="BU170" i="2"/>
  <c r="BT168" i="2"/>
  <c r="BU168" i="2"/>
  <c r="BT166" i="2"/>
  <c r="BU166" i="2"/>
  <c r="BT164" i="2"/>
  <c r="BU164" i="2"/>
  <c r="BT162" i="2"/>
  <c r="BU162" i="2"/>
  <c r="BT160" i="2"/>
  <c r="BU160" i="2"/>
  <c r="BT158" i="2"/>
  <c r="BU158" i="2"/>
  <c r="BT156" i="2"/>
  <c r="BU156" i="2"/>
  <c r="BT154" i="2"/>
  <c r="BU154" i="2"/>
  <c r="BT152" i="2"/>
  <c r="BU152" i="2"/>
  <c r="BT150" i="2"/>
  <c r="BU150" i="2"/>
  <c r="BT148" i="2"/>
  <c r="BU148" i="2"/>
  <c r="BT146" i="2"/>
  <c r="BU146" i="2"/>
  <c r="BT144" i="2"/>
  <c r="BU144" i="2"/>
  <c r="BT142" i="2"/>
  <c r="BU142" i="2"/>
  <c r="BT140" i="2"/>
  <c r="BU140" i="2"/>
  <c r="BT138" i="2"/>
  <c r="BU138" i="2"/>
  <c r="BT136" i="2"/>
  <c r="BU136" i="2"/>
  <c r="BT134" i="2"/>
  <c r="BU134" i="2"/>
  <c r="BT132" i="2"/>
  <c r="BU132" i="2"/>
  <c r="BT130" i="2"/>
  <c r="BU130" i="2"/>
  <c r="BT128" i="2"/>
  <c r="BU128" i="2"/>
  <c r="BT126" i="2"/>
  <c r="BU126" i="2"/>
  <c r="BT124" i="2"/>
  <c r="BU124" i="2"/>
  <c r="BT122" i="2"/>
  <c r="BU122" i="2"/>
  <c r="BT120" i="2"/>
  <c r="BU120" i="2"/>
  <c r="BT118" i="2"/>
  <c r="BU118" i="2"/>
  <c r="BT116" i="2"/>
  <c r="BU116" i="2"/>
  <c r="BT114" i="2"/>
  <c r="BU114" i="2"/>
  <c r="BT112" i="2"/>
  <c r="BU112" i="2"/>
  <c r="BT110" i="2"/>
  <c r="BU110" i="2"/>
  <c r="BT108" i="2"/>
  <c r="BU108" i="2"/>
  <c r="BT106" i="2"/>
  <c r="BU106" i="2"/>
  <c r="BT104" i="2"/>
  <c r="BU104" i="2"/>
  <c r="BT102" i="2"/>
  <c r="BU102" i="2"/>
  <c r="BT100" i="2"/>
  <c r="BU100" i="2"/>
  <c r="BT98" i="2"/>
  <c r="BU98" i="2"/>
  <c r="BT96" i="2"/>
  <c r="BU96" i="2"/>
  <c r="BT94" i="2"/>
  <c r="BU94" i="2"/>
  <c r="BT92" i="2"/>
  <c r="BU92" i="2"/>
  <c r="BT90" i="2"/>
  <c r="BU90" i="2"/>
  <c r="BT88" i="2"/>
  <c r="BU88" i="2"/>
  <c r="BT86" i="2"/>
  <c r="BU86" i="2"/>
  <c r="BT84" i="2"/>
  <c r="BU84" i="2"/>
  <c r="BT82" i="2"/>
  <c r="BU82" i="2"/>
  <c r="BT80" i="2"/>
  <c r="BU80" i="2"/>
  <c r="BT78" i="2"/>
  <c r="BU78" i="2"/>
  <c r="BT76" i="2"/>
  <c r="BU76" i="2"/>
  <c r="BT74" i="2"/>
  <c r="BU74" i="2"/>
  <c r="BT72" i="2"/>
  <c r="BU72" i="2"/>
  <c r="BT70" i="2"/>
  <c r="BU70" i="2"/>
  <c r="BT68" i="2"/>
  <c r="BU68" i="2"/>
  <c r="BT66" i="2"/>
  <c r="BU66" i="2"/>
  <c r="BT64" i="2"/>
  <c r="BU64" i="2"/>
  <c r="BT62" i="2"/>
  <c r="BU62" i="2"/>
  <c r="BT60" i="2"/>
  <c r="BU60" i="2"/>
  <c r="BT58" i="2"/>
  <c r="BU58" i="2"/>
  <c r="BT56" i="2"/>
  <c r="BU56" i="2"/>
  <c r="BT54" i="2"/>
  <c r="BU54" i="2"/>
  <c r="BT52" i="2"/>
  <c r="BU52" i="2"/>
  <c r="BT50" i="2"/>
  <c r="BU50" i="2"/>
  <c r="BT48" i="2"/>
  <c r="BU48" i="2"/>
  <c r="BT46" i="2"/>
  <c r="BU46" i="2"/>
  <c r="BT44" i="2"/>
  <c r="BU44" i="2"/>
  <c r="BT42" i="2"/>
  <c r="BU42" i="2"/>
  <c r="BT40" i="2"/>
  <c r="BU40" i="2"/>
  <c r="BT38" i="2"/>
  <c r="BU38" i="2"/>
  <c r="BT201" i="2"/>
  <c r="BU201" i="2"/>
  <c r="BT199" i="2"/>
  <c r="BU199" i="2"/>
  <c r="BT197" i="2"/>
  <c r="BU197" i="2"/>
  <c r="BT195" i="2"/>
  <c r="BU195" i="2"/>
  <c r="BT193" i="2"/>
  <c r="BU193" i="2"/>
  <c r="BT191" i="2"/>
  <c r="BU191" i="2"/>
  <c r="BT189" i="2"/>
  <c r="BU189" i="2"/>
  <c r="BT187" i="2"/>
  <c r="BU187" i="2"/>
  <c r="BT185" i="2"/>
  <c r="BU185" i="2"/>
  <c r="BT183" i="2"/>
  <c r="BU183" i="2"/>
  <c r="BT181" i="2"/>
  <c r="BU181" i="2"/>
  <c r="BT179" i="2"/>
  <c r="BU179" i="2"/>
  <c r="BT177" i="2"/>
  <c r="BU177" i="2"/>
  <c r="BT175" i="2"/>
  <c r="BU175" i="2"/>
  <c r="BT173" i="2"/>
  <c r="BU173" i="2"/>
  <c r="BT171" i="2"/>
  <c r="BU171" i="2"/>
  <c r="BT169" i="2"/>
  <c r="BU169" i="2"/>
  <c r="BT167" i="2"/>
  <c r="BU167" i="2"/>
  <c r="BT165" i="2"/>
  <c r="BU165" i="2"/>
  <c r="BT163" i="2"/>
  <c r="BU163" i="2"/>
  <c r="BT161" i="2"/>
  <c r="BU161" i="2"/>
  <c r="BT159" i="2"/>
  <c r="BU159" i="2"/>
  <c r="BT157" i="2"/>
  <c r="BU157" i="2"/>
  <c r="BT155" i="2"/>
  <c r="BU155" i="2"/>
  <c r="BT153" i="2"/>
  <c r="BU153" i="2"/>
  <c r="BT151" i="2"/>
  <c r="BU151" i="2"/>
  <c r="BT149" i="2"/>
  <c r="BU149" i="2"/>
  <c r="BT147" i="2"/>
  <c r="BU147" i="2"/>
  <c r="BT145" i="2"/>
  <c r="BU145" i="2"/>
  <c r="BT143" i="2"/>
  <c r="BU143" i="2"/>
  <c r="BT141" i="2"/>
  <c r="BU141" i="2"/>
  <c r="BT139" i="2"/>
  <c r="BU139" i="2"/>
  <c r="BT137" i="2"/>
  <c r="BU137" i="2"/>
  <c r="BT135" i="2"/>
  <c r="BU135" i="2"/>
  <c r="BT133" i="2"/>
  <c r="BU133" i="2"/>
  <c r="BT131" i="2"/>
  <c r="BU131" i="2"/>
  <c r="BT129" i="2"/>
  <c r="BU129" i="2"/>
  <c r="BT127" i="2"/>
  <c r="BU127" i="2"/>
  <c r="BT125" i="2"/>
  <c r="BU125" i="2"/>
  <c r="BT123" i="2"/>
  <c r="BU123" i="2"/>
  <c r="BT121" i="2"/>
  <c r="BU121" i="2"/>
  <c r="BT119" i="2"/>
  <c r="BU119" i="2"/>
  <c r="BT117" i="2"/>
  <c r="BU117" i="2"/>
  <c r="BT115" i="2"/>
  <c r="BU115" i="2"/>
  <c r="BT113" i="2"/>
  <c r="BU113" i="2"/>
  <c r="BT111" i="2"/>
  <c r="BU111" i="2"/>
  <c r="BT109" i="2"/>
  <c r="BU109" i="2"/>
  <c r="BT107" i="2"/>
  <c r="BU107" i="2"/>
  <c r="BT105" i="2"/>
  <c r="BU105" i="2"/>
  <c r="BT103" i="2"/>
  <c r="BU103" i="2"/>
  <c r="BT101" i="2"/>
  <c r="BU101" i="2"/>
  <c r="BT99" i="2"/>
  <c r="BU99" i="2"/>
  <c r="BT97" i="2"/>
  <c r="BU97" i="2"/>
  <c r="BT95" i="2"/>
  <c r="BU95" i="2"/>
  <c r="BT93" i="2"/>
  <c r="BU93" i="2"/>
  <c r="BT91" i="2"/>
  <c r="BU91" i="2"/>
  <c r="BT89" i="2"/>
  <c r="BU89" i="2"/>
  <c r="BT87" i="2"/>
  <c r="BU87" i="2"/>
  <c r="BT85" i="2"/>
  <c r="BU85" i="2"/>
  <c r="BT83" i="2"/>
  <c r="BU83" i="2"/>
  <c r="BT81" i="2"/>
  <c r="BU81" i="2"/>
  <c r="BT79" i="2"/>
  <c r="BU79" i="2"/>
  <c r="BT77" i="2"/>
  <c r="BU77" i="2"/>
  <c r="BT75" i="2"/>
  <c r="BU75" i="2"/>
  <c r="BT73" i="2"/>
  <c r="BU73" i="2"/>
  <c r="BT71" i="2"/>
  <c r="BU71" i="2"/>
  <c r="BT69" i="2"/>
  <c r="BU69" i="2"/>
  <c r="BT67" i="2"/>
  <c r="BU67" i="2"/>
  <c r="BT65" i="2"/>
  <c r="BU65" i="2"/>
  <c r="BT63" i="2"/>
  <c r="BU63" i="2"/>
  <c r="BT61" i="2"/>
  <c r="BU61" i="2"/>
  <c r="BT59" i="2"/>
  <c r="BU59" i="2"/>
  <c r="BT57" i="2"/>
  <c r="BU57" i="2"/>
  <c r="BT55" i="2"/>
  <c r="BU55" i="2"/>
  <c r="BT53" i="2"/>
  <c r="BU53" i="2"/>
  <c r="BT51" i="2"/>
  <c r="BU51" i="2"/>
  <c r="BT49" i="2"/>
  <c r="BU49" i="2"/>
  <c r="BT47" i="2"/>
  <c r="BU47" i="2"/>
  <c r="BT45" i="2"/>
  <c r="BU45" i="2"/>
  <c r="BT43" i="2"/>
  <c r="BU43" i="2"/>
  <c r="BT41" i="2"/>
  <c r="BU41" i="2"/>
  <c r="BT39" i="2"/>
  <c r="BU39" i="2"/>
  <c r="BT37" i="2"/>
  <c r="BU37" i="2"/>
  <c r="BT25" i="2"/>
  <c r="BU25" i="2"/>
  <c r="BR199" i="2"/>
  <c r="BS199" i="2"/>
  <c r="BR195" i="2"/>
  <c r="BS195" i="2"/>
  <c r="BR191" i="2"/>
  <c r="BS191" i="2"/>
  <c r="BR189" i="2"/>
  <c r="BS189" i="2"/>
  <c r="BR187" i="2"/>
  <c r="BS187" i="2"/>
  <c r="BR185" i="2"/>
  <c r="BS185" i="2"/>
  <c r="BR183" i="2"/>
  <c r="BS183" i="2"/>
  <c r="BR181" i="2"/>
  <c r="BS181" i="2"/>
  <c r="BR179" i="2"/>
  <c r="BS179" i="2"/>
  <c r="BR177" i="2"/>
  <c r="BS177" i="2"/>
  <c r="BR175" i="2"/>
  <c r="BS175" i="2"/>
  <c r="BR173" i="2"/>
  <c r="BS173" i="2"/>
  <c r="BR171" i="2"/>
  <c r="BS171" i="2"/>
  <c r="BR169" i="2"/>
  <c r="BS169" i="2"/>
  <c r="BR167" i="2"/>
  <c r="BS167" i="2"/>
  <c r="BR165" i="2"/>
  <c r="BS165" i="2"/>
  <c r="BR163" i="2"/>
  <c r="BS163" i="2"/>
  <c r="BR161" i="2"/>
  <c r="BS161" i="2"/>
  <c r="BR159" i="2"/>
  <c r="BS159" i="2"/>
  <c r="BR157" i="2"/>
  <c r="BS157" i="2"/>
  <c r="BR155" i="2"/>
  <c r="BS155" i="2"/>
  <c r="BR153" i="2"/>
  <c r="BS153" i="2"/>
  <c r="BR151" i="2"/>
  <c r="BS151" i="2"/>
  <c r="BR149" i="2"/>
  <c r="BS149" i="2"/>
  <c r="BR147" i="2"/>
  <c r="BS147" i="2"/>
  <c r="BR145" i="2"/>
  <c r="BS145" i="2"/>
  <c r="BR143" i="2"/>
  <c r="BS143" i="2"/>
  <c r="BR141" i="2"/>
  <c r="BS141" i="2"/>
  <c r="BR139" i="2"/>
  <c r="BS139" i="2"/>
  <c r="BR137" i="2"/>
  <c r="BS137" i="2"/>
  <c r="BR135" i="2"/>
  <c r="BS135" i="2"/>
  <c r="BR133" i="2"/>
  <c r="BS133" i="2"/>
  <c r="BR131" i="2"/>
  <c r="BS131" i="2"/>
  <c r="BR129" i="2"/>
  <c r="BS129" i="2"/>
  <c r="BR127" i="2"/>
  <c r="BS127" i="2"/>
  <c r="BR125" i="2"/>
  <c r="BS125" i="2"/>
  <c r="BR123" i="2"/>
  <c r="BS123" i="2"/>
  <c r="BR121" i="2"/>
  <c r="BS121" i="2"/>
  <c r="BR119" i="2"/>
  <c r="BS119" i="2"/>
  <c r="BR117" i="2"/>
  <c r="BS117" i="2"/>
  <c r="BR115" i="2"/>
  <c r="BS115" i="2"/>
  <c r="BR113" i="2"/>
  <c r="BS113" i="2"/>
  <c r="BR111" i="2"/>
  <c r="BS111" i="2"/>
  <c r="BR109" i="2"/>
  <c r="BS109" i="2"/>
  <c r="BR107" i="2"/>
  <c r="BS107" i="2"/>
  <c r="BR105" i="2"/>
  <c r="BS105" i="2"/>
  <c r="BR103" i="2"/>
  <c r="BS103" i="2"/>
  <c r="BR101" i="2"/>
  <c r="BS101" i="2"/>
  <c r="BR99" i="2"/>
  <c r="BS99" i="2"/>
  <c r="BR97" i="2"/>
  <c r="BS97" i="2"/>
  <c r="BR95" i="2"/>
  <c r="BS95" i="2"/>
  <c r="BR93" i="2"/>
  <c r="BS93" i="2"/>
  <c r="BR91" i="2"/>
  <c r="BS91" i="2"/>
  <c r="BR89" i="2"/>
  <c r="BS89" i="2"/>
  <c r="BR87" i="2"/>
  <c r="BS87" i="2"/>
  <c r="BR85" i="2"/>
  <c r="BS85" i="2"/>
  <c r="BR83" i="2"/>
  <c r="BS83" i="2"/>
  <c r="BR81" i="2"/>
  <c r="BS81" i="2"/>
  <c r="BR79" i="2"/>
  <c r="BS79" i="2"/>
  <c r="BR77" i="2"/>
  <c r="BS77" i="2"/>
  <c r="BR75" i="2"/>
  <c r="BS75" i="2"/>
  <c r="BR73" i="2"/>
  <c r="BS73" i="2"/>
  <c r="BR71" i="2"/>
  <c r="BS71" i="2"/>
  <c r="BR69" i="2"/>
  <c r="BS69" i="2"/>
  <c r="BR67" i="2"/>
  <c r="BS67" i="2"/>
  <c r="BR65" i="2"/>
  <c r="BS65" i="2"/>
  <c r="BR63" i="2"/>
  <c r="BS63" i="2"/>
  <c r="BR61" i="2"/>
  <c r="BS61" i="2"/>
  <c r="BR59" i="2"/>
  <c r="BS59" i="2"/>
  <c r="BR57" i="2"/>
  <c r="BS57" i="2"/>
  <c r="BR55" i="2"/>
  <c r="BS55" i="2"/>
  <c r="BR53" i="2"/>
  <c r="BS53" i="2"/>
  <c r="BR51" i="2"/>
  <c r="BS51" i="2"/>
  <c r="BR49" i="2"/>
  <c r="BS49" i="2"/>
  <c r="BR47" i="2"/>
  <c r="BS47" i="2"/>
  <c r="BR45" i="2"/>
  <c r="BS45" i="2"/>
  <c r="BR43" i="2"/>
  <c r="BS43" i="2"/>
  <c r="BR41" i="2"/>
  <c r="BS41" i="2"/>
  <c r="BR39" i="2"/>
  <c r="BS39" i="2"/>
  <c r="BR37" i="2"/>
  <c r="BS37" i="2"/>
  <c r="BR25" i="2"/>
  <c r="BS25" i="2"/>
  <c r="BR201" i="2"/>
  <c r="BS201" i="2"/>
  <c r="BR197" i="2"/>
  <c r="BS197" i="2"/>
  <c r="BR193" i="2"/>
  <c r="BS193" i="2"/>
  <c r="BR200" i="2"/>
  <c r="BS200" i="2"/>
  <c r="BR198" i="2"/>
  <c r="BS198" i="2"/>
  <c r="BR196" i="2"/>
  <c r="BS196" i="2"/>
  <c r="BR194" i="2"/>
  <c r="BS194" i="2"/>
  <c r="BR192" i="2"/>
  <c r="BS192" i="2"/>
  <c r="BR190" i="2"/>
  <c r="BS190" i="2"/>
  <c r="BR188" i="2"/>
  <c r="BS188" i="2"/>
  <c r="BR186" i="2"/>
  <c r="BS186" i="2"/>
  <c r="BR184" i="2"/>
  <c r="BS184" i="2"/>
  <c r="BR182" i="2"/>
  <c r="BS182" i="2"/>
  <c r="BR180" i="2"/>
  <c r="BS180" i="2"/>
  <c r="BR178" i="2"/>
  <c r="BS178" i="2"/>
  <c r="BR176" i="2"/>
  <c r="BS176" i="2"/>
  <c r="BR174" i="2"/>
  <c r="BS174" i="2"/>
  <c r="BR172" i="2"/>
  <c r="BS172" i="2"/>
  <c r="BR170" i="2"/>
  <c r="BS170" i="2"/>
  <c r="BR168" i="2"/>
  <c r="BS168" i="2"/>
  <c r="BR166" i="2"/>
  <c r="BS166" i="2"/>
  <c r="BR164" i="2"/>
  <c r="BS164" i="2"/>
  <c r="BR162" i="2"/>
  <c r="BS162" i="2"/>
  <c r="BR160" i="2"/>
  <c r="BS160" i="2"/>
  <c r="BR158" i="2"/>
  <c r="BS158" i="2"/>
  <c r="BR156" i="2"/>
  <c r="BS156" i="2"/>
  <c r="BR154" i="2"/>
  <c r="BS154" i="2"/>
  <c r="BR152" i="2"/>
  <c r="BS152" i="2"/>
  <c r="BR150" i="2"/>
  <c r="BS150" i="2"/>
  <c r="BR148" i="2"/>
  <c r="BS148" i="2"/>
  <c r="BR146" i="2"/>
  <c r="BS146" i="2"/>
  <c r="BR144" i="2"/>
  <c r="BS144" i="2"/>
  <c r="BR142" i="2"/>
  <c r="BS142" i="2"/>
  <c r="BR140" i="2"/>
  <c r="BS140" i="2"/>
  <c r="BR138" i="2"/>
  <c r="BS138" i="2"/>
  <c r="BR136" i="2"/>
  <c r="BS136" i="2"/>
  <c r="BR134" i="2"/>
  <c r="BS134" i="2"/>
  <c r="BR132" i="2"/>
  <c r="BS132" i="2"/>
  <c r="BR130" i="2"/>
  <c r="BS130" i="2"/>
  <c r="BR128" i="2"/>
  <c r="BS128" i="2"/>
  <c r="BR126" i="2"/>
  <c r="BS126" i="2"/>
  <c r="BR124" i="2"/>
  <c r="BS124" i="2"/>
  <c r="BR122" i="2"/>
  <c r="BS122" i="2"/>
  <c r="BR120" i="2"/>
  <c r="BS120" i="2"/>
  <c r="BR118" i="2"/>
  <c r="BS118" i="2"/>
  <c r="BR116" i="2"/>
  <c r="BS116" i="2"/>
  <c r="BR114" i="2"/>
  <c r="BS114" i="2"/>
  <c r="BR112" i="2"/>
  <c r="BS112" i="2"/>
  <c r="BR110" i="2"/>
  <c r="BS110" i="2"/>
  <c r="BR108" i="2"/>
  <c r="BS108" i="2"/>
  <c r="BR106" i="2"/>
  <c r="BS106" i="2"/>
  <c r="BR104" i="2"/>
  <c r="BS104" i="2"/>
  <c r="BR102" i="2"/>
  <c r="BS102" i="2"/>
  <c r="BR100" i="2"/>
  <c r="BS100" i="2"/>
  <c r="BR98" i="2"/>
  <c r="BS98" i="2"/>
  <c r="BR96" i="2"/>
  <c r="BS96" i="2"/>
  <c r="BR94" i="2"/>
  <c r="BS94" i="2"/>
  <c r="BR92" i="2"/>
  <c r="BS92" i="2"/>
  <c r="BR90" i="2"/>
  <c r="BS90" i="2"/>
  <c r="BR88" i="2"/>
  <c r="BS88" i="2"/>
  <c r="BR86" i="2"/>
  <c r="BS86" i="2"/>
  <c r="BR84" i="2"/>
  <c r="BS84" i="2"/>
  <c r="BR82" i="2"/>
  <c r="BS82" i="2"/>
  <c r="BR80" i="2"/>
  <c r="BS80" i="2"/>
  <c r="BR78" i="2"/>
  <c r="BS78" i="2"/>
  <c r="BR76" i="2"/>
  <c r="BS76" i="2"/>
  <c r="BR74" i="2"/>
  <c r="BS74" i="2"/>
  <c r="BR72" i="2"/>
  <c r="BS72" i="2"/>
  <c r="BR70" i="2"/>
  <c r="BS70" i="2"/>
  <c r="BR68" i="2"/>
  <c r="BS68" i="2"/>
  <c r="BR66" i="2"/>
  <c r="BS66" i="2"/>
  <c r="BR64" i="2"/>
  <c r="BS64" i="2"/>
  <c r="BR62" i="2"/>
  <c r="BS62" i="2"/>
  <c r="BR60" i="2"/>
  <c r="BS60" i="2"/>
  <c r="BR58" i="2"/>
  <c r="BS58" i="2"/>
  <c r="BR56" i="2"/>
  <c r="BS56" i="2"/>
  <c r="BR54" i="2"/>
  <c r="BS54" i="2"/>
  <c r="BR52" i="2"/>
  <c r="BS52" i="2"/>
  <c r="BR50" i="2"/>
  <c r="BS50" i="2"/>
  <c r="BR48" i="2"/>
  <c r="BS48" i="2"/>
  <c r="BR46" i="2"/>
  <c r="BS46" i="2"/>
  <c r="BR44" i="2"/>
  <c r="BS44" i="2"/>
  <c r="BR42" i="2"/>
  <c r="BS42" i="2"/>
  <c r="BR40" i="2"/>
  <c r="BS40" i="2"/>
  <c r="BR38" i="2"/>
  <c r="BS38" i="2"/>
  <c r="BP173" i="2"/>
  <c r="BQ173" i="2"/>
  <c r="BP171" i="2"/>
  <c r="BQ171" i="2"/>
  <c r="BP169" i="2"/>
  <c r="BQ169" i="2"/>
  <c r="BP167" i="2"/>
  <c r="BQ167" i="2"/>
  <c r="BP165" i="2"/>
  <c r="BQ165" i="2"/>
  <c r="BP163" i="2"/>
  <c r="BQ163" i="2"/>
  <c r="BP161" i="2"/>
  <c r="BQ161" i="2"/>
  <c r="BP159" i="2"/>
  <c r="BQ159" i="2"/>
  <c r="BP157" i="2"/>
  <c r="BQ157" i="2"/>
  <c r="BP155" i="2"/>
  <c r="BQ155" i="2"/>
  <c r="BP153" i="2"/>
  <c r="BQ153" i="2"/>
  <c r="BP151" i="2"/>
  <c r="BQ151" i="2"/>
  <c r="BP149" i="2"/>
  <c r="BQ149" i="2"/>
  <c r="BP147" i="2"/>
  <c r="BQ147" i="2"/>
  <c r="BP145" i="2"/>
  <c r="BQ145" i="2"/>
  <c r="BP143" i="2"/>
  <c r="BQ143" i="2"/>
  <c r="BP141" i="2"/>
  <c r="BQ141" i="2"/>
  <c r="BP139" i="2"/>
  <c r="BQ139" i="2"/>
  <c r="BP137" i="2"/>
  <c r="BQ137" i="2"/>
  <c r="BP135" i="2"/>
  <c r="BQ135" i="2"/>
  <c r="BP133" i="2"/>
  <c r="BQ133" i="2"/>
  <c r="BP131" i="2"/>
  <c r="BQ131" i="2"/>
  <c r="BP129" i="2"/>
  <c r="BQ129" i="2"/>
  <c r="BP127" i="2"/>
  <c r="BQ127" i="2"/>
  <c r="BP125" i="2"/>
  <c r="BQ125" i="2"/>
  <c r="BP123" i="2"/>
  <c r="BQ123" i="2"/>
  <c r="BP121" i="2"/>
  <c r="BQ121" i="2"/>
  <c r="BP119" i="2"/>
  <c r="BQ119" i="2"/>
  <c r="BP117" i="2"/>
  <c r="BQ117" i="2"/>
  <c r="BP115" i="2"/>
  <c r="BQ115" i="2"/>
  <c r="BP113" i="2"/>
  <c r="BQ113" i="2"/>
  <c r="BP111" i="2"/>
  <c r="BQ111" i="2"/>
  <c r="BP109" i="2"/>
  <c r="BQ109" i="2"/>
  <c r="BP107" i="2"/>
  <c r="BQ107" i="2"/>
  <c r="BP105" i="2"/>
  <c r="BQ105" i="2"/>
  <c r="BP103" i="2"/>
  <c r="BQ103" i="2"/>
  <c r="BP101" i="2"/>
  <c r="BQ101" i="2"/>
  <c r="BP99" i="2"/>
  <c r="BQ99" i="2"/>
  <c r="BP97" i="2"/>
  <c r="BQ97" i="2"/>
  <c r="BP95" i="2"/>
  <c r="BQ95" i="2"/>
  <c r="BP93" i="2"/>
  <c r="BQ93" i="2"/>
  <c r="BP91" i="2"/>
  <c r="BQ91" i="2"/>
  <c r="BP89" i="2"/>
  <c r="BQ89" i="2"/>
  <c r="BP87" i="2"/>
  <c r="BQ87" i="2"/>
  <c r="BP85" i="2"/>
  <c r="BQ85" i="2"/>
  <c r="BP83" i="2"/>
  <c r="BQ83" i="2"/>
  <c r="BP81" i="2"/>
  <c r="BQ81" i="2"/>
  <c r="BP79" i="2"/>
  <c r="BQ79" i="2"/>
  <c r="BP77" i="2"/>
  <c r="BQ77" i="2"/>
  <c r="BP75" i="2"/>
  <c r="BQ75" i="2"/>
  <c r="BP73" i="2"/>
  <c r="BQ73" i="2"/>
  <c r="BP71" i="2"/>
  <c r="BQ71" i="2"/>
  <c r="BP69" i="2"/>
  <c r="BQ69" i="2"/>
  <c r="BP67" i="2"/>
  <c r="BQ67" i="2"/>
  <c r="BP65" i="2"/>
  <c r="BQ65" i="2"/>
  <c r="BP63" i="2"/>
  <c r="BQ63" i="2"/>
  <c r="BP61" i="2"/>
  <c r="BQ61" i="2"/>
  <c r="BP59" i="2"/>
  <c r="BQ59" i="2"/>
  <c r="BP57" i="2"/>
  <c r="BQ57" i="2"/>
  <c r="BP55" i="2"/>
  <c r="BQ55" i="2"/>
  <c r="BP53" i="2"/>
  <c r="BQ53" i="2"/>
  <c r="BP51" i="2"/>
  <c r="BQ51" i="2"/>
  <c r="BP49" i="2"/>
  <c r="BQ49" i="2"/>
  <c r="BP47" i="2"/>
  <c r="BQ47" i="2"/>
  <c r="BP45" i="2"/>
  <c r="BQ45" i="2"/>
  <c r="BP43" i="2"/>
  <c r="BQ43" i="2"/>
  <c r="BP41" i="2"/>
  <c r="BQ41" i="2"/>
  <c r="BP39" i="2"/>
  <c r="BQ39" i="2"/>
  <c r="BP37" i="2"/>
  <c r="BQ37" i="2"/>
  <c r="BP25" i="2"/>
  <c r="BQ25" i="2"/>
  <c r="BP201" i="2"/>
  <c r="BQ201" i="2"/>
  <c r="BP199" i="2"/>
  <c r="BQ199" i="2"/>
  <c r="BP197" i="2"/>
  <c r="BQ197" i="2"/>
  <c r="BP195" i="2"/>
  <c r="BQ195" i="2"/>
  <c r="BP193" i="2"/>
  <c r="BQ193" i="2"/>
  <c r="BP191" i="2"/>
  <c r="BQ191" i="2"/>
  <c r="BP189" i="2"/>
  <c r="BQ189" i="2"/>
  <c r="BP187" i="2"/>
  <c r="BQ187" i="2"/>
  <c r="BP185" i="2"/>
  <c r="BQ185" i="2"/>
  <c r="BP183" i="2"/>
  <c r="BQ183" i="2"/>
  <c r="BP181" i="2"/>
  <c r="BQ181" i="2"/>
  <c r="BP179" i="2"/>
  <c r="BQ179" i="2"/>
  <c r="BP177" i="2"/>
  <c r="BQ177" i="2"/>
  <c r="BP175" i="2"/>
  <c r="BQ175" i="2"/>
  <c r="BP200" i="2"/>
  <c r="BQ200" i="2"/>
  <c r="BP198" i="2"/>
  <c r="BQ198" i="2"/>
  <c r="BP196" i="2"/>
  <c r="BQ196" i="2"/>
  <c r="BP194" i="2"/>
  <c r="BQ194" i="2"/>
  <c r="BP192" i="2"/>
  <c r="BQ192" i="2"/>
  <c r="BP190" i="2"/>
  <c r="BQ190" i="2"/>
  <c r="BP188" i="2"/>
  <c r="BQ188" i="2"/>
  <c r="BP186" i="2"/>
  <c r="BQ186" i="2"/>
  <c r="BP184" i="2"/>
  <c r="BQ184" i="2"/>
  <c r="BP182" i="2"/>
  <c r="BQ182" i="2"/>
  <c r="BP180" i="2"/>
  <c r="BQ180" i="2"/>
  <c r="BP178" i="2"/>
  <c r="BQ178" i="2"/>
  <c r="BP176" i="2"/>
  <c r="BQ176" i="2"/>
  <c r="BP174" i="2"/>
  <c r="BQ174" i="2"/>
  <c r="BP172" i="2"/>
  <c r="BQ172" i="2"/>
  <c r="BP170" i="2"/>
  <c r="BQ170" i="2"/>
  <c r="BP168" i="2"/>
  <c r="BQ168" i="2"/>
  <c r="BP166" i="2"/>
  <c r="BQ166" i="2"/>
  <c r="BP164" i="2"/>
  <c r="BQ164" i="2"/>
  <c r="BP162" i="2"/>
  <c r="BQ162" i="2"/>
  <c r="BP160" i="2"/>
  <c r="BQ160" i="2"/>
  <c r="BP158" i="2"/>
  <c r="BQ158" i="2"/>
  <c r="BP156" i="2"/>
  <c r="BQ156" i="2"/>
  <c r="BP154" i="2"/>
  <c r="BQ154" i="2"/>
  <c r="BP152" i="2"/>
  <c r="BQ152" i="2"/>
  <c r="BP150" i="2"/>
  <c r="BQ150" i="2"/>
  <c r="BP148" i="2"/>
  <c r="BQ148" i="2"/>
  <c r="BP146" i="2"/>
  <c r="BQ146" i="2"/>
  <c r="BP144" i="2"/>
  <c r="BQ144" i="2"/>
  <c r="BP142" i="2"/>
  <c r="BQ142" i="2"/>
  <c r="BP140" i="2"/>
  <c r="BQ140" i="2"/>
  <c r="BP138" i="2"/>
  <c r="BQ138" i="2"/>
  <c r="BP136" i="2"/>
  <c r="BQ136" i="2"/>
  <c r="BP134" i="2"/>
  <c r="BQ134" i="2"/>
  <c r="BP132" i="2"/>
  <c r="BQ132" i="2"/>
  <c r="BP130" i="2"/>
  <c r="BQ130" i="2"/>
  <c r="BP128" i="2"/>
  <c r="BQ128" i="2"/>
  <c r="BP126" i="2"/>
  <c r="BQ126" i="2"/>
  <c r="BP124" i="2"/>
  <c r="BQ124" i="2"/>
  <c r="BP122" i="2"/>
  <c r="BQ122" i="2"/>
  <c r="BP120" i="2"/>
  <c r="BQ120" i="2"/>
  <c r="BP118" i="2"/>
  <c r="BQ118" i="2"/>
  <c r="BP116" i="2"/>
  <c r="BQ116" i="2"/>
  <c r="BP114" i="2"/>
  <c r="BQ114" i="2"/>
  <c r="BP112" i="2"/>
  <c r="BQ112" i="2"/>
  <c r="BP110" i="2"/>
  <c r="BQ110" i="2"/>
  <c r="BP108" i="2"/>
  <c r="BQ108" i="2"/>
  <c r="BP106" i="2"/>
  <c r="BQ106" i="2"/>
  <c r="BP104" i="2"/>
  <c r="BQ104" i="2"/>
  <c r="BP102" i="2"/>
  <c r="BQ102" i="2"/>
  <c r="BP100" i="2"/>
  <c r="BQ100" i="2"/>
  <c r="BP98" i="2"/>
  <c r="BQ98" i="2"/>
  <c r="BP96" i="2"/>
  <c r="BQ96" i="2"/>
  <c r="BP94" i="2"/>
  <c r="BQ94" i="2"/>
  <c r="BP92" i="2"/>
  <c r="BQ92" i="2"/>
  <c r="BP90" i="2"/>
  <c r="BQ90" i="2"/>
  <c r="BP88" i="2"/>
  <c r="BQ88" i="2"/>
  <c r="BP86" i="2"/>
  <c r="BQ86" i="2"/>
  <c r="BP84" i="2"/>
  <c r="BQ84" i="2"/>
  <c r="BP82" i="2"/>
  <c r="BQ82" i="2"/>
  <c r="BP80" i="2"/>
  <c r="BQ80" i="2"/>
  <c r="BP78" i="2"/>
  <c r="BQ78" i="2"/>
  <c r="BP76" i="2"/>
  <c r="BQ76" i="2"/>
  <c r="BP74" i="2"/>
  <c r="BQ74" i="2"/>
  <c r="BP72" i="2"/>
  <c r="BQ72" i="2"/>
  <c r="BP70" i="2"/>
  <c r="BQ70" i="2"/>
  <c r="BP68" i="2"/>
  <c r="BQ68" i="2"/>
  <c r="BP66" i="2"/>
  <c r="BQ66" i="2"/>
  <c r="BP64" i="2"/>
  <c r="BQ64" i="2"/>
  <c r="BP62" i="2"/>
  <c r="BQ62" i="2"/>
  <c r="BP60" i="2"/>
  <c r="BQ60" i="2"/>
  <c r="BP58" i="2"/>
  <c r="BQ58" i="2"/>
  <c r="BP56" i="2"/>
  <c r="BQ56" i="2"/>
  <c r="BP54" i="2"/>
  <c r="BQ54" i="2"/>
  <c r="BP52" i="2"/>
  <c r="BQ52" i="2"/>
  <c r="BP50" i="2"/>
  <c r="BQ50" i="2"/>
  <c r="BP48" i="2"/>
  <c r="BQ48" i="2"/>
  <c r="BP46" i="2"/>
  <c r="BQ46" i="2"/>
  <c r="BP44" i="2"/>
  <c r="BQ44" i="2"/>
  <c r="BP42" i="2"/>
  <c r="BQ42" i="2"/>
  <c r="BP40" i="2"/>
  <c r="BQ40" i="2"/>
  <c r="BP38" i="2"/>
  <c r="BQ38" i="2"/>
  <c r="AM8" i="2"/>
  <c r="AM198" i="2"/>
  <c r="AP198" i="2"/>
  <c r="AT198" i="2"/>
  <c r="AS198" i="2"/>
  <c r="IE198" i="2"/>
  <c r="AM194" i="2"/>
  <c r="AP194" i="2"/>
  <c r="AT194" i="2"/>
  <c r="AS194" i="2"/>
  <c r="IE194" i="2"/>
  <c r="AM190" i="2"/>
  <c r="AP190" i="2"/>
  <c r="AT190" i="2"/>
  <c r="AS190" i="2"/>
  <c r="IE190" i="2"/>
  <c r="AM186" i="2"/>
  <c r="AP186" i="2"/>
  <c r="AT186" i="2"/>
  <c r="AS186" i="2"/>
  <c r="IE186" i="2"/>
  <c r="AM182" i="2"/>
  <c r="AP182" i="2"/>
  <c r="AT182" i="2"/>
  <c r="AS182" i="2"/>
  <c r="IE182" i="2"/>
  <c r="AM180" i="2"/>
  <c r="AP180" i="2"/>
  <c r="AT180" i="2"/>
  <c r="AS180" i="2"/>
  <c r="IE180" i="2"/>
  <c r="AM178" i="2"/>
  <c r="AP178" i="2"/>
  <c r="AT178" i="2"/>
  <c r="AS178" i="2"/>
  <c r="IE178" i="2"/>
  <c r="AM176" i="2"/>
  <c r="AP176" i="2"/>
  <c r="AT176" i="2"/>
  <c r="AS176" i="2"/>
  <c r="IE176" i="2"/>
  <c r="AM174" i="2"/>
  <c r="AP174" i="2"/>
  <c r="AT174" i="2"/>
  <c r="AS174" i="2"/>
  <c r="IE174" i="2"/>
  <c r="AM172" i="2"/>
  <c r="AP172" i="2"/>
  <c r="AT172" i="2"/>
  <c r="AS172" i="2"/>
  <c r="IE172" i="2"/>
  <c r="AM170" i="2"/>
  <c r="AP170" i="2"/>
  <c r="AT170" i="2"/>
  <c r="AS170" i="2"/>
  <c r="IE170" i="2"/>
  <c r="AM168" i="2"/>
  <c r="AP168" i="2"/>
  <c r="AT168" i="2"/>
  <c r="AS168" i="2"/>
  <c r="IE168" i="2"/>
  <c r="AM166" i="2"/>
  <c r="AP166" i="2"/>
  <c r="AT166" i="2"/>
  <c r="AS166" i="2"/>
  <c r="IE166" i="2"/>
  <c r="AM164" i="2"/>
  <c r="AP164" i="2"/>
  <c r="AT164" i="2"/>
  <c r="AS164" i="2"/>
  <c r="IE164" i="2"/>
  <c r="AM162" i="2"/>
  <c r="AP162" i="2"/>
  <c r="AT162" i="2"/>
  <c r="AS162" i="2"/>
  <c r="IE162" i="2"/>
  <c r="AM160" i="2"/>
  <c r="AP160" i="2"/>
  <c r="AT160" i="2"/>
  <c r="AS160" i="2"/>
  <c r="IE160" i="2"/>
  <c r="AM158" i="2"/>
  <c r="AP158" i="2"/>
  <c r="AT158" i="2"/>
  <c r="AS158" i="2"/>
  <c r="IE158" i="2"/>
  <c r="AM156" i="2"/>
  <c r="AP156" i="2"/>
  <c r="AT156" i="2"/>
  <c r="AS156" i="2"/>
  <c r="IE156" i="2"/>
  <c r="AM154" i="2"/>
  <c r="AP154" i="2"/>
  <c r="AT154" i="2"/>
  <c r="AS154" i="2"/>
  <c r="IE154" i="2"/>
  <c r="AM152" i="2"/>
  <c r="AP152" i="2"/>
  <c r="AT152" i="2"/>
  <c r="AS152" i="2"/>
  <c r="IE152" i="2"/>
  <c r="AM150" i="2"/>
  <c r="AP150" i="2"/>
  <c r="AT150" i="2"/>
  <c r="AS150" i="2"/>
  <c r="IE150" i="2"/>
  <c r="AM148" i="2"/>
  <c r="AP148" i="2"/>
  <c r="AT148" i="2"/>
  <c r="AS148" i="2"/>
  <c r="IE148" i="2"/>
  <c r="AM146" i="2"/>
  <c r="AP146" i="2"/>
  <c r="AT146" i="2"/>
  <c r="AS146" i="2"/>
  <c r="IE146" i="2"/>
  <c r="AM144" i="2"/>
  <c r="AP144" i="2"/>
  <c r="AT144" i="2"/>
  <c r="AS144" i="2"/>
  <c r="IE144" i="2"/>
  <c r="AM142" i="2"/>
  <c r="AP142" i="2"/>
  <c r="AT142" i="2"/>
  <c r="AS142" i="2"/>
  <c r="IE142" i="2"/>
  <c r="AM140" i="2"/>
  <c r="AP140" i="2"/>
  <c r="AT140" i="2"/>
  <c r="AS140" i="2"/>
  <c r="IE140" i="2"/>
  <c r="AM138" i="2"/>
  <c r="AP138" i="2"/>
  <c r="AT138" i="2"/>
  <c r="AS138" i="2"/>
  <c r="IE138" i="2"/>
  <c r="AM136" i="2"/>
  <c r="AP136" i="2"/>
  <c r="AT136" i="2"/>
  <c r="AS136" i="2"/>
  <c r="IE136" i="2"/>
  <c r="AM134" i="2"/>
  <c r="AP134" i="2"/>
  <c r="AT134" i="2"/>
  <c r="AS134" i="2"/>
  <c r="IE134" i="2"/>
  <c r="AM132" i="2"/>
  <c r="AP132" i="2"/>
  <c r="AT132" i="2"/>
  <c r="AS132" i="2"/>
  <c r="IE132" i="2"/>
  <c r="AM130" i="2"/>
  <c r="AP130" i="2"/>
  <c r="AT130" i="2"/>
  <c r="AS130" i="2"/>
  <c r="IE130" i="2"/>
  <c r="AM128" i="2"/>
  <c r="AP128" i="2"/>
  <c r="AT128" i="2"/>
  <c r="AS128" i="2"/>
  <c r="IE128" i="2"/>
  <c r="AM126" i="2"/>
  <c r="AP126" i="2"/>
  <c r="AT126" i="2"/>
  <c r="AS126" i="2"/>
  <c r="IE126" i="2"/>
  <c r="AM124" i="2"/>
  <c r="AP124" i="2"/>
  <c r="AT124" i="2"/>
  <c r="AS124" i="2"/>
  <c r="IE124" i="2"/>
  <c r="AM122" i="2"/>
  <c r="AP122" i="2"/>
  <c r="AT122" i="2"/>
  <c r="AS122" i="2"/>
  <c r="IE122" i="2"/>
  <c r="AM120" i="2"/>
  <c r="AP120" i="2"/>
  <c r="AT120" i="2"/>
  <c r="AS120" i="2"/>
  <c r="IE120" i="2"/>
  <c r="AM118" i="2"/>
  <c r="AP118" i="2"/>
  <c r="AS118" i="2"/>
  <c r="AT118" i="2"/>
  <c r="IE118" i="2"/>
  <c r="AM116" i="2"/>
  <c r="AP116" i="2"/>
  <c r="AS116" i="2"/>
  <c r="AT116" i="2"/>
  <c r="IE116" i="2"/>
  <c r="AM114" i="2"/>
  <c r="AP114" i="2"/>
  <c r="AS114" i="2"/>
  <c r="AT114" i="2"/>
  <c r="IE114" i="2"/>
  <c r="AM112" i="2"/>
  <c r="AP112" i="2"/>
  <c r="AS112" i="2"/>
  <c r="AT112" i="2"/>
  <c r="IE112" i="2"/>
  <c r="AM110" i="2"/>
  <c r="AP110" i="2"/>
  <c r="AS110" i="2"/>
  <c r="AT110" i="2"/>
  <c r="IE110" i="2"/>
  <c r="AM108" i="2"/>
  <c r="AP108" i="2"/>
  <c r="AS108" i="2"/>
  <c r="AT108" i="2"/>
  <c r="IE108" i="2"/>
  <c r="AM106" i="2"/>
  <c r="AP106" i="2"/>
  <c r="AS106" i="2"/>
  <c r="AT106" i="2"/>
  <c r="IE106" i="2"/>
  <c r="AM104" i="2"/>
  <c r="AP104" i="2"/>
  <c r="AS104" i="2"/>
  <c r="AT104" i="2"/>
  <c r="IE104" i="2"/>
  <c r="AM102" i="2"/>
  <c r="AP102" i="2"/>
  <c r="AS102" i="2"/>
  <c r="AT102" i="2"/>
  <c r="IE102" i="2"/>
  <c r="AM100" i="2"/>
  <c r="AP100" i="2"/>
  <c r="AS100" i="2"/>
  <c r="AT100" i="2"/>
  <c r="IE100" i="2"/>
  <c r="AM98" i="2"/>
  <c r="AP98" i="2"/>
  <c r="AS98" i="2"/>
  <c r="AT98" i="2"/>
  <c r="IE98" i="2"/>
  <c r="AM96" i="2"/>
  <c r="AP96" i="2"/>
  <c r="AS96" i="2"/>
  <c r="AT96" i="2"/>
  <c r="IE96" i="2"/>
  <c r="AM94" i="2"/>
  <c r="AP94" i="2"/>
  <c r="AS94" i="2"/>
  <c r="AT94" i="2"/>
  <c r="IE94" i="2"/>
  <c r="AM92" i="2"/>
  <c r="AP92" i="2"/>
  <c r="AS92" i="2"/>
  <c r="AT92" i="2"/>
  <c r="IE92" i="2"/>
  <c r="AM90" i="2"/>
  <c r="AP90" i="2"/>
  <c r="AS90" i="2"/>
  <c r="AT90" i="2"/>
  <c r="IE90" i="2"/>
  <c r="AM88" i="2"/>
  <c r="AP88" i="2"/>
  <c r="AS88" i="2"/>
  <c r="AT88" i="2"/>
  <c r="IE88" i="2"/>
  <c r="AM86" i="2"/>
  <c r="AP86" i="2"/>
  <c r="AS86" i="2"/>
  <c r="AT86" i="2"/>
  <c r="IE86" i="2"/>
  <c r="AM84" i="2"/>
  <c r="AP84" i="2"/>
  <c r="AS84" i="2"/>
  <c r="AT84" i="2"/>
  <c r="IE84" i="2"/>
  <c r="AM82" i="2"/>
  <c r="AP82" i="2"/>
  <c r="AS82" i="2"/>
  <c r="AT82" i="2"/>
  <c r="IE82" i="2"/>
  <c r="AM80" i="2"/>
  <c r="AP80" i="2"/>
  <c r="AS80" i="2"/>
  <c r="AT80" i="2"/>
  <c r="IE80" i="2"/>
  <c r="AM78" i="2"/>
  <c r="AP78" i="2"/>
  <c r="AS78" i="2"/>
  <c r="AT78" i="2"/>
  <c r="IE78" i="2"/>
  <c r="AM76" i="2"/>
  <c r="AP76" i="2"/>
  <c r="AS76" i="2"/>
  <c r="AT76" i="2"/>
  <c r="IE76" i="2"/>
  <c r="AM74" i="2"/>
  <c r="AP74" i="2"/>
  <c r="AS74" i="2"/>
  <c r="AT74" i="2"/>
  <c r="IE74" i="2"/>
  <c r="AM72" i="2"/>
  <c r="AP72" i="2"/>
  <c r="AS72" i="2"/>
  <c r="AT72" i="2"/>
  <c r="IE72" i="2"/>
  <c r="AM70" i="2"/>
  <c r="AP70" i="2"/>
  <c r="AS70" i="2"/>
  <c r="AT70" i="2"/>
  <c r="IE70" i="2"/>
  <c r="AM68" i="2"/>
  <c r="AP68" i="2"/>
  <c r="AS68" i="2"/>
  <c r="AT68" i="2"/>
  <c r="IE68" i="2"/>
  <c r="AM66" i="2"/>
  <c r="AP66" i="2"/>
  <c r="AS66" i="2"/>
  <c r="AT66" i="2"/>
  <c r="IE66" i="2"/>
  <c r="AM64" i="2"/>
  <c r="AP64" i="2"/>
  <c r="AS64" i="2"/>
  <c r="AT64" i="2"/>
  <c r="IE64" i="2"/>
  <c r="AM62" i="2"/>
  <c r="AP62" i="2"/>
  <c r="AS62" i="2"/>
  <c r="AT62" i="2"/>
  <c r="IE62" i="2"/>
  <c r="AM60" i="2"/>
  <c r="AP60" i="2"/>
  <c r="AS60" i="2"/>
  <c r="AT60" i="2"/>
  <c r="IE60" i="2"/>
  <c r="AM58" i="2"/>
  <c r="AP58" i="2"/>
  <c r="AS58" i="2"/>
  <c r="AT58" i="2"/>
  <c r="IE58" i="2"/>
  <c r="AM56" i="2"/>
  <c r="AP56" i="2"/>
  <c r="AS56" i="2"/>
  <c r="AT56" i="2"/>
  <c r="IE56" i="2"/>
  <c r="AM54" i="2"/>
  <c r="AP54" i="2"/>
  <c r="AS54" i="2"/>
  <c r="AT54" i="2"/>
  <c r="IE54" i="2"/>
  <c r="AM52" i="2"/>
  <c r="AP52" i="2"/>
  <c r="AS52" i="2"/>
  <c r="AT52" i="2"/>
  <c r="IE52" i="2"/>
  <c r="AM50" i="2"/>
  <c r="AP50" i="2"/>
  <c r="AS50" i="2"/>
  <c r="AT50" i="2"/>
  <c r="IE50" i="2"/>
  <c r="AM48" i="2"/>
  <c r="AP48" i="2"/>
  <c r="AS48" i="2"/>
  <c r="AT48" i="2"/>
  <c r="IE48" i="2"/>
  <c r="AM46" i="2"/>
  <c r="AP46" i="2"/>
  <c r="AS46" i="2"/>
  <c r="AT46" i="2"/>
  <c r="IE46" i="2"/>
  <c r="AM44" i="2"/>
  <c r="AP44" i="2"/>
  <c r="AS44" i="2"/>
  <c r="AT44" i="2"/>
  <c r="IE44" i="2"/>
  <c r="AP42" i="2"/>
  <c r="AP40" i="2"/>
  <c r="AP38" i="2"/>
  <c r="AM36" i="2"/>
  <c r="AM34" i="2"/>
  <c r="AM32" i="2"/>
  <c r="AM30" i="2"/>
  <c r="AM28" i="2"/>
  <c r="AM26" i="2"/>
  <c r="AM24" i="2"/>
  <c r="AM22" i="2"/>
  <c r="AM20" i="2"/>
  <c r="AM18" i="2"/>
  <c r="AM16" i="2"/>
  <c r="AM14" i="2"/>
  <c r="AM12" i="2"/>
  <c r="AM10" i="2"/>
  <c r="AM7" i="2"/>
  <c r="AM5" i="2"/>
  <c r="AM3" i="2"/>
  <c r="AM200" i="2"/>
  <c r="AP200" i="2"/>
  <c r="AT200" i="2"/>
  <c r="AS200" i="2"/>
  <c r="IE200" i="2"/>
  <c r="AM196" i="2"/>
  <c r="AP196" i="2"/>
  <c r="AT196" i="2"/>
  <c r="AS196" i="2"/>
  <c r="IE196" i="2"/>
  <c r="AM192" i="2"/>
  <c r="AP192" i="2"/>
  <c r="AT192" i="2"/>
  <c r="AS192" i="2"/>
  <c r="IE192" i="2"/>
  <c r="AM188" i="2"/>
  <c r="AP188" i="2"/>
  <c r="AT188" i="2"/>
  <c r="AS188" i="2"/>
  <c r="IE188" i="2"/>
  <c r="AM184" i="2"/>
  <c r="AP184" i="2"/>
  <c r="AT184" i="2"/>
  <c r="AS184" i="2"/>
  <c r="IE184" i="2"/>
  <c r="AM201" i="2"/>
  <c r="AT201" i="2"/>
  <c r="AS201" i="2"/>
  <c r="AP201" i="2"/>
  <c r="IE201" i="2"/>
  <c r="AM199" i="2"/>
  <c r="AT199" i="2"/>
  <c r="AP199" i="2"/>
  <c r="AS199" i="2"/>
  <c r="IE199" i="2"/>
  <c r="AM197" i="2"/>
  <c r="AT197" i="2"/>
  <c r="AS197" i="2"/>
  <c r="AP197" i="2"/>
  <c r="IE197" i="2"/>
  <c r="AM195" i="2"/>
  <c r="AT195" i="2"/>
  <c r="AP195" i="2"/>
  <c r="AS195" i="2"/>
  <c r="IE195" i="2"/>
  <c r="AM193" i="2"/>
  <c r="AT193" i="2"/>
  <c r="AS193" i="2"/>
  <c r="AP193" i="2"/>
  <c r="IE193" i="2"/>
  <c r="AM191" i="2"/>
  <c r="AT191" i="2"/>
  <c r="AP191" i="2"/>
  <c r="AS191" i="2"/>
  <c r="IE191" i="2"/>
  <c r="AM189" i="2"/>
  <c r="AT189" i="2"/>
  <c r="AS189" i="2"/>
  <c r="AP189" i="2"/>
  <c r="IE189" i="2"/>
  <c r="AM187" i="2"/>
  <c r="AT187" i="2"/>
  <c r="AP187" i="2"/>
  <c r="AS187" i="2"/>
  <c r="IE187" i="2"/>
  <c r="AM185" i="2"/>
  <c r="AT185" i="2"/>
  <c r="AS185" i="2"/>
  <c r="AP185" i="2"/>
  <c r="IE185" i="2"/>
  <c r="AM183" i="2"/>
  <c r="AT183" i="2"/>
  <c r="AP183" i="2"/>
  <c r="AS183" i="2"/>
  <c r="IE183" i="2"/>
  <c r="AM181" i="2"/>
  <c r="AT181" i="2"/>
  <c r="AS181" i="2"/>
  <c r="AP181" i="2"/>
  <c r="IE181" i="2"/>
  <c r="AM179" i="2"/>
  <c r="AT179" i="2"/>
  <c r="AP179" i="2"/>
  <c r="AS179" i="2"/>
  <c r="IE179" i="2"/>
  <c r="AM177" i="2"/>
  <c r="AT177" i="2"/>
  <c r="AS177" i="2"/>
  <c r="AP177" i="2"/>
  <c r="IE177" i="2"/>
  <c r="AM175" i="2"/>
  <c r="AT175" i="2"/>
  <c r="AP175" i="2"/>
  <c r="AS175" i="2"/>
  <c r="IE175" i="2"/>
  <c r="AM173" i="2"/>
  <c r="AT173" i="2"/>
  <c r="AS173" i="2"/>
  <c r="AP173" i="2"/>
  <c r="IE173" i="2"/>
  <c r="AM171" i="2"/>
  <c r="AT171" i="2"/>
  <c r="AP171" i="2"/>
  <c r="AS171" i="2"/>
  <c r="IE171" i="2"/>
  <c r="AM169" i="2"/>
  <c r="AT169" i="2"/>
  <c r="AS169" i="2"/>
  <c r="AP169" i="2"/>
  <c r="IE169" i="2"/>
  <c r="AM167" i="2"/>
  <c r="AT167" i="2"/>
  <c r="AP167" i="2"/>
  <c r="AS167" i="2"/>
  <c r="IE167" i="2"/>
  <c r="AM165" i="2"/>
  <c r="AT165" i="2"/>
  <c r="AS165" i="2"/>
  <c r="AP165" i="2"/>
  <c r="IE165" i="2"/>
  <c r="AM163" i="2"/>
  <c r="AT163" i="2"/>
  <c r="AP163" i="2"/>
  <c r="AS163" i="2"/>
  <c r="IE163" i="2"/>
  <c r="AM161" i="2"/>
  <c r="AT161" i="2"/>
  <c r="AS161" i="2"/>
  <c r="AP161" i="2"/>
  <c r="IE161" i="2"/>
  <c r="AM159" i="2"/>
  <c r="AT159" i="2"/>
  <c r="AP159" i="2"/>
  <c r="AS159" i="2"/>
  <c r="IE159" i="2"/>
  <c r="AM157" i="2"/>
  <c r="AT157" i="2"/>
  <c r="AS157" i="2"/>
  <c r="AP157" i="2"/>
  <c r="IE157" i="2"/>
  <c r="AM155" i="2"/>
  <c r="AT155" i="2"/>
  <c r="AP155" i="2"/>
  <c r="AS155" i="2"/>
  <c r="IE155" i="2"/>
  <c r="AM153" i="2"/>
  <c r="AT153" i="2"/>
  <c r="AS153" i="2"/>
  <c r="AP153" i="2"/>
  <c r="IE153" i="2"/>
  <c r="AM151" i="2"/>
  <c r="AT151" i="2"/>
  <c r="AP151" i="2"/>
  <c r="AS151" i="2"/>
  <c r="IE151" i="2"/>
  <c r="AM149" i="2"/>
  <c r="AT149" i="2"/>
  <c r="AS149" i="2"/>
  <c r="AP149" i="2"/>
  <c r="IE149" i="2"/>
  <c r="AM147" i="2"/>
  <c r="AT147" i="2"/>
  <c r="AP147" i="2"/>
  <c r="AS147" i="2"/>
  <c r="IE147" i="2"/>
  <c r="AM145" i="2"/>
  <c r="AT145" i="2"/>
  <c r="AS145" i="2"/>
  <c r="AP145" i="2"/>
  <c r="IE145" i="2"/>
  <c r="AM143" i="2"/>
  <c r="AT143" i="2"/>
  <c r="AP143" i="2"/>
  <c r="AS143" i="2"/>
  <c r="IE143" i="2"/>
  <c r="AM141" i="2"/>
  <c r="AT141" i="2"/>
  <c r="AS141" i="2"/>
  <c r="AP141" i="2"/>
  <c r="IE141" i="2"/>
  <c r="AM139" i="2"/>
  <c r="AT139" i="2"/>
  <c r="AP139" i="2"/>
  <c r="AS139" i="2"/>
  <c r="IE139" i="2"/>
  <c r="AM137" i="2"/>
  <c r="AT137" i="2"/>
  <c r="AS137" i="2"/>
  <c r="AP137" i="2"/>
  <c r="IE137" i="2"/>
  <c r="AM135" i="2"/>
  <c r="AT135" i="2"/>
  <c r="AP135" i="2"/>
  <c r="AS135" i="2"/>
  <c r="IE135" i="2"/>
  <c r="AM133" i="2"/>
  <c r="AT133" i="2"/>
  <c r="AS133" i="2"/>
  <c r="AP133" i="2"/>
  <c r="IE133" i="2"/>
  <c r="AM131" i="2"/>
  <c r="AT131" i="2"/>
  <c r="AP131" i="2"/>
  <c r="AS131" i="2"/>
  <c r="IE131" i="2"/>
  <c r="AM129" i="2"/>
  <c r="AT129" i="2"/>
  <c r="AS129" i="2"/>
  <c r="AP129" i="2"/>
  <c r="IE129" i="2"/>
  <c r="AM127" i="2"/>
  <c r="AT127" i="2"/>
  <c r="AP127" i="2"/>
  <c r="AS127" i="2"/>
  <c r="IE127" i="2"/>
  <c r="AM125" i="2"/>
  <c r="AT125" i="2"/>
  <c r="AS125" i="2"/>
  <c r="AP125" i="2"/>
  <c r="IE125" i="2"/>
  <c r="AM123" i="2"/>
  <c r="AT123" i="2"/>
  <c r="AP123" i="2"/>
  <c r="AS123" i="2"/>
  <c r="IE123" i="2"/>
  <c r="AM121" i="2"/>
  <c r="AT121" i="2"/>
  <c r="AS121" i="2"/>
  <c r="AP121" i="2"/>
  <c r="IE121" i="2"/>
  <c r="AM119" i="2"/>
  <c r="AT119" i="2"/>
  <c r="AP119" i="2"/>
  <c r="AS119" i="2"/>
  <c r="IE119" i="2"/>
  <c r="AM117" i="2"/>
  <c r="AT117" i="2"/>
  <c r="AP117" i="2"/>
  <c r="AS117" i="2"/>
  <c r="IE117" i="2"/>
  <c r="AM115" i="2"/>
  <c r="AT115" i="2"/>
  <c r="AP115" i="2"/>
  <c r="AS115" i="2"/>
  <c r="IE115" i="2"/>
  <c r="AM113" i="2"/>
  <c r="AT113" i="2"/>
  <c r="AP113" i="2"/>
  <c r="AS113" i="2"/>
  <c r="IE113" i="2"/>
  <c r="AM111" i="2"/>
  <c r="AT111" i="2"/>
  <c r="AP111" i="2"/>
  <c r="AS111" i="2"/>
  <c r="IE111" i="2"/>
  <c r="AM109" i="2"/>
  <c r="AT109" i="2"/>
  <c r="AP109" i="2"/>
  <c r="AS109" i="2"/>
  <c r="IE109" i="2"/>
  <c r="AM107" i="2"/>
  <c r="AT107" i="2"/>
  <c r="AP107" i="2"/>
  <c r="AS107" i="2"/>
  <c r="IE107" i="2"/>
  <c r="AM105" i="2"/>
  <c r="AT105" i="2"/>
  <c r="AP105" i="2"/>
  <c r="AS105" i="2"/>
  <c r="IE105" i="2"/>
  <c r="AM103" i="2"/>
  <c r="AT103" i="2"/>
  <c r="AP103" i="2"/>
  <c r="AS103" i="2"/>
  <c r="IE103" i="2"/>
  <c r="AM101" i="2"/>
  <c r="AT101" i="2"/>
  <c r="AP101" i="2"/>
  <c r="AS101" i="2"/>
  <c r="IE101" i="2"/>
  <c r="AM99" i="2"/>
  <c r="AT99" i="2"/>
  <c r="AP99" i="2"/>
  <c r="AS99" i="2"/>
  <c r="IE99" i="2"/>
  <c r="AM97" i="2"/>
  <c r="AT97" i="2"/>
  <c r="AP97" i="2"/>
  <c r="AS97" i="2"/>
  <c r="IE97" i="2"/>
  <c r="AM95" i="2"/>
  <c r="AT95" i="2"/>
  <c r="AP95" i="2"/>
  <c r="AS95" i="2"/>
  <c r="IE95" i="2"/>
  <c r="AM93" i="2"/>
  <c r="AT93" i="2"/>
  <c r="AP93" i="2"/>
  <c r="AS93" i="2"/>
  <c r="IE93" i="2"/>
  <c r="AM91" i="2"/>
  <c r="AT91" i="2"/>
  <c r="AP91" i="2"/>
  <c r="AS91" i="2"/>
  <c r="IE91" i="2"/>
  <c r="AM89" i="2"/>
  <c r="AT89" i="2"/>
  <c r="AP89" i="2"/>
  <c r="AS89" i="2"/>
  <c r="IE89" i="2"/>
  <c r="AM87" i="2"/>
  <c r="AT87" i="2"/>
  <c r="AP87" i="2"/>
  <c r="AS87" i="2"/>
  <c r="IE87" i="2"/>
  <c r="AM85" i="2"/>
  <c r="AT85" i="2"/>
  <c r="AP85" i="2"/>
  <c r="AS85" i="2"/>
  <c r="IE85" i="2"/>
  <c r="AM83" i="2"/>
  <c r="AT83" i="2"/>
  <c r="AP83" i="2"/>
  <c r="AS83" i="2"/>
  <c r="IE83" i="2"/>
  <c r="AM81" i="2"/>
  <c r="AT81" i="2"/>
  <c r="AP81" i="2"/>
  <c r="AS81" i="2"/>
  <c r="IE81" i="2"/>
  <c r="AM79" i="2"/>
  <c r="AT79" i="2"/>
  <c r="AP79" i="2"/>
  <c r="AS79" i="2"/>
  <c r="IE79" i="2"/>
  <c r="AM77" i="2"/>
  <c r="AT77" i="2"/>
  <c r="AP77" i="2"/>
  <c r="AS77" i="2"/>
  <c r="IE77" i="2"/>
  <c r="AM75" i="2"/>
  <c r="AT75" i="2"/>
  <c r="AP75" i="2"/>
  <c r="AS75" i="2"/>
  <c r="IE75" i="2"/>
  <c r="AM73" i="2"/>
  <c r="AT73" i="2"/>
  <c r="AP73" i="2"/>
  <c r="AS73" i="2"/>
  <c r="IE73" i="2"/>
  <c r="AM71" i="2"/>
  <c r="AT71" i="2"/>
  <c r="AP71" i="2"/>
  <c r="AS71" i="2"/>
  <c r="IE71" i="2"/>
  <c r="AM69" i="2"/>
  <c r="AT69" i="2"/>
  <c r="AP69" i="2"/>
  <c r="AS69" i="2"/>
  <c r="IE69" i="2"/>
  <c r="AM67" i="2"/>
  <c r="AT67" i="2"/>
  <c r="AP67" i="2"/>
  <c r="AS67" i="2"/>
  <c r="IE67" i="2"/>
  <c r="AM65" i="2"/>
  <c r="AT65" i="2"/>
  <c r="AP65" i="2"/>
  <c r="AS65" i="2"/>
  <c r="IE65" i="2"/>
  <c r="AM63" i="2"/>
  <c r="AT63" i="2"/>
  <c r="AP63" i="2"/>
  <c r="AS63" i="2"/>
  <c r="IE63" i="2"/>
  <c r="AM61" i="2"/>
  <c r="AT61" i="2"/>
  <c r="AP61" i="2"/>
  <c r="AS61" i="2"/>
  <c r="IE61" i="2"/>
  <c r="AM59" i="2"/>
  <c r="AP59" i="2"/>
  <c r="AT59" i="2"/>
  <c r="AS59" i="2"/>
  <c r="IE59" i="2"/>
  <c r="AM57" i="2"/>
  <c r="AP57" i="2"/>
  <c r="AT57" i="2"/>
  <c r="AS57" i="2"/>
  <c r="IE57" i="2"/>
  <c r="AM55" i="2"/>
  <c r="AP55" i="2"/>
  <c r="AT55" i="2"/>
  <c r="AS55" i="2"/>
  <c r="IE55" i="2"/>
  <c r="AM53" i="2"/>
  <c r="AP53" i="2"/>
  <c r="AT53" i="2"/>
  <c r="AS53" i="2"/>
  <c r="IE53" i="2"/>
  <c r="AM51" i="2"/>
  <c r="AP51" i="2"/>
  <c r="AT51" i="2"/>
  <c r="AS51" i="2"/>
  <c r="IE51" i="2"/>
  <c r="AM49" i="2"/>
  <c r="AP49" i="2"/>
  <c r="AT49" i="2"/>
  <c r="AS49" i="2"/>
  <c r="IE49" i="2"/>
  <c r="AM47" i="2"/>
  <c r="AP47" i="2"/>
  <c r="AT47" i="2"/>
  <c r="AS47" i="2"/>
  <c r="IE47" i="2"/>
  <c r="AM45" i="2"/>
  <c r="AP45" i="2"/>
  <c r="AT45" i="2"/>
  <c r="AS45" i="2"/>
  <c r="IE45" i="2"/>
  <c r="AP43" i="2"/>
  <c r="AP41" i="2"/>
  <c r="AP39" i="2"/>
  <c r="AM37" i="2"/>
  <c r="AP37" i="2"/>
  <c r="AT37" i="2"/>
  <c r="AS37" i="2"/>
  <c r="IE37" i="2"/>
  <c r="AM35" i="2"/>
  <c r="AM33" i="2"/>
  <c r="AM31" i="2"/>
  <c r="AM29" i="2"/>
  <c r="AM27" i="2"/>
  <c r="AM25" i="2"/>
  <c r="AP25" i="2"/>
  <c r="AS25" i="2"/>
  <c r="AT25" i="2"/>
  <c r="IE25" i="2"/>
  <c r="AM23" i="2"/>
  <c r="AM21" i="2"/>
  <c r="AM19" i="2"/>
  <c r="AM17" i="2"/>
  <c r="AM13" i="2"/>
  <c r="AM11" i="2"/>
  <c r="AM9" i="2"/>
  <c r="AM6" i="2"/>
  <c r="AM4" i="2"/>
  <c r="AM2" i="2"/>
  <c r="AM43" i="2"/>
  <c r="AM42" i="2"/>
  <c r="AM41" i="2"/>
  <c r="AM40" i="2"/>
  <c r="AM39" i="2"/>
  <c r="AM38" i="2"/>
  <c r="D77" i="10"/>
  <c r="D73" i="10"/>
  <c r="D69" i="10"/>
  <c r="D65" i="10"/>
  <c r="D61" i="10"/>
  <c r="D57" i="10"/>
  <c r="AL200" i="2"/>
  <c r="FZ200" i="2"/>
  <c r="AG200" i="8"/>
  <c r="AH200" i="8"/>
  <c r="AI200" i="8"/>
  <c r="IC200" i="2"/>
  <c r="ID200" i="2"/>
  <c r="V200" i="8"/>
  <c r="JI200" i="2"/>
  <c r="JJ200" i="2"/>
  <c r="GE200" i="2"/>
  <c r="CF200" i="2"/>
  <c r="AC200" i="2"/>
  <c r="GD200" i="2"/>
  <c r="CE200" i="2"/>
  <c r="AE200" i="2"/>
  <c r="CH200" i="2"/>
  <c r="W200" i="2"/>
  <c r="AD200" i="2"/>
  <c r="Q200" i="2"/>
  <c r="X200" i="2"/>
  <c r="R200" i="2"/>
  <c r="L200" i="2"/>
  <c r="FC200" i="2"/>
  <c r="FB200" i="2"/>
  <c r="DN200" i="2"/>
  <c r="CZ200" i="2"/>
  <c r="DA200" i="2"/>
  <c r="DL200" i="2"/>
  <c r="DM200" i="2"/>
  <c r="AJ200" i="2"/>
  <c r="AK200" i="2"/>
  <c r="AN200" i="2"/>
  <c r="AW200" i="2"/>
  <c r="JA200" i="2"/>
  <c r="IO200" i="2"/>
  <c r="D200" i="8"/>
  <c r="AT200" i="8"/>
  <c r="BE200" i="8"/>
  <c r="BF200" i="8"/>
  <c r="IX200" i="2"/>
  <c r="HT200" i="2"/>
  <c r="HU200" i="2"/>
  <c r="IN200" i="2"/>
  <c r="HP200" i="2"/>
  <c r="HQ200" i="2"/>
  <c r="CQ200" i="2"/>
  <c r="HR200" i="2"/>
  <c r="HL200" i="2"/>
  <c r="IZ200" i="2"/>
  <c r="HS200" i="2"/>
  <c r="HM200" i="2"/>
  <c r="BG200" i="2"/>
  <c r="AL199" i="2"/>
  <c r="FZ199" i="2"/>
  <c r="AG199" i="8"/>
  <c r="V199" i="8"/>
  <c r="JI199" i="2"/>
  <c r="JJ199" i="2"/>
  <c r="IC199" i="2"/>
  <c r="AH199" i="8"/>
  <c r="AI199" i="8"/>
  <c r="ID199" i="2"/>
  <c r="AC199" i="2"/>
  <c r="GD199" i="2"/>
  <c r="CH199" i="2"/>
  <c r="AD199" i="2"/>
  <c r="CE199" i="2"/>
  <c r="CF199" i="2"/>
  <c r="AE199" i="2"/>
  <c r="GE199" i="2"/>
  <c r="W199" i="2"/>
  <c r="X199" i="2"/>
  <c r="Q199" i="2"/>
  <c r="R199" i="2"/>
  <c r="L199" i="2"/>
  <c r="FB199" i="2"/>
  <c r="FC199" i="2"/>
  <c r="DL199" i="2"/>
  <c r="DM199" i="2"/>
  <c r="DN199" i="2"/>
  <c r="CZ199" i="2"/>
  <c r="DA199" i="2"/>
  <c r="AN199" i="2"/>
  <c r="AW199" i="2"/>
  <c r="AJ199" i="2"/>
  <c r="AK199" i="2"/>
  <c r="JA199" i="2"/>
  <c r="IO199" i="2"/>
  <c r="D199" i="8"/>
  <c r="AT199" i="8"/>
  <c r="BF199" i="8"/>
  <c r="IX199" i="2"/>
  <c r="BE199" i="8"/>
  <c r="HT199" i="2"/>
  <c r="HU199" i="2"/>
  <c r="HP199" i="2"/>
  <c r="HL199" i="2"/>
  <c r="CQ199" i="2"/>
  <c r="BG199" i="2"/>
  <c r="IN199" i="2"/>
  <c r="HQ199" i="2"/>
  <c r="HM199" i="2"/>
  <c r="IZ199" i="2"/>
  <c r="HR199" i="2"/>
  <c r="HS199" i="2"/>
  <c r="AL195" i="2"/>
  <c r="FZ195" i="2"/>
  <c r="V195" i="8"/>
  <c r="AG195" i="8"/>
  <c r="AH195" i="8"/>
  <c r="AI195" i="8"/>
  <c r="JI195" i="2"/>
  <c r="JJ195" i="2"/>
  <c r="IC195" i="2"/>
  <c r="ID195" i="2"/>
  <c r="AC195" i="2"/>
  <c r="GD195" i="2"/>
  <c r="CH195" i="2"/>
  <c r="AD195" i="2"/>
  <c r="CE195" i="2"/>
  <c r="CF195" i="2"/>
  <c r="W195" i="2"/>
  <c r="X195" i="2"/>
  <c r="Q195" i="2"/>
  <c r="GE195" i="2"/>
  <c r="AE195" i="2"/>
  <c r="R195" i="2"/>
  <c r="L195" i="2"/>
  <c r="FB195" i="2"/>
  <c r="FC195" i="2"/>
  <c r="DL195" i="2"/>
  <c r="DM195" i="2"/>
  <c r="DN195" i="2"/>
  <c r="CZ195" i="2"/>
  <c r="DA195" i="2"/>
  <c r="AN195" i="2"/>
  <c r="AW195" i="2"/>
  <c r="AJ195" i="2"/>
  <c r="AK195" i="2"/>
  <c r="JA195" i="2"/>
  <c r="IO195" i="2"/>
  <c r="D195" i="8"/>
  <c r="AT195" i="8"/>
  <c r="BF195" i="8"/>
  <c r="IX195" i="2"/>
  <c r="BE195" i="8"/>
  <c r="HT195" i="2"/>
  <c r="HU195" i="2"/>
  <c r="HP195" i="2"/>
  <c r="HL195" i="2"/>
  <c r="CQ195" i="2"/>
  <c r="BG195" i="2"/>
  <c r="IN195" i="2"/>
  <c r="HQ195" i="2"/>
  <c r="HM195" i="2"/>
  <c r="IZ195" i="2"/>
  <c r="HR195" i="2"/>
  <c r="HS195" i="2"/>
  <c r="AL191" i="2"/>
  <c r="FZ191" i="2"/>
  <c r="V191" i="8"/>
  <c r="AG191" i="8"/>
  <c r="JI191" i="2"/>
  <c r="JJ191" i="2"/>
  <c r="IC191" i="2"/>
  <c r="AC191" i="2"/>
  <c r="GD191" i="2"/>
  <c r="CH191" i="2"/>
  <c r="AD191" i="2"/>
  <c r="AH191" i="8"/>
  <c r="ID191" i="2"/>
  <c r="AI191" i="8"/>
  <c r="GE191" i="2"/>
  <c r="AE191" i="2"/>
  <c r="CE191" i="2"/>
  <c r="W191" i="2"/>
  <c r="X191" i="2"/>
  <c r="Q191" i="2"/>
  <c r="CF191" i="2"/>
  <c r="R191" i="2"/>
  <c r="L191" i="2"/>
  <c r="FB191" i="2"/>
  <c r="FC191" i="2"/>
  <c r="DL191" i="2"/>
  <c r="DM191" i="2"/>
  <c r="DN191" i="2"/>
  <c r="CZ191" i="2"/>
  <c r="DA191" i="2"/>
  <c r="AN191" i="2"/>
  <c r="AW191" i="2"/>
  <c r="AJ191" i="2"/>
  <c r="AK191" i="2"/>
  <c r="JA191" i="2"/>
  <c r="IO191" i="2"/>
  <c r="D191" i="8"/>
  <c r="AT191" i="8"/>
  <c r="BF191" i="8"/>
  <c r="IX191" i="2"/>
  <c r="BE191" i="8"/>
  <c r="HT191" i="2"/>
  <c r="HU191" i="2"/>
  <c r="HP191" i="2"/>
  <c r="HL191" i="2"/>
  <c r="CQ191" i="2"/>
  <c r="BG191" i="2"/>
  <c r="IN191" i="2"/>
  <c r="HQ191" i="2"/>
  <c r="HM191" i="2"/>
  <c r="IZ191" i="2"/>
  <c r="HR191" i="2"/>
  <c r="HS191" i="2"/>
  <c r="AL187" i="2"/>
  <c r="FZ187" i="2"/>
  <c r="V187" i="8"/>
  <c r="AG187" i="8"/>
  <c r="AH187" i="8"/>
  <c r="AI187" i="8"/>
  <c r="JI187" i="2"/>
  <c r="JJ187" i="2"/>
  <c r="IC187" i="2"/>
  <c r="ID187" i="2"/>
  <c r="CH187" i="2"/>
  <c r="AC187" i="2"/>
  <c r="GD187" i="2"/>
  <c r="CE187" i="2"/>
  <c r="AD187" i="2"/>
  <c r="CF187" i="2"/>
  <c r="GE187" i="2"/>
  <c r="W187" i="2"/>
  <c r="AE187" i="2"/>
  <c r="X187" i="2"/>
  <c r="Q187" i="2"/>
  <c r="R187" i="2"/>
  <c r="L187" i="2"/>
  <c r="FB187" i="2"/>
  <c r="FC187" i="2"/>
  <c r="DL187" i="2"/>
  <c r="DM187" i="2"/>
  <c r="DN187" i="2"/>
  <c r="CZ187" i="2"/>
  <c r="DA187" i="2"/>
  <c r="AN187" i="2"/>
  <c r="AW187" i="2"/>
  <c r="AJ187" i="2"/>
  <c r="AK187" i="2"/>
  <c r="JA187" i="2"/>
  <c r="IO187" i="2"/>
  <c r="D187" i="8"/>
  <c r="AT187" i="8"/>
  <c r="BF187" i="8"/>
  <c r="IX187" i="2"/>
  <c r="BE187" i="8"/>
  <c r="HT187" i="2"/>
  <c r="HU187" i="2"/>
  <c r="HP187" i="2"/>
  <c r="HL187" i="2"/>
  <c r="CQ187" i="2"/>
  <c r="BG187" i="2"/>
  <c r="IN187" i="2"/>
  <c r="HQ187" i="2"/>
  <c r="HM187" i="2"/>
  <c r="IZ187" i="2"/>
  <c r="HR187" i="2"/>
  <c r="HS187" i="2"/>
  <c r="AL183" i="2"/>
  <c r="FZ183" i="2"/>
  <c r="V183" i="8"/>
  <c r="AG183" i="8"/>
  <c r="JI183" i="2"/>
  <c r="JJ183" i="2"/>
  <c r="IC183" i="2"/>
  <c r="AH183" i="8"/>
  <c r="AI183" i="8"/>
  <c r="ID183" i="2"/>
  <c r="CE183" i="2"/>
  <c r="AC183" i="2"/>
  <c r="GD183" i="2"/>
  <c r="CF183" i="2"/>
  <c r="AD183" i="2"/>
  <c r="CH183" i="2"/>
  <c r="AE183" i="2"/>
  <c r="GE183" i="2"/>
  <c r="W183" i="2"/>
  <c r="X183" i="2"/>
  <c r="Q183" i="2"/>
  <c r="R183" i="2"/>
  <c r="L183" i="2"/>
  <c r="FB183" i="2"/>
  <c r="FC183" i="2"/>
  <c r="DL183" i="2"/>
  <c r="DM183" i="2"/>
  <c r="DN183" i="2"/>
  <c r="CZ183" i="2"/>
  <c r="DA183" i="2"/>
  <c r="AN183" i="2"/>
  <c r="AW183" i="2"/>
  <c r="AJ183" i="2"/>
  <c r="AK183" i="2"/>
  <c r="JA183" i="2"/>
  <c r="IO183" i="2"/>
  <c r="D183" i="8"/>
  <c r="AT183" i="8"/>
  <c r="BF183" i="8"/>
  <c r="IX183" i="2"/>
  <c r="BE183" i="8"/>
  <c r="HT183" i="2"/>
  <c r="HU183" i="2"/>
  <c r="HP183" i="2"/>
  <c r="HL183" i="2"/>
  <c r="CQ183" i="2"/>
  <c r="BG183" i="2"/>
  <c r="IN183" i="2"/>
  <c r="HQ183" i="2"/>
  <c r="HM183" i="2"/>
  <c r="IZ183" i="2"/>
  <c r="HR183" i="2"/>
  <c r="HS183" i="2"/>
  <c r="AL179" i="2"/>
  <c r="FZ179" i="2"/>
  <c r="V179" i="8"/>
  <c r="AG179" i="8"/>
  <c r="AH179" i="8"/>
  <c r="AI179" i="8"/>
  <c r="JI179" i="2"/>
  <c r="JJ179" i="2"/>
  <c r="IC179" i="2"/>
  <c r="ID179" i="2"/>
  <c r="CE179" i="2"/>
  <c r="AC179" i="2"/>
  <c r="GD179" i="2"/>
  <c r="CF179" i="2"/>
  <c r="AD179" i="2"/>
  <c r="CH179" i="2"/>
  <c r="W179" i="2"/>
  <c r="AE179" i="2"/>
  <c r="X179" i="2"/>
  <c r="Q179" i="2"/>
  <c r="R179" i="2"/>
  <c r="L179" i="2"/>
  <c r="GE179" i="2"/>
  <c r="FB179" i="2"/>
  <c r="FC179" i="2"/>
  <c r="DL179" i="2"/>
  <c r="DM179" i="2"/>
  <c r="DN179" i="2"/>
  <c r="CZ179" i="2"/>
  <c r="DA179" i="2"/>
  <c r="AN179" i="2"/>
  <c r="AW179" i="2"/>
  <c r="AJ179" i="2"/>
  <c r="AK179" i="2"/>
  <c r="JA179" i="2"/>
  <c r="IO179" i="2"/>
  <c r="D179" i="8"/>
  <c r="AT179" i="8"/>
  <c r="BF179" i="8"/>
  <c r="IX179" i="2"/>
  <c r="BE179" i="8"/>
  <c r="HT179" i="2"/>
  <c r="HU179" i="2"/>
  <c r="HP179" i="2"/>
  <c r="HL179" i="2"/>
  <c r="CQ179" i="2"/>
  <c r="BG179" i="2"/>
  <c r="IN179" i="2"/>
  <c r="HQ179" i="2"/>
  <c r="HM179" i="2"/>
  <c r="IZ179" i="2"/>
  <c r="HR179" i="2"/>
  <c r="HS179" i="2"/>
  <c r="AL175" i="2"/>
  <c r="FZ175" i="2"/>
  <c r="V175" i="8"/>
  <c r="AG175" i="8"/>
  <c r="JI175" i="2"/>
  <c r="JJ175" i="2"/>
  <c r="IC175" i="2"/>
  <c r="AH175" i="8"/>
  <c r="CE175" i="2"/>
  <c r="AC175" i="2"/>
  <c r="AI175" i="8"/>
  <c r="GD175" i="2"/>
  <c r="CF175" i="2"/>
  <c r="AD175" i="2"/>
  <c r="ID175" i="2"/>
  <c r="GE175" i="2"/>
  <c r="AE175" i="2"/>
  <c r="W175" i="2"/>
  <c r="CH175" i="2"/>
  <c r="X175" i="2"/>
  <c r="Q175" i="2"/>
  <c r="R175" i="2"/>
  <c r="L175" i="2"/>
  <c r="FB175" i="2"/>
  <c r="FC175" i="2"/>
  <c r="DL175" i="2"/>
  <c r="DM175" i="2"/>
  <c r="DN175" i="2"/>
  <c r="CZ175" i="2"/>
  <c r="DA175" i="2"/>
  <c r="AN175" i="2"/>
  <c r="AW175" i="2"/>
  <c r="AJ175" i="2"/>
  <c r="AK175" i="2"/>
  <c r="JA175" i="2"/>
  <c r="IO175" i="2"/>
  <c r="D175" i="8"/>
  <c r="AT175" i="8"/>
  <c r="BF175" i="8"/>
  <c r="IX175" i="2"/>
  <c r="BE175" i="8"/>
  <c r="HT175" i="2"/>
  <c r="HU175" i="2"/>
  <c r="HP175" i="2"/>
  <c r="HL175" i="2"/>
  <c r="CQ175" i="2"/>
  <c r="BG175" i="2"/>
  <c r="IN175" i="2"/>
  <c r="HQ175" i="2"/>
  <c r="HM175" i="2"/>
  <c r="IZ175" i="2"/>
  <c r="HR175" i="2"/>
  <c r="HS175" i="2"/>
  <c r="AL171" i="2"/>
  <c r="FZ171" i="2"/>
  <c r="V171" i="8"/>
  <c r="AG171" i="8"/>
  <c r="AH171" i="8"/>
  <c r="AI171" i="8"/>
  <c r="JI171" i="2"/>
  <c r="JJ171" i="2"/>
  <c r="IC171" i="2"/>
  <c r="ID171" i="2"/>
  <c r="CE171" i="2"/>
  <c r="AC171" i="2"/>
  <c r="GD171" i="2"/>
  <c r="CF171" i="2"/>
  <c r="AD171" i="2"/>
  <c r="CH171" i="2"/>
  <c r="GE171" i="2"/>
  <c r="W171" i="2"/>
  <c r="X171" i="2"/>
  <c r="Q171" i="2"/>
  <c r="R171" i="2"/>
  <c r="L171" i="2"/>
  <c r="AE171" i="2"/>
  <c r="FB171" i="2"/>
  <c r="FC171" i="2"/>
  <c r="DL171" i="2"/>
  <c r="AN171" i="2"/>
  <c r="DM171" i="2"/>
  <c r="AW171" i="2"/>
  <c r="DN171" i="2"/>
  <c r="CZ171" i="2"/>
  <c r="AJ171" i="2"/>
  <c r="AK171" i="2"/>
  <c r="DA171" i="2"/>
  <c r="JA171" i="2"/>
  <c r="IO171" i="2"/>
  <c r="D171" i="8"/>
  <c r="AT171" i="8"/>
  <c r="BF171" i="8"/>
  <c r="IX171" i="2"/>
  <c r="BE171" i="8"/>
  <c r="HT171" i="2"/>
  <c r="HU171" i="2"/>
  <c r="HP171" i="2"/>
  <c r="HL171" i="2"/>
  <c r="CQ171" i="2"/>
  <c r="BG171" i="2"/>
  <c r="IN171" i="2"/>
  <c r="HQ171" i="2"/>
  <c r="HM171" i="2"/>
  <c r="IZ171" i="2"/>
  <c r="HR171" i="2"/>
  <c r="HS171" i="2"/>
  <c r="AL167" i="2"/>
  <c r="FZ167" i="2"/>
  <c r="V167" i="8"/>
  <c r="AG167" i="8"/>
  <c r="JI167" i="2"/>
  <c r="JJ167" i="2"/>
  <c r="IC167" i="2"/>
  <c r="AH167" i="8"/>
  <c r="AI167" i="8"/>
  <c r="ID167" i="2"/>
  <c r="CE167" i="2"/>
  <c r="AC167" i="2"/>
  <c r="GD167" i="2"/>
  <c r="CF167" i="2"/>
  <c r="AD167" i="2"/>
  <c r="CH167" i="2"/>
  <c r="AE167" i="2"/>
  <c r="GE167" i="2"/>
  <c r="W167" i="2"/>
  <c r="X167" i="2"/>
  <c r="Q167" i="2"/>
  <c r="R167" i="2"/>
  <c r="L167" i="2"/>
  <c r="FB167" i="2"/>
  <c r="FC167" i="2"/>
  <c r="DL167" i="2"/>
  <c r="AN167" i="2"/>
  <c r="DM167" i="2"/>
  <c r="AW167" i="2"/>
  <c r="DN167" i="2"/>
  <c r="CZ167" i="2"/>
  <c r="AJ167" i="2"/>
  <c r="AK167" i="2"/>
  <c r="DA167" i="2"/>
  <c r="JA167" i="2"/>
  <c r="IO167" i="2"/>
  <c r="D167" i="8"/>
  <c r="AT167" i="8"/>
  <c r="BF167" i="8"/>
  <c r="IX167" i="2"/>
  <c r="BE167" i="8"/>
  <c r="HT167" i="2"/>
  <c r="HU167" i="2"/>
  <c r="HP167" i="2"/>
  <c r="HL167" i="2"/>
  <c r="CQ167" i="2"/>
  <c r="BG167" i="2"/>
  <c r="IN167" i="2"/>
  <c r="HQ167" i="2"/>
  <c r="HM167" i="2"/>
  <c r="IZ167" i="2"/>
  <c r="HR167" i="2"/>
  <c r="HS167" i="2"/>
  <c r="AL163" i="2"/>
  <c r="FZ163" i="2"/>
  <c r="V163" i="8"/>
  <c r="AG163" i="8"/>
  <c r="AH163" i="8"/>
  <c r="AI163" i="8"/>
  <c r="JI163" i="2"/>
  <c r="JJ163" i="2"/>
  <c r="IC163" i="2"/>
  <c r="ID163" i="2"/>
  <c r="CE163" i="2"/>
  <c r="AC163" i="2"/>
  <c r="GD163" i="2"/>
  <c r="CF163" i="2"/>
  <c r="AD163" i="2"/>
  <c r="CH163" i="2"/>
  <c r="W163" i="2"/>
  <c r="Q163" i="2"/>
  <c r="GE163" i="2"/>
  <c r="R163" i="2"/>
  <c r="X163" i="2"/>
  <c r="AE163" i="2"/>
  <c r="L163" i="2"/>
  <c r="FB163" i="2"/>
  <c r="FC163" i="2"/>
  <c r="DL163" i="2"/>
  <c r="AN163" i="2"/>
  <c r="DM163" i="2"/>
  <c r="AY163" i="2"/>
  <c r="DN163" i="2"/>
  <c r="CZ163" i="2"/>
  <c r="AJ163" i="2"/>
  <c r="AK163" i="2"/>
  <c r="DA163" i="2"/>
  <c r="JA163" i="2"/>
  <c r="IO163" i="2"/>
  <c r="D163" i="8"/>
  <c r="AT163" i="8"/>
  <c r="BF163" i="8"/>
  <c r="IX163" i="2"/>
  <c r="BE163" i="8"/>
  <c r="HT163" i="2"/>
  <c r="HU163" i="2"/>
  <c r="HP163" i="2"/>
  <c r="HL163" i="2"/>
  <c r="CQ163" i="2"/>
  <c r="BG163" i="2"/>
  <c r="IN163" i="2"/>
  <c r="HQ163" i="2"/>
  <c r="HM163" i="2"/>
  <c r="IZ163" i="2"/>
  <c r="HR163" i="2"/>
  <c r="HS163" i="2"/>
  <c r="AL159" i="2"/>
  <c r="FZ159" i="2"/>
  <c r="V159" i="8"/>
  <c r="AG159" i="8"/>
  <c r="JI159" i="2"/>
  <c r="JJ159" i="2"/>
  <c r="IC159" i="2"/>
  <c r="CE159" i="2"/>
  <c r="AC159" i="2"/>
  <c r="GD159" i="2"/>
  <c r="CF159" i="2"/>
  <c r="AD159" i="2"/>
  <c r="AH159" i="8"/>
  <c r="AI159" i="8"/>
  <c r="ID159" i="2"/>
  <c r="CH159" i="2"/>
  <c r="GE159" i="2"/>
  <c r="AE159" i="2"/>
  <c r="W159" i="2"/>
  <c r="Q159" i="2"/>
  <c r="R159" i="2"/>
  <c r="X159" i="2"/>
  <c r="L159" i="2"/>
  <c r="FB159" i="2"/>
  <c r="FC159" i="2"/>
  <c r="DL159" i="2"/>
  <c r="AN159" i="2"/>
  <c r="DM159" i="2"/>
  <c r="DN159" i="2"/>
  <c r="CZ159" i="2"/>
  <c r="AJ159" i="2"/>
  <c r="AK159" i="2"/>
  <c r="DA159" i="2"/>
  <c r="JA159" i="2"/>
  <c r="IO159" i="2"/>
  <c r="D159" i="8"/>
  <c r="AT159" i="8"/>
  <c r="BF159" i="8"/>
  <c r="IX159" i="2"/>
  <c r="BE159" i="8"/>
  <c r="HT159" i="2"/>
  <c r="HU159" i="2"/>
  <c r="HP159" i="2"/>
  <c r="HL159" i="2"/>
  <c r="CQ159" i="2"/>
  <c r="BG159" i="2"/>
  <c r="IN159" i="2"/>
  <c r="HQ159" i="2"/>
  <c r="HM159" i="2"/>
  <c r="IZ159" i="2"/>
  <c r="HR159" i="2"/>
  <c r="HS159" i="2"/>
  <c r="AL155" i="2"/>
  <c r="FZ155" i="2"/>
  <c r="V155" i="8"/>
  <c r="AG155" i="8"/>
  <c r="AH155" i="8"/>
  <c r="AI155" i="8"/>
  <c r="JI155" i="2"/>
  <c r="JJ155" i="2"/>
  <c r="IC155" i="2"/>
  <c r="ID155" i="2"/>
  <c r="CE155" i="2"/>
  <c r="AC155" i="2"/>
  <c r="GD155" i="2"/>
  <c r="CF155" i="2"/>
  <c r="AD155" i="2"/>
  <c r="CH155" i="2"/>
  <c r="GE155" i="2"/>
  <c r="W155" i="2"/>
  <c r="Q155" i="2"/>
  <c r="AE155" i="2"/>
  <c r="X155" i="2"/>
  <c r="L155" i="2"/>
  <c r="R155" i="2"/>
  <c r="FB155" i="2"/>
  <c r="FC155" i="2"/>
  <c r="DL155" i="2"/>
  <c r="AN155" i="2"/>
  <c r="DM155" i="2"/>
  <c r="AY155" i="2"/>
  <c r="DN155" i="2"/>
  <c r="CZ155" i="2"/>
  <c r="AJ155" i="2"/>
  <c r="AK155" i="2"/>
  <c r="DA155" i="2"/>
  <c r="JA155" i="2"/>
  <c r="IO155" i="2"/>
  <c r="D155" i="8"/>
  <c r="AT155" i="8"/>
  <c r="BF155" i="8"/>
  <c r="IX155" i="2"/>
  <c r="BE155" i="8"/>
  <c r="HT155" i="2"/>
  <c r="HU155" i="2"/>
  <c r="HP155" i="2"/>
  <c r="HL155" i="2"/>
  <c r="CQ155" i="2"/>
  <c r="BG155" i="2"/>
  <c r="IN155" i="2"/>
  <c r="HQ155" i="2"/>
  <c r="HM155" i="2"/>
  <c r="IZ155" i="2"/>
  <c r="HR155" i="2"/>
  <c r="HS155" i="2"/>
  <c r="AL151" i="2"/>
  <c r="FZ151" i="2"/>
  <c r="V151" i="8"/>
  <c r="AG151" i="8"/>
  <c r="JI151" i="2"/>
  <c r="JJ151" i="2"/>
  <c r="IC151" i="2"/>
  <c r="AH151" i="8"/>
  <c r="AI151" i="8"/>
  <c r="ID151" i="2"/>
  <c r="CF151" i="2"/>
  <c r="AC151" i="2"/>
  <c r="GD151" i="2"/>
  <c r="AD151" i="2"/>
  <c r="CE151" i="2"/>
  <c r="AE151" i="2"/>
  <c r="GE151" i="2"/>
  <c r="W151" i="2"/>
  <c r="Q151" i="2"/>
  <c r="CH151" i="2"/>
  <c r="X151" i="2"/>
  <c r="L151" i="2"/>
  <c r="R151" i="2"/>
  <c r="FB151" i="2"/>
  <c r="FC151" i="2"/>
  <c r="DL151" i="2"/>
  <c r="AN151" i="2"/>
  <c r="DM151" i="2"/>
  <c r="AY151" i="2"/>
  <c r="DN151" i="2"/>
  <c r="CZ151" i="2"/>
  <c r="AJ151" i="2"/>
  <c r="AK151" i="2"/>
  <c r="DA151" i="2"/>
  <c r="JA151" i="2"/>
  <c r="IO151" i="2"/>
  <c r="D151" i="8"/>
  <c r="AT151" i="8"/>
  <c r="BF151" i="8"/>
  <c r="IX151" i="2"/>
  <c r="BE151" i="8"/>
  <c r="HT151" i="2"/>
  <c r="HU151" i="2"/>
  <c r="HP151" i="2"/>
  <c r="HL151" i="2"/>
  <c r="CQ151" i="2"/>
  <c r="BG151" i="2"/>
  <c r="IN151" i="2"/>
  <c r="HQ151" i="2"/>
  <c r="HM151" i="2"/>
  <c r="IZ151" i="2"/>
  <c r="HR151" i="2"/>
  <c r="HS151" i="2"/>
  <c r="AL147" i="2"/>
  <c r="FZ147" i="2"/>
  <c r="V147" i="8"/>
  <c r="AG147" i="8"/>
  <c r="AH147" i="8"/>
  <c r="AI147" i="8"/>
  <c r="JI147" i="2"/>
  <c r="JJ147" i="2"/>
  <c r="IC147" i="2"/>
  <c r="ID147" i="2"/>
  <c r="CF147" i="2"/>
  <c r="AC147" i="2"/>
  <c r="GD147" i="2"/>
  <c r="AD147" i="2"/>
  <c r="CE147" i="2"/>
  <c r="CH147" i="2"/>
  <c r="W147" i="2"/>
  <c r="Q147" i="2"/>
  <c r="AE147" i="2"/>
  <c r="GE147" i="2"/>
  <c r="X147" i="2"/>
  <c r="L147" i="2"/>
  <c r="R147" i="2"/>
  <c r="FB147" i="2"/>
  <c r="FC147" i="2"/>
  <c r="DL147" i="2"/>
  <c r="AN147" i="2"/>
  <c r="DM147" i="2"/>
  <c r="AY147" i="2"/>
  <c r="DN147" i="2"/>
  <c r="CZ147" i="2"/>
  <c r="AJ147" i="2"/>
  <c r="AK147" i="2"/>
  <c r="DA147" i="2"/>
  <c r="JA147" i="2"/>
  <c r="IO147" i="2"/>
  <c r="D147" i="8"/>
  <c r="AT147" i="8"/>
  <c r="BF147" i="8"/>
  <c r="IX147" i="2"/>
  <c r="BE147" i="8"/>
  <c r="HT147" i="2"/>
  <c r="HU147" i="2"/>
  <c r="HP147" i="2"/>
  <c r="HL147" i="2"/>
  <c r="CQ147" i="2"/>
  <c r="BG147" i="2"/>
  <c r="IN147" i="2"/>
  <c r="HQ147" i="2"/>
  <c r="HM147" i="2"/>
  <c r="IZ147" i="2"/>
  <c r="HR147" i="2"/>
  <c r="HS147" i="2"/>
  <c r="AL143" i="2"/>
  <c r="FZ143" i="2"/>
  <c r="V143" i="8"/>
  <c r="AG143" i="8"/>
  <c r="JI143" i="2"/>
  <c r="JJ143" i="2"/>
  <c r="IC143" i="2"/>
  <c r="AH143" i="8"/>
  <c r="CF143" i="2"/>
  <c r="AC143" i="2"/>
  <c r="AI143" i="8"/>
  <c r="GD143" i="2"/>
  <c r="AD143" i="2"/>
  <c r="ID143" i="2"/>
  <c r="CE143" i="2"/>
  <c r="GE143" i="2"/>
  <c r="AE143" i="2"/>
  <c r="CH143" i="2"/>
  <c r="W143" i="2"/>
  <c r="Q143" i="2"/>
  <c r="X143" i="2"/>
  <c r="L143" i="2"/>
  <c r="R143" i="2"/>
  <c r="FB143" i="2"/>
  <c r="FC143" i="2"/>
  <c r="DL143" i="2"/>
  <c r="AN143" i="2"/>
  <c r="DM143" i="2"/>
  <c r="AY143" i="2"/>
  <c r="DN143" i="2"/>
  <c r="CZ143" i="2"/>
  <c r="AJ143" i="2"/>
  <c r="AK143" i="2"/>
  <c r="DA143" i="2"/>
  <c r="JA143" i="2"/>
  <c r="IO143" i="2"/>
  <c r="D143" i="8"/>
  <c r="AT143" i="8"/>
  <c r="BF143" i="8"/>
  <c r="IX143" i="2"/>
  <c r="BE143" i="8"/>
  <c r="HT143" i="2"/>
  <c r="HU143" i="2"/>
  <c r="HP143" i="2"/>
  <c r="HL143" i="2"/>
  <c r="CQ143" i="2"/>
  <c r="BG143" i="2"/>
  <c r="IN143" i="2"/>
  <c r="HQ143" i="2"/>
  <c r="HM143" i="2"/>
  <c r="IZ143" i="2"/>
  <c r="HR143" i="2"/>
  <c r="HS143" i="2"/>
  <c r="AL139" i="2"/>
  <c r="FZ139" i="2"/>
  <c r="V139" i="8"/>
  <c r="AG139" i="8"/>
  <c r="AH139" i="8"/>
  <c r="AI139" i="8"/>
  <c r="JI139" i="2"/>
  <c r="JJ139" i="2"/>
  <c r="IC139" i="2"/>
  <c r="ID139" i="2"/>
  <c r="CF139" i="2"/>
  <c r="AC139" i="2"/>
  <c r="GD139" i="2"/>
  <c r="AD139" i="2"/>
  <c r="CE139" i="2"/>
  <c r="CH139" i="2"/>
  <c r="GE139" i="2"/>
  <c r="W139" i="2"/>
  <c r="Q139" i="2"/>
  <c r="X139" i="2"/>
  <c r="L139" i="2"/>
  <c r="AE139" i="2"/>
  <c r="R139" i="2"/>
  <c r="FB139" i="2"/>
  <c r="FC139" i="2"/>
  <c r="DL139" i="2"/>
  <c r="AN139" i="2"/>
  <c r="DM139" i="2"/>
  <c r="AY139" i="2"/>
  <c r="DN139" i="2"/>
  <c r="CZ139" i="2"/>
  <c r="AJ139" i="2"/>
  <c r="AK139" i="2"/>
  <c r="DA139" i="2"/>
  <c r="JA139" i="2"/>
  <c r="IO139" i="2"/>
  <c r="D139" i="8"/>
  <c r="AT139" i="8"/>
  <c r="BF139" i="8"/>
  <c r="IX139" i="2"/>
  <c r="BE139" i="8"/>
  <c r="HT139" i="2"/>
  <c r="HU139" i="2"/>
  <c r="HP139" i="2"/>
  <c r="HL139" i="2"/>
  <c r="CQ139" i="2"/>
  <c r="BG139" i="2"/>
  <c r="IN139" i="2"/>
  <c r="HQ139" i="2"/>
  <c r="HM139" i="2"/>
  <c r="IZ139" i="2"/>
  <c r="HR139" i="2"/>
  <c r="HS139" i="2"/>
  <c r="AL135" i="2"/>
  <c r="FZ135" i="2"/>
  <c r="V135" i="8"/>
  <c r="AG135" i="8"/>
  <c r="JI135" i="2"/>
  <c r="JJ135" i="2"/>
  <c r="IC135" i="2"/>
  <c r="AH135" i="8"/>
  <c r="AI135" i="8"/>
  <c r="ID135" i="2"/>
  <c r="CF135" i="2"/>
  <c r="AC135" i="2"/>
  <c r="GD135" i="2"/>
  <c r="AD135" i="2"/>
  <c r="CE135" i="2"/>
  <c r="CH135" i="2"/>
  <c r="AE135" i="2"/>
  <c r="GE135" i="2"/>
  <c r="W135" i="2"/>
  <c r="Q135" i="2"/>
  <c r="X135" i="2"/>
  <c r="L135" i="2"/>
  <c r="R135" i="2"/>
  <c r="FB135" i="2"/>
  <c r="FC135" i="2"/>
  <c r="DL135" i="2"/>
  <c r="AN135" i="2"/>
  <c r="DM135" i="2"/>
  <c r="AY135" i="2"/>
  <c r="DN135" i="2"/>
  <c r="CZ135" i="2"/>
  <c r="AJ135" i="2"/>
  <c r="AK135" i="2"/>
  <c r="DA135" i="2"/>
  <c r="JA135" i="2"/>
  <c r="IO135" i="2"/>
  <c r="D135" i="8"/>
  <c r="AT135" i="8"/>
  <c r="BF135" i="8"/>
  <c r="IX135" i="2"/>
  <c r="BE135" i="8"/>
  <c r="HT135" i="2"/>
  <c r="HU135" i="2"/>
  <c r="HP135" i="2"/>
  <c r="HL135" i="2"/>
  <c r="CQ135" i="2"/>
  <c r="BG135" i="2"/>
  <c r="IN135" i="2"/>
  <c r="HQ135" i="2"/>
  <c r="HM135" i="2"/>
  <c r="IZ135" i="2"/>
  <c r="HR135" i="2"/>
  <c r="HS135" i="2"/>
  <c r="AL131" i="2"/>
  <c r="FZ131" i="2"/>
  <c r="V131" i="8"/>
  <c r="AG131" i="8"/>
  <c r="AH131" i="8"/>
  <c r="AI131" i="8"/>
  <c r="JI131" i="2"/>
  <c r="JJ131" i="2"/>
  <c r="IC131" i="2"/>
  <c r="ID131" i="2"/>
  <c r="CF131" i="2"/>
  <c r="AC131" i="2"/>
  <c r="GD131" i="2"/>
  <c r="AD131" i="2"/>
  <c r="CE131" i="2"/>
  <c r="CH131" i="2"/>
  <c r="W131" i="2"/>
  <c r="Q131" i="2"/>
  <c r="X131" i="2"/>
  <c r="GE131" i="2"/>
  <c r="AE131" i="2"/>
  <c r="L131" i="2"/>
  <c r="R131" i="2"/>
  <c r="FB131" i="2"/>
  <c r="FC131" i="2"/>
  <c r="DL131" i="2"/>
  <c r="AN131" i="2"/>
  <c r="DM131" i="2"/>
  <c r="AY131" i="2"/>
  <c r="DN131" i="2"/>
  <c r="CZ131" i="2"/>
  <c r="AJ131" i="2"/>
  <c r="AK131" i="2"/>
  <c r="DA131" i="2"/>
  <c r="JA131" i="2"/>
  <c r="IO131" i="2"/>
  <c r="D131" i="8"/>
  <c r="AT131" i="8"/>
  <c r="BF131" i="8"/>
  <c r="IX131" i="2"/>
  <c r="BE131" i="8"/>
  <c r="HT131" i="2"/>
  <c r="HU131" i="2"/>
  <c r="HP131" i="2"/>
  <c r="HL131" i="2"/>
  <c r="CQ131" i="2"/>
  <c r="BG131" i="2"/>
  <c r="IN131" i="2"/>
  <c r="HQ131" i="2"/>
  <c r="HM131" i="2"/>
  <c r="IZ131" i="2"/>
  <c r="HR131" i="2"/>
  <c r="HS131" i="2"/>
  <c r="AL127" i="2"/>
  <c r="FZ127" i="2"/>
  <c r="V127" i="8"/>
  <c r="AG127" i="8"/>
  <c r="JI127" i="2"/>
  <c r="JJ127" i="2"/>
  <c r="IC127" i="2"/>
  <c r="GD127" i="2"/>
  <c r="GE127" i="2"/>
  <c r="CF127" i="2"/>
  <c r="AC127" i="2"/>
  <c r="AD127" i="2"/>
  <c r="AH127" i="8"/>
  <c r="ID127" i="2"/>
  <c r="AI127" i="8"/>
  <c r="CE127" i="2"/>
  <c r="CH127" i="2"/>
  <c r="AE127" i="2"/>
  <c r="W127" i="2"/>
  <c r="Q127" i="2"/>
  <c r="X127" i="2"/>
  <c r="L127" i="2"/>
  <c r="R127" i="2"/>
  <c r="FB127" i="2"/>
  <c r="DM127" i="2"/>
  <c r="FC127" i="2"/>
  <c r="DN127" i="2"/>
  <c r="DL127" i="2"/>
  <c r="AN127" i="2"/>
  <c r="AY127" i="2"/>
  <c r="CZ127" i="2"/>
  <c r="AJ127" i="2"/>
  <c r="AK127" i="2"/>
  <c r="DA127" i="2"/>
  <c r="JA127" i="2"/>
  <c r="IO127" i="2"/>
  <c r="D127" i="8"/>
  <c r="AT127" i="8"/>
  <c r="BF127" i="8"/>
  <c r="IX127" i="2"/>
  <c r="BE127" i="8"/>
  <c r="HT127" i="2"/>
  <c r="HU127" i="2"/>
  <c r="HP127" i="2"/>
  <c r="HL127" i="2"/>
  <c r="CQ127" i="2"/>
  <c r="BG127" i="2"/>
  <c r="IN127" i="2"/>
  <c r="HQ127" i="2"/>
  <c r="HM127" i="2"/>
  <c r="IZ127" i="2"/>
  <c r="HR127" i="2"/>
  <c r="HS127" i="2"/>
  <c r="AL123" i="2"/>
  <c r="FZ123" i="2"/>
  <c r="V123" i="8"/>
  <c r="AG123" i="8"/>
  <c r="AH123" i="8"/>
  <c r="AI123" i="8"/>
  <c r="JI123" i="2"/>
  <c r="JJ123" i="2"/>
  <c r="IC123" i="2"/>
  <c r="ID123" i="2"/>
  <c r="GD123" i="2"/>
  <c r="GE123" i="2"/>
  <c r="AC123" i="2"/>
  <c r="CH123" i="2"/>
  <c r="AD123" i="2"/>
  <c r="CF123" i="2"/>
  <c r="CE123" i="2"/>
  <c r="W123" i="2"/>
  <c r="Q123" i="2"/>
  <c r="AE123" i="2"/>
  <c r="X123" i="2"/>
  <c r="L123" i="2"/>
  <c r="R123" i="2"/>
  <c r="FB123" i="2"/>
  <c r="DM123" i="2"/>
  <c r="FC123" i="2"/>
  <c r="DN123" i="2"/>
  <c r="DL123" i="2"/>
  <c r="AN123" i="2"/>
  <c r="AY123" i="2"/>
  <c r="CZ123" i="2"/>
  <c r="AJ123" i="2"/>
  <c r="AK123" i="2"/>
  <c r="DA123" i="2"/>
  <c r="JA123" i="2"/>
  <c r="IO123" i="2"/>
  <c r="D123" i="8"/>
  <c r="AT123" i="8"/>
  <c r="BF123" i="8"/>
  <c r="IX123" i="2"/>
  <c r="BE123" i="8"/>
  <c r="HT123" i="2"/>
  <c r="HU123" i="2"/>
  <c r="HP123" i="2"/>
  <c r="HL123" i="2"/>
  <c r="CQ123" i="2"/>
  <c r="BG123" i="2"/>
  <c r="IN123" i="2"/>
  <c r="HQ123" i="2"/>
  <c r="HM123" i="2"/>
  <c r="IZ123" i="2"/>
  <c r="HR123" i="2"/>
  <c r="HS123" i="2"/>
  <c r="AL119" i="2"/>
  <c r="FZ119" i="2"/>
  <c r="V119" i="8"/>
  <c r="AG119" i="8"/>
  <c r="JI119" i="2"/>
  <c r="JJ119" i="2"/>
  <c r="IC119" i="2"/>
  <c r="AH119" i="8"/>
  <c r="GD119" i="2"/>
  <c r="AI119" i="8"/>
  <c r="GE119" i="2"/>
  <c r="ID119" i="2"/>
  <c r="CH119" i="2"/>
  <c r="AC119" i="2"/>
  <c r="X119" i="2"/>
  <c r="CE119" i="2"/>
  <c r="AD119" i="2"/>
  <c r="CF119" i="2"/>
  <c r="AE119" i="2"/>
  <c r="W119" i="2"/>
  <c r="Q119" i="2"/>
  <c r="L119" i="2"/>
  <c r="R119" i="2"/>
  <c r="FB119" i="2"/>
  <c r="DM119" i="2"/>
  <c r="FC119" i="2"/>
  <c r="DN119" i="2"/>
  <c r="DL119" i="2"/>
  <c r="AN119" i="2"/>
  <c r="AX119" i="2"/>
  <c r="CZ119" i="2"/>
  <c r="AJ119" i="2"/>
  <c r="AK119" i="2"/>
  <c r="DA119" i="2"/>
  <c r="JA119" i="2"/>
  <c r="IO119" i="2"/>
  <c r="D119" i="8"/>
  <c r="AT119" i="8"/>
  <c r="BF119" i="8"/>
  <c r="IX119" i="2"/>
  <c r="BE119" i="8"/>
  <c r="HT119" i="2"/>
  <c r="HU119" i="2"/>
  <c r="HP119" i="2"/>
  <c r="HL119" i="2"/>
  <c r="CQ119" i="2"/>
  <c r="BG119" i="2"/>
  <c r="IN119" i="2"/>
  <c r="HQ119" i="2"/>
  <c r="HM119" i="2"/>
  <c r="IZ119" i="2"/>
  <c r="HR119" i="2"/>
  <c r="HS119" i="2"/>
  <c r="DA115" i="2"/>
  <c r="CZ115" i="2"/>
  <c r="DA111" i="2"/>
  <c r="CZ111" i="2"/>
  <c r="DA107" i="2"/>
  <c r="CZ107" i="2"/>
  <c r="AL103" i="2"/>
  <c r="FZ103" i="2"/>
  <c r="AI103" i="8"/>
  <c r="V103" i="8"/>
  <c r="JI103" i="2"/>
  <c r="JJ103" i="2"/>
  <c r="AG103" i="8"/>
  <c r="AH103" i="8"/>
  <c r="IC103" i="2"/>
  <c r="CE103" i="2"/>
  <c r="AD103" i="2"/>
  <c r="X103" i="2"/>
  <c r="ID103" i="2"/>
  <c r="CF103" i="2"/>
  <c r="AE103" i="2"/>
  <c r="GD103" i="2"/>
  <c r="GE103" i="2"/>
  <c r="CH103" i="2"/>
  <c r="AC103" i="2"/>
  <c r="W103" i="2"/>
  <c r="Q103" i="2"/>
  <c r="L103" i="2"/>
  <c r="R103" i="2"/>
  <c r="FB103" i="2"/>
  <c r="FC103" i="2"/>
  <c r="DM103" i="2"/>
  <c r="DN103" i="2"/>
  <c r="AY103" i="2"/>
  <c r="CZ103" i="2"/>
  <c r="AJ103" i="2"/>
  <c r="AK103" i="2"/>
  <c r="DA103" i="2"/>
  <c r="DL103" i="2"/>
  <c r="AN103" i="2"/>
  <c r="JA103" i="2"/>
  <c r="IO103" i="2"/>
  <c r="D103" i="8"/>
  <c r="AT103" i="8"/>
  <c r="BF103" i="8"/>
  <c r="IX103" i="2"/>
  <c r="BE103" i="8"/>
  <c r="HT103" i="2"/>
  <c r="HU103" i="2"/>
  <c r="HP103" i="2"/>
  <c r="IZ103" i="2"/>
  <c r="HQ103" i="2"/>
  <c r="BG103" i="2"/>
  <c r="IN103" i="2"/>
  <c r="HR103" i="2"/>
  <c r="HL103" i="2"/>
  <c r="HS103" i="2"/>
  <c r="HM103" i="2"/>
  <c r="CQ103" i="2"/>
  <c r="AL99" i="2"/>
  <c r="FZ99" i="2"/>
  <c r="AI99" i="8"/>
  <c r="AG99" i="8"/>
  <c r="V99" i="8"/>
  <c r="JI99" i="2"/>
  <c r="JJ99" i="2"/>
  <c r="AH99" i="8"/>
  <c r="IC99" i="2"/>
  <c r="ID99" i="2"/>
  <c r="CE99" i="2"/>
  <c r="AD99" i="2"/>
  <c r="X99" i="2"/>
  <c r="CF99" i="2"/>
  <c r="AE99" i="2"/>
  <c r="GD99" i="2"/>
  <c r="CH99" i="2"/>
  <c r="GE99" i="2"/>
  <c r="W99" i="2"/>
  <c r="AC99" i="2"/>
  <c r="Q99" i="2"/>
  <c r="L99" i="2"/>
  <c r="R99" i="2"/>
  <c r="FB99" i="2"/>
  <c r="FC99" i="2"/>
  <c r="DM99" i="2"/>
  <c r="DN99" i="2"/>
  <c r="AY99" i="2"/>
  <c r="CZ99" i="2"/>
  <c r="AJ99" i="2"/>
  <c r="AK99" i="2"/>
  <c r="DA99" i="2"/>
  <c r="DL99" i="2"/>
  <c r="AN99" i="2"/>
  <c r="JA99" i="2"/>
  <c r="IO99" i="2"/>
  <c r="D99" i="8"/>
  <c r="AT99" i="8"/>
  <c r="BF99" i="8"/>
  <c r="IX99" i="2"/>
  <c r="BE99" i="8"/>
  <c r="HT99" i="2"/>
  <c r="HU99" i="2"/>
  <c r="HP99" i="2"/>
  <c r="IZ99" i="2"/>
  <c r="HQ99" i="2"/>
  <c r="BG99" i="2"/>
  <c r="IN99" i="2"/>
  <c r="HR99" i="2"/>
  <c r="HL99" i="2"/>
  <c r="HS99" i="2"/>
  <c r="HM99" i="2"/>
  <c r="CQ99" i="2"/>
  <c r="AL95" i="2"/>
  <c r="FZ95" i="2"/>
  <c r="AI95" i="8"/>
  <c r="V95" i="8"/>
  <c r="JI95" i="2"/>
  <c r="JJ95" i="2"/>
  <c r="CE95" i="2"/>
  <c r="AD95" i="2"/>
  <c r="X95" i="2"/>
  <c r="CF95" i="2"/>
  <c r="AE95" i="2"/>
  <c r="AG95" i="8"/>
  <c r="IC95" i="2"/>
  <c r="ID95" i="2"/>
  <c r="GD95" i="2"/>
  <c r="AH95" i="8"/>
  <c r="GE95" i="2"/>
  <c r="CH95" i="2"/>
  <c r="AC95" i="2"/>
  <c r="W95" i="2"/>
  <c r="Q95" i="2"/>
  <c r="L95" i="2"/>
  <c r="R95" i="2"/>
  <c r="FB95" i="2"/>
  <c r="FC95" i="2"/>
  <c r="DM95" i="2"/>
  <c r="DN95" i="2"/>
  <c r="AY95" i="2"/>
  <c r="CZ95" i="2"/>
  <c r="AJ95" i="2"/>
  <c r="AK95" i="2"/>
  <c r="DA95" i="2"/>
  <c r="DL95" i="2"/>
  <c r="AN95" i="2"/>
  <c r="JA95" i="2"/>
  <c r="IO95" i="2"/>
  <c r="D95" i="8"/>
  <c r="AT95" i="8"/>
  <c r="BF95" i="8"/>
  <c r="IX95" i="2"/>
  <c r="BE95" i="8"/>
  <c r="HT95" i="2"/>
  <c r="HU95" i="2"/>
  <c r="HP95" i="2"/>
  <c r="IZ95" i="2"/>
  <c r="HQ95" i="2"/>
  <c r="BG95" i="2"/>
  <c r="IN95" i="2"/>
  <c r="HR95" i="2"/>
  <c r="HL95" i="2"/>
  <c r="HS95" i="2"/>
  <c r="HM95" i="2"/>
  <c r="CQ95" i="2"/>
  <c r="AL91" i="2"/>
  <c r="FZ91" i="2"/>
  <c r="AI91" i="8"/>
  <c r="AG91" i="8"/>
  <c r="V91" i="8"/>
  <c r="JI91" i="2"/>
  <c r="JJ91" i="2"/>
  <c r="AH91" i="8"/>
  <c r="IC91" i="2"/>
  <c r="ID91" i="2"/>
  <c r="CE91" i="2"/>
  <c r="AD91" i="2"/>
  <c r="X91" i="2"/>
  <c r="CF91" i="2"/>
  <c r="AE91" i="2"/>
  <c r="GD91" i="2"/>
  <c r="GE91" i="2"/>
  <c r="CH91" i="2"/>
  <c r="W91" i="2"/>
  <c r="AC91" i="2"/>
  <c r="Q91" i="2"/>
  <c r="L91" i="2"/>
  <c r="R91" i="2"/>
  <c r="FB91" i="2"/>
  <c r="DM91" i="2"/>
  <c r="FC91" i="2"/>
  <c r="DN91" i="2"/>
  <c r="AY91" i="2"/>
  <c r="CZ91" i="2"/>
  <c r="AJ91" i="2"/>
  <c r="AK91" i="2"/>
  <c r="DA91" i="2"/>
  <c r="DL91" i="2"/>
  <c r="AN91" i="2"/>
  <c r="JA91" i="2"/>
  <c r="IO91" i="2"/>
  <c r="D91" i="8"/>
  <c r="AT91" i="8"/>
  <c r="BF91" i="8"/>
  <c r="IX91" i="2"/>
  <c r="BE91" i="8"/>
  <c r="HT91" i="2"/>
  <c r="HU91" i="2"/>
  <c r="HP91" i="2"/>
  <c r="IZ91" i="2"/>
  <c r="HQ91" i="2"/>
  <c r="BG91" i="2"/>
  <c r="IN91" i="2"/>
  <c r="HR91" i="2"/>
  <c r="HL91" i="2"/>
  <c r="HS91" i="2"/>
  <c r="HM91" i="2"/>
  <c r="CQ91" i="2"/>
  <c r="AL87" i="2"/>
  <c r="FZ87" i="2"/>
  <c r="AI87" i="8"/>
  <c r="V87" i="8"/>
  <c r="JI87" i="2"/>
  <c r="JJ87" i="2"/>
  <c r="AG87" i="8"/>
  <c r="AH87" i="8"/>
  <c r="IC87" i="2"/>
  <c r="CF87" i="2"/>
  <c r="AD87" i="2"/>
  <c r="X87" i="2"/>
  <c r="ID87" i="2"/>
  <c r="AE87" i="2"/>
  <c r="GD87" i="2"/>
  <c r="GE87" i="2"/>
  <c r="CE87" i="2"/>
  <c r="CH87" i="2"/>
  <c r="AC87" i="2"/>
  <c r="W87" i="2"/>
  <c r="Q87" i="2"/>
  <c r="L87" i="2"/>
  <c r="R87" i="2"/>
  <c r="FB87" i="2"/>
  <c r="FC87" i="2"/>
  <c r="DM87" i="2"/>
  <c r="DN87" i="2"/>
  <c r="AY87" i="2"/>
  <c r="CZ87" i="2"/>
  <c r="AJ87" i="2"/>
  <c r="AK87" i="2"/>
  <c r="DA87" i="2"/>
  <c r="DL87" i="2"/>
  <c r="AN87" i="2"/>
  <c r="JA87" i="2"/>
  <c r="IO87" i="2"/>
  <c r="D87" i="8"/>
  <c r="AT87" i="8"/>
  <c r="BF87" i="8"/>
  <c r="IX87" i="2"/>
  <c r="BE87" i="8"/>
  <c r="HT87" i="2"/>
  <c r="HU87" i="2"/>
  <c r="HP87" i="2"/>
  <c r="IZ87" i="2"/>
  <c r="HQ87" i="2"/>
  <c r="BG87" i="2"/>
  <c r="IN87" i="2"/>
  <c r="HR87" i="2"/>
  <c r="HL87" i="2"/>
  <c r="HS87" i="2"/>
  <c r="HM87" i="2"/>
  <c r="CQ87" i="2"/>
  <c r="AL83" i="2"/>
  <c r="FZ83" i="2"/>
  <c r="AI83" i="8"/>
  <c r="AG83" i="8"/>
  <c r="V83" i="8"/>
  <c r="JI83" i="2"/>
  <c r="JJ83" i="2"/>
  <c r="AH83" i="8"/>
  <c r="IC83" i="2"/>
  <c r="ID83" i="2"/>
  <c r="CF83" i="2"/>
  <c r="AD83" i="2"/>
  <c r="X83" i="2"/>
  <c r="AE83" i="2"/>
  <c r="GD83" i="2"/>
  <c r="CE83" i="2"/>
  <c r="W83" i="2"/>
  <c r="GE83" i="2"/>
  <c r="AC83" i="2"/>
  <c r="Q83" i="2"/>
  <c r="CH83" i="2"/>
  <c r="L83" i="2"/>
  <c r="R83" i="2"/>
  <c r="FB83" i="2"/>
  <c r="FC83" i="2"/>
  <c r="DM83" i="2"/>
  <c r="DN83" i="2"/>
  <c r="AY83" i="2"/>
  <c r="CZ83" i="2"/>
  <c r="AJ83" i="2"/>
  <c r="AK83" i="2"/>
  <c r="DA83" i="2"/>
  <c r="DL83" i="2"/>
  <c r="AN83" i="2"/>
  <c r="JA83" i="2"/>
  <c r="IO83" i="2"/>
  <c r="D83" i="8"/>
  <c r="AT83" i="8"/>
  <c r="BF83" i="8"/>
  <c r="IX83" i="2"/>
  <c r="BE83" i="8"/>
  <c r="HT83" i="2"/>
  <c r="HU83" i="2"/>
  <c r="HP83" i="2"/>
  <c r="IZ83" i="2"/>
  <c r="HQ83" i="2"/>
  <c r="BG83" i="2"/>
  <c r="IN83" i="2"/>
  <c r="HR83" i="2"/>
  <c r="HL83" i="2"/>
  <c r="HS83" i="2"/>
  <c r="HM83" i="2"/>
  <c r="CQ83" i="2"/>
  <c r="AL79" i="2"/>
  <c r="FZ79" i="2"/>
  <c r="AI79" i="8"/>
  <c r="V79" i="8"/>
  <c r="JI79" i="2"/>
  <c r="JJ79" i="2"/>
  <c r="AG79" i="8"/>
  <c r="CF79" i="2"/>
  <c r="AD79" i="2"/>
  <c r="X79" i="2"/>
  <c r="AH79" i="8"/>
  <c r="AE79" i="2"/>
  <c r="IC79" i="2"/>
  <c r="GD79" i="2"/>
  <c r="ID79" i="2"/>
  <c r="GE79" i="2"/>
  <c r="CE79" i="2"/>
  <c r="CH79" i="2"/>
  <c r="AC79" i="2"/>
  <c r="W79" i="2"/>
  <c r="Q79" i="2"/>
  <c r="L79" i="2"/>
  <c r="R79" i="2"/>
  <c r="FB79" i="2"/>
  <c r="FC79" i="2"/>
  <c r="DM79" i="2"/>
  <c r="DN79" i="2"/>
  <c r="AY79" i="2"/>
  <c r="CZ79" i="2"/>
  <c r="AJ79" i="2"/>
  <c r="AK79" i="2"/>
  <c r="DA79" i="2"/>
  <c r="DL79" i="2"/>
  <c r="AN79" i="2"/>
  <c r="JA79" i="2"/>
  <c r="IO79" i="2"/>
  <c r="D79" i="8"/>
  <c r="AT79" i="8"/>
  <c r="BF79" i="8"/>
  <c r="IX79" i="2"/>
  <c r="BE79" i="8"/>
  <c r="HT79" i="2"/>
  <c r="HU79" i="2"/>
  <c r="HP79" i="2"/>
  <c r="IZ79" i="2"/>
  <c r="HQ79" i="2"/>
  <c r="BG79" i="2"/>
  <c r="IN79" i="2"/>
  <c r="HR79" i="2"/>
  <c r="HL79" i="2"/>
  <c r="HS79" i="2"/>
  <c r="HM79" i="2"/>
  <c r="CQ79" i="2"/>
  <c r="AL75" i="2"/>
  <c r="FZ75" i="2"/>
  <c r="AI75" i="8"/>
  <c r="AG75" i="8"/>
  <c r="V75" i="8"/>
  <c r="JI75" i="2"/>
  <c r="JJ75" i="2"/>
  <c r="AH75" i="8"/>
  <c r="IC75" i="2"/>
  <c r="ID75" i="2"/>
  <c r="CF75" i="2"/>
  <c r="AD75" i="2"/>
  <c r="X75" i="2"/>
  <c r="AE75" i="2"/>
  <c r="GD75" i="2"/>
  <c r="GE75" i="2"/>
  <c r="CE75" i="2"/>
  <c r="W75" i="2"/>
  <c r="CH75" i="2"/>
  <c r="AC75" i="2"/>
  <c r="Q75" i="2"/>
  <c r="L75" i="2"/>
  <c r="R75" i="2"/>
  <c r="FB75" i="2"/>
  <c r="DM75" i="2"/>
  <c r="FC75" i="2"/>
  <c r="DN75" i="2"/>
  <c r="AY75" i="2"/>
  <c r="CZ75" i="2"/>
  <c r="AJ75" i="2"/>
  <c r="AK75" i="2"/>
  <c r="DA75" i="2"/>
  <c r="DL75" i="2"/>
  <c r="AN75" i="2"/>
  <c r="JA75" i="2"/>
  <c r="IO75" i="2"/>
  <c r="D75" i="8"/>
  <c r="AT75" i="8"/>
  <c r="BF75" i="8"/>
  <c r="IX75" i="2"/>
  <c r="BE75" i="8"/>
  <c r="HT75" i="2"/>
  <c r="HU75" i="2"/>
  <c r="HP75" i="2"/>
  <c r="IZ75" i="2"/>
  <c r="HQ75" i="2"/>
  <c r="BG75" i="2"/>
  <c r="IN75" i="2"/>
  <c r="HR75" i="2"/>
  <c r="HL75" i="2"/>
  <c r="HS75" i="2"/>
  <c r="HM75" i="2"/>
  <c r="CQ75" i="2"/>
  <c r="AL71" i="2"/>
  <c r="FZ71" i="2"/>
  <c r="AI71" i="8"/>
  <c r="V71" i="8"/>
  <c r="JI71" i="2"/>
  <c r="JJ71" i="2"/>
  <c r="AG71" i="8"/>
  <c r="AH71" i="8"/>
  <c r="IC71" i="2"/>
  <c r="AD71" i="2"/>
  <c r="X71" i="2"/>
  <c r="ID71" i="2"/>
  <c r="CH71" i="2"/>
  <c r="AE71" i="2"/>
  <c r="GD71" i="2"/>
  <c r="GE71" i="2"/>
  <c r="CF71" i="2"/>
  <c r="AC71" i="2"/>
  <c r="W71" i="2"/>
  <c r="Q71" i="2"/>
  <c r="L71" i="2"/>
  <c r="CE71" i="2"/>
  <c r="R71" i="2"/>
  <c r="FB71" i="2"/>
  <c r="FC71" i="2"/>
  <c r="DM71" i="2"/>
  <c r="DN71" i="2"/>
  <c r="AY71" i="2"/>
  <c r="CZ71" i="2"/>
  <c r="AJ71" i="2"/>
  <c r="AK71" i="2"/>
  <c r="DA71" i="2"/>
  <c r="DL71" i="2"/>
  <c r="AN71" i="2"/>
  <c r="JA71" i="2"/>
  <c r="IO71" i="2"/>
  <c r="D71" i="8"/>
  <c r="AT71" i="8"/>
  <c r="BF71" i="8"/>
  <c r="IX71" i="2"/>
  <c r="BE71" i="8"/>
  <c r="HT71" i="2"/>
  <c r="HU71" i="2"/>
  <c r="HP71" i="2"/>
  <c r="IZ71" i="2"/>
  <c r="HQ71" i="2"/>
  <c r="BG71" i="2"/>
  <c r="IN71" i="2"/>
  <c r="HR71" i="2"/>
  <c r="HL71" i="2"/>
  <c r="HS71" i="2"/>
  <c r="HM71" i="2"/>
  <c r="CQ71" i="2"/>
  <c r="AL67" i="2"/>
  <c r="FZ67" i="2"/>
  <c r="AI67" i="8"/>
  <c r="AG67" i="8"/>
  <c r="V67" i="8"/>
  <c r="JI67" i="2"/>
  <c r="JJ67" i="2"/>
  <c r="AH67" i="8"/>
  <c r="IC67" i="2"/>
  <c r="ID67" i="2"/>
  <c r="AD67" i="2"/>
  <c r="X67" i="2"/>
  <c r="CH67" i="2"/>
  <c r="AE67" i="2"/>
  <c r="GD67" i="2"/>
  <c r="GE67" i="2"/>
  <c r="CE67" i="2"/>
  <c r="CF67" i="2"/>
  <c r="W67" i="2"/>
  <c r="AC67" i="2"/>
  <c r="Q67" i="2"/>
  <c r="L67" i="2"/>
  <c r="R67" i="2"/>
  <c r="FB67" i="2"/>
  <c r="FC67" i="2"/>
  <c r="DM67" i="2"/>
  <c r="DN67" i="2"/>
  <c r="AY67" i="2"/>
  <c r="CZ67" i="2"/>
  <c r="AJ67" i="2"/>
  <c r="AK67" i="2"/>
  <c r="DA67" i="2"/>
  <c r="DL67" i="2"/>
  <c r="AN67" i="2"/>
  <c r="JA67" i="2"/>
  <c r="IO67" i="2"/>
  <c r="D67" i="8"/>
  <c r="AT67" i="8"/>
  <c r="BF67" i="8"/>
  <c r="IX67" i="2"/>
  <c r="BE67" i="8"/>
  <c r="HT67" i="2"/>
  <c r="HU67" i="2"/>
  <c r="HP67" i="2"/>
  <c r="IZ67" i="2"/>
  <c r="HQ67" i="2"/>
  <c r="BG67" i="2"/>
  <c r="IN67" i="2"/>
  <c r="HR67" i="2"/>
  <c r="HL67" i="2"/>
  <c r="HS67" i="2"/>
  <c r="HM67" i="2"/>
  <c r="CQ67" i="2"/>
  <c r="AL63" i="2"/>
  <c r="FZ63" i="2"/>
  <c r="AI63" i="8"/>
  <c r="V63" i="8"/>
  <c r="JI63" i="2"/>
  <c r="JJ63" i="2"/>
  <c r="AD63" i="2"/>
  <c r="X63" i="2"/>
  <c r="CH63" i="2"/>
  <c r="AE63" i="2"/>
  <c r="AG63" i="8"/>
  <c r="GD63" i="2"/>
  <c r="AH63" i="8"/>
  <c r="GE63" i="2"/>
  <c r="IC63" i="2"/>
  <c r="CF63" i="2"/>
  <c r="ID63" i="2"/>
  <c r="AC63" i="2"/>
  <c r="W63" i="2"/>
  <c r="CE63" i="2"/>
  <c r="Q63" i="2"/>
  <c r="L63" i="2"/>
  <c r="R63" i="2"/>
  <c r="FB63" i="2"/>
  <c r="FC63" i="2"/>
  <c r="DM63" i="2"/>
  <c r="DN63" i="2"/>
  <c r="AY63" i="2"/>
  <c r="CZ63" i="2"/>
  <c r="AJ63" i="2"/>
  <c r="AK63" i="2"/>
  <c r="DA63" i="2"/>
  <c r="DL63" i="2"/>
  <c r="AN63" i="2"/>
  <c r="JA63" i="2"/>
  <c r="IO63" i="2"/>
  <c r="D63" i="8"/>
  <c r="AT63" i="8"/>
  <c r="BF63" i="8"/>
  <c r="IX63" i="2"/>
  <c r="BE63" i="8"/>
  <c r="HT63" i="2"/>
  <c r="HU63" i="2"/>
  <c r="HP63" i="2"/>
  <c r="IZ63" i="2"/>
  <c r="HQ63" i="2"/>
  <c r="BG63" i="2"/>
  <c r="IN63" i="2"/>
  <c r="HR63" i="2"/>
  <c r="HL63" i="2"/>
  <c r="HS63" i="2"/>
  <c r="HM63" i="2"/>
  <c r="CQ63" i="2"/>
  <c r="AL59" i="2"/>
  <c r="FZ59" i="2"/>
  <c r="AI59" i="8"/>
  <c r="AG59" i="8"/>
  <c r="V59" i="8"/>
  <c r="JI59" i="2"/>
  <c r="JJ59" i="2"/>
  <c r="AH59" i="8"/>
  <c r="IC59" i="2"/>
  <c r="ID59" i="2"/>
  <c r="AD59" i="2"/>
  <c r="X59" i="2"/>
  <c r="CH59" i="2"/>
  <c r="AE59" i="2"/>
  <c r="GD59" i="2"/>
  <c r="CE59" i="2"/>
  <c r="GE59" i="2"/>
  <c r="CF59" i="2"/>
  <c r="W59" i="2"/>
  <c r="AC59" i="2"/>
  <c r="Q59" i="2"/>
  <c r="L59" i="2"/>
  <c r="R59" i="2"/>
  <c r="FB59" i="2"/>
  <c r="DM59" i="2"/>
  <c r="FC59" i="2"/>
  <c r="DN59" i="2"/>
  <c r="AY59" i="2"/>
  <c r="CZ59" i="2"/>
  <c r="AJ59" i="2"/>
  <c r="AK59" i="2"/>
  <c r="DA59" i="2"/>
  <c r="DL59" i="2"/>
  <c r="AN59" i="2"/>
  <c r="JA59" i="2"/>
  <c r="IO59" i="2"/>
  <c r="D59" i="8"/>
  <c r="AT59" i="8"/>
  <c r="BF59" i="8"/>
  <c r="IX59" i="2"/>
  <c r="BE59" i="8"/>
  <c r="HT59" i="2"/>
  <c r="HU59" i="2"/>
  <c r="HP59" i="2"/>
  <c r="IZ59" i="2"/>
  <c r="HQ59" i="2"/>
  <c r="BG59" i="2"/>
  <c r="IN59" i="2"/>
  <c r="HR59" i="2"/>
  <c r="HL59" i="2"/>
  <c r="HS59" i="2"/>
  <c r="HM59" i="2"/>
  <c r="CQ59" i="2"/>
  <c r="AL55" i="2"/>
  <c r="FZ55" i="2"/>
  <c r="AI55" i="8"/>
  <c r="V55" i="8"/>
  <c r="JI55" i="2"/>
  <c r="JJ55" i="2"/>
  <c r="AG55" i="8"/>
  <c r="AH55" i="8"/>
  <c r="IC55" i="2"/>
  <c r="AD55" i="2"/>
  <c r="X55" i="2"/>
  <c r="ID55" i="2"/>
  <c r="CH55" i="2"/>
  <c r="AE55" i="2"/>
  <c r="GD55" i="2"/>
  <c r="GE55" i="2"/>
  <c r="CF55" i="2"/>
  <c r="W55" i="2"/>
  <c r="CE55" i="2"/>
  <c r="Q55" i="2"/>
  <c r="L55" i="2"/>
  <c r="AC55" i="2"/>
  <c r="R55" i="2"/>
  <c r="FB55" i="2"/>
  <c r="FC55" i="2"/>
  <c r="DM55" i="2"/>
  <c r="DN55" i="2"/>
  <c r="AY55" i="2"/>
  <c r="CZ55" i="2"/>
  <c r="AJ55" i="2"/>
  <c r="AK55" i="2"/>
  <c r="DA55" i="2"/>
  <c r="DL55" i="2"/>
  <c r="AN55" i="2"/>
  <c r="JA55" i="2"/>
  <c r="IO55" i="2"/>
  <c r="D55" i="8"/>
  <c r="AT55" i="8"/>
  <c r="BF55" i="8"/>
  <c r="IX55" i="2"/>
  <c r="BE55" i="8"/>
  <c r="HT55" i="2"/>
  <c r="HU55" i="2"/>
  <c r="HP55" i="2"/>
  <c r="IZ55" i="2"/>
  <c r="HQ55" i="2"/>
  <c r="BG55" i="2"/>
  <c r="IN55" i="2"/>
  <c r="HR55" i="2"/>
  <c r="HL55" i="2"/>
  <c r="HS55" i="2"/>
  <c r="HM55" i="2"/>
  <c r="CQ55" i="2"/>
  <c r="D199" i="10"/>
  <c r="D195" i="10"/>
  <c r="D191" i="10"/>
  <c r="D187" i="10"/>
  <c r="D183" i="10"/>
  <c r="D179" i="10"/>
  <c r="D175" i="10"/>
  <c r="D171" i="10"/>
  <c r="D167" i="10"/>
  <c r="D163" i="10"/>
  <c r="D159" i="10"/>
  <c r="D155" i="10"/>
  <c r="D151" i="10"/>
  <c r="D147" i="10"/>
  <c r="D143" i="10"/>
  <c r="D139" i="10"/>
  <c r="D135" i="10"/>
  <c r="D131" i="10"/>
  <c r="D127" i="10"/>
  <c r="D123" i="10"/>
  <c r="D119" i="10"/>
  <c r="D104" i="10"/>
  <c r="D100" i="10"/>
  <c r="D96" i="10"/>
  <c r="D92" i="10"/>
  <c r="D88" i="10"/>
  <c r="D84" i="10"/>
  <c r="D80" i="10"/>
  <c r="D76" i="10"/>
  <c r="D72" i="10"/>
  <c r="D68" i="10"/>
  <c r="D64" i="10"/>
  <c r="D60" i="10"/>
  <c r="D56" i="10"/>
  <c r="AL198" i="2"/>
  <c r="FZ198" i="2"/>
  <c r="AI198" i="8"/>
  <c r="AG198" i="8"/>
  <c r="JI198" i="2"/>
  <c r="JJ198" i="2"/>
  <c r="AH198" i="8"/>
  <c r="IC198" i="2"/>
  <c r="ID198" i="2"/>
  <c r="V198" i="8"/>
  <c r="GE198" i="2"/>
  <c r="CH198" i="2"/>
  <c r="AD198" i="2"/>
  <c r="CE198" i="2"/>
  <c r="AE198" i="2"/>
  <c r="GD198" i="2"/>
  <c r="CF198" i="2"/>
  <c r="AC198" i="2"/>
  <c r="W198" i="2"/>
  <c r="X198" i="2"/>
  <c r="Q198" i="2"/>
  <c r="L198" i="2"/>
  <c r="R198" i="2"/>
  <c r="FB198" i="2"/>
  <c r="FC198" i="2"/>
  <c r="DN198" i="2"/>
  <c r="CZ198" i="2"/>
  <c r="DA198" i="2"/>
  <c r="DL198" i="2"/>
  <c r="DM198" i="2"/>
  <c r="AJ198" i="2"/>
  <c r="AK198" i="2"/>
  <c r="AN198" i="2"/>
  <c r="AW198" i="2"/>
  <c r="JA198" i="2"/>
  <c r="IO198" i="2"/>
  <c r="D198" i="8"/>
  <c r="AT198" i="8"/>
  <c r="BF198" i="8"/>
  <c r="IX198" i="2"/>
  <c r="BE198" i="8"/>
  <c r="HT198" i="2"/>
  <c r="HU198" i="2"/>
  <c r="HP198" i="2"/>
  <c r="IZ198" i="2"/>
  <c r="HQ198" i="2"/>
  <c r="BG198" i="2"/>
  <c r="IN198" i="2"/>
  <c r="HR198" i="2"/>
  <c r="HL198" i="2"/>
  <c r="HS198" i="2"/>
  <c r="HM198" i="2"/>
  <c r="CQ198" i="2"/>
  <c r="AL194" i="2"/>
  <c r="FZ194" i="2"/>
  <c r="AI194" i="8"/>
  <c r="V194" i="8"/>
  <c r="JI194" i="2"/>
  <c r="JJ194" i="2"/>
  <c r="AG194" i="8"/>
  <c r="AH194" i="8"/>
  <c r="IC194" i="2"/>
  <c r="GE194" i="2"/>
  <c r="CH194" i="2"/>
  <c r="AD194" i="2"/>
  <c r="ID194" i="2"/>
  <c r="CE194" i="2"/>
  <c r="AE194" i="2"/>
  <c r="GD194" i="2"/>
  <c r="AC194" i="2"/>
  <c r="CF194" i="2"/>
  <c r="W194" i="2"/>
  <c r="X194" i="2"/>
  <c r="Q194" i="2"/>
  <c r="L194" i="2"/>
  <c r="R194" i="2"/>
  <c r="FB194" i="2"/>
  <c r="FC194" i="2"/>
  <c r="DN194" i="2"/>
  <c r="CZ194" i="2"/>
  <c r="DA194" i="2"/>
  <c r="DL194" i="2"/>
  <c r="DM194" i="2"/>
  <c r="AJ194" i="2"/>
  <c r="AK194" i="2"/>
  <c r="AN194" i="2"/>
  <c r="AW194" i="2"/>
  <c r="JA194" i="2"/>
  <c r="IO194" i="2"/>
  <c r="D194" i="8"/>
  <c r="AT194" i="8"/>
  <c r="BF194" i="8"/>
  <c r="IX194" i="2"/>
  <c r="BE194" i="8"/>
  <c r="HT194" i="2"/>
  <c r="HU194" i="2"/>
  <c r="HP194" i="2"/>
  <c r="IZ194" i="2"/>
  <c r="HQ194" i="2"/>
  <c r="BG194" i="2"/>
  <c r="IN194" i="2"/>
  <c r="HR194" i="2"/>
  <c r="HL194" i="2"/>
  <c r="HS194" i="2"/>
  <c r="HM194" i="2"/>
  <c r="CQ194" i="2"/>
  <c r="AL190" i="2"/>
  <c r="FZ190" i="2"/>
  <c r="AI190" i="8"/>
  <c r="AG190" i="8"/>
  <c r="V190" i="8"/>
  <c r="JI190" i="2"/>
  <c r="JJ190" i="2"/>
  <c r="AH190" i="8"/>
  <c r="IC190" i="2"/>
  <c r="ID190" i="2"/>
  <c r="GE190" i="2"/>
  <c r="CH190" i="2"/>
  <c r="AD190" i="2"/>
  <c r="CE190" i="2"/>
  <c r="AE190" i="2"/>
  <c r="GD190" i="2"/>
  <c r="CF190" i="2"/>
  <c r="AC190" i="2"/>
  <c r="W190" i="2"/>
  <c r="X190" i="2"/>
  <c r="Q190" i="2"/>
  <c r="L190" i="2"/>
  <c r="R190" i="2"/>
  <c r="FB190" i="2"/>
  <c r="FC190" i="2"/>
  <c r="DN190" i="2"/>
  <c r="CZ190" i="2"/>
  <c r="DA190" i="2"/>
  <c r="DL190" i="2"/>
  <c r="DM190" i="2"/>
  <c r="AJ190" i="2"/>
  <c r="AK190" i="2"/>
  <c r="AN190" i="2"/>
  <c r="AW190" i="2"/>
  <c r="JA190" i="2"/>
  <c r="IO190" i="2"/>
  <c r="D190" i="8"/>
  <c r="AT190" i="8"/>
  <c r="BF190" i="8"/>
  <c r="IX190" i="2"/>
  <c r="BE190" i="8"/>
  <c r="HT190" i="2"/>
  <c r="HU190" i="2"/>
  <c r="HP190" i="2"/>
  <c r="IZ190" i="2"/>
  <c r="HQ190" i="2"/>
  <c r="BG190" i="2"/>
  <c r="IN190" i="2"/>
  <c r="HR190" i="2"/>
  <c r="HL190" i="2"/>
  <c r="HS190" i="2"/>
  <c r="HM190" i="2"/>
  <c r="CQ190" i="2"/>
  <c r="AL186" i="2"/>
  <c r="FZ186" i="2"/>
  <c r="AI186" i="8"/>
  <c r="V186" i="8"/>
  <c r="JI186" i="2"/>
  <c r="JJ186" i="2"/>
  <c r="AG186" i="8"/>
  <c r="GE186" i="2"/>
  <c r="CE186" i="2"/>
  <c r="AD186" i="2"/>
  <c r="AH186" i="8"/>
  <c r="CF186" i="2"/>
  <c r="AE186" i="2"/>
  <c r="IC186" i="2"/>
  <c r="ID186" i="2"/>
  <c r="GD186" i="2"/>
  <c r="AC186" i="2"/>
  <c r="CH186" i="2"/>
  <c r="W186" i="2"/>
  <c r="X186" i="2"/>
  <c r="Q186" i="2"/>
  <c r="L186" i="2"/>
  <c r="R186" i="2"/>
  <c r="FB186" i="2"/>
  <c r="FC186" i="2"/>
  <c r="DN186" i="2"/>
  <c r="CZ186" i="2"/>
  <c r="DA186" i="2"/>
  <c r="DL186" i="2"/>
  <c r="DM186" i="2"/>
  <c r="AJ186" i="2"/>
  <c r="AK186" i="2"/>
  <c r="AN186" i="2"/>
  <c r="AW186" i="2"/>
  <c r="JA186" i="2"/>
  <c r="IO186" i="2"/>
  <c r="D186" i="8"/>
  <c r="AT186" i="8"/>
  <c r="BF186" i="8"/>
  <c r="IX186" i="2"/>
  <c r="BE186" i="8"/>
  <c r="HT186" i="2"/>
  <c r="HU186" i="2"/>
  <c r="HP186" i="2"/>
  <c r="IZ186" i="2"/>
  <c r="HQ186" i="2"/>
  <c r="BG186" i="2"/>
  <c r="IN186" i="2"/>
  <c r="HR186" i="2"/>
  <c r="HL186" i="2"/>
  <c r="HS186" i="2"/>
  <c r="HM186" i="2"/>
  <c r="CQ186" i="2"/>
  <c r="AL182" i="2"/>
  <c r="FZ182" i="2"/>
  <c r="AI182" i="8"/>
  <c r="AG182" i="8"/>
  <c r="V182" i="8"/>
  <c r="JI182" i="2"/>
  <c r="JJ182" i="2"/>
  <c r="AH182" i="8"/>
  <c r="IC182" i="2"/>
  <c r="ID182" i="2"/>
  <c r="GE182" i="2"/>
  <c r="CF182" i="2"/>
  <c r="AD182" i="2"/>
  <c r="AE182" i="2"/>
  <c r="GD182" i="2"/>
  <c r="CH182" i="2"/>
  <c r="AC182" i="2"/>
  <c r="W182" i="2"/>
  <c r="X182" i="2"/>
  <c r="Q182" i="2"/>
  <c r="L182" i="2"/>
  <c r="R182" i="2"/>
  <c r="CE182" i="2"/>
  <c r="FB182" i="2"/>
  <c r="FC182" i="2"/>
  <c r="DN182" i="2"/>
  <c r="CZ182" i="2"/>
  <c r="DA182" i="2"/>
  <c r="DL182" i="2"/>
  <c r="DM182" i="2"/>
  <c r="AJ182" i="2"/>
  <c r="AK182" i="2"/>
  <c r="AN182" i="2"/>
  <c r="AW182" i="2"/>
  <c r="JA182" i="2"/>
  <c r="IO182" i="2"/>
  <c r="D182" i="8"/>
  <c r="AT182" i="8"/>
  <c r="BF182" i="8"/>
  <c r="IX182" i="2"/>
  <c r="BE182" i="8"/>
  <c r="HT182" i="2"/>
  <c r="HU182" i="2"/>
  <c r="HP182" i="2"/>
  <c r="IZ182" i="2"/>
  <c r="HQ182" i="2"/>
  <c r="BG182" i="2"/>
  <c r="IN182" i="2"/>
  <c r="HR182" i="2"/>
  <c r="HL182" i="2"/>
  <c r="HS182" i="2"/>
  <c r="HM182" i="2"/>
  <c r="CQ182" i="2"/>
  <c r="AL178" i="2"/>
  <c r="FZ178" i="2"/>
  <c r="AI178" i="8"/>
  <c r="V178" i="8"/>
  <c r="JI178" i="2"/>
  <c r="JJ178" i="2"/>
  <c r="AG178" i="8"/>
  <c r="AH178" i="8"/>
  <c r="IC178" i="2"/>
  <c r="GE178" i="2"/>
  <c r="CF178" i="2"/>
  <c r="AD178" i="2"/>
  <c r="ID178" i="2"/>
  <c r="AE178" i="2"/>
  <c r="GD178" i="2"/>
  <c r="CE178" i="2"/>
  <c r="AC178" i="2"/>
  <c r="CH178" i="2"/>
  <c r="W178" i="2"/>
  <c r="X178" i="2"/>
  <c r="Q178" i="2"/>
  <c r="L178" i="2"/>
  <c r="R178" i="2"/>
  <c r="FB178" i="2"/>
  <c r="FC178" i="2"/>
  <c r="DN178" i="2"/>
  <c r="CZ178" i="2"/>
  <c r="DA178" i="2"/>
  <c r="DL178" i="2"/>
  <c r="DM178" i="2"/>
  <c r="AJ178" i="2"/>
  <c r="AK178" i="2"/>
  <c r="AN178" i="2"/>
  <c r="AW178" i="2"/>
  <c r="JA178" i="2"/>
  <c r="IO178" i="2"/>
  <c r="D178" i="8"/>
  <c r="AT178" i="8"/>
  <c r="BF178" i="8"/>
  <c r="IX178" i="2"/>
  <c r="BE178" i="8"/>
  <c r="HT178" i="2"/>
  <c r="HU178" i="2"/>
  <c r="HP178" i="2"/>
  <c r="IZ178" i="2"/>
  <c r="HQ178" i="2"/>
  <c r="BG178" i="2"/>
  <c r="IN178" i="2"/>
  <c r="HR178" i="2"/>
  <c r="HL178" i="2"/>
  <c r="HS178" i="2"/>
  <c r="HM178" i="2"/>
  <c r="CQ178" i="2"/>
  <c r="AL174" i="2"/>
  <c r="FZ174" i="2"/>
  <c r="AI174" i="8"/>
  <c r="AG174" i="8"/>
  <c r="V174" i="8"/>
  <c r="JI174" i="2"/>
  <c r="JJ174" i="2"/>
  <c r="AH174" i="8"/>
  <c r="IC174" i="2"/>
  <c r="ID174" i="2"/>
  <c r="GE174" i="2"/>
  <c r="CF174" i="2"/>
  <c r="AD174" i="2"/>
  <c r="AE174" i="2"/>
  <c r="GD174" i="2"/>
  <c r="CE174" i="2"/>
  <c r="CH174" i="2"/>
  <c r="AC174" i="2"/>
  <c r="W174" i="2"/>
  <c r="X174" i="2"/>
  <c r="Q174" i="2"/>
  <c r="L174" i="2"/>
  <c r="R174" i="2"/>
  <c r="FB174" i="2"/>
  <c r="FC174" i="2"/>
  <c r="DN174" i="2"/>
  <c r="CZ174" i="2"/>
  <c r="DA174" i="2"/>
  <c r="DL174" i="2"/>
  <c r="DM174" i="2"/>
  <c r="AJ174" i="2"/>
  <c r="AK174" i="2"/>
  <c r="AN174" i="2"/>
  <c r="AW174" i="2"/>
  <c r="JA174" i="2"/>
  <c r="IO174" i="2"/>
  <c r="D174" i="8"/>
  <c r="AT174" i="8"/>
  <c r="BF174" i="8"/>
  <c r="IX174" i="2"/>
  <c r="BE174" i="8"/>
  <c r="HT174" i="2"/>
  <c r="HU174" i="2"/>
  <c r="HP174" i="2"/>
  <c r="IZ174" i="2"/>
  <c r="HQ174" i="2"/>
  <c r="BG174" i="2"/>
  <c r="IN174" i="2"/>
  <c r="HR174" i="2"/>
  <c r="HL174" i="2"/>
  <c r="HS174" i="2"/>
  <c r="HM174" i="2"/>
  <c r="CQ174" i="2"/>
  <c r="AL170" i="2"/>
  <c r="FZ170" i="2"/>
  <c r="AI170" i="8"/>
  <c r="V170" i="8"/>
  <c r="JI170" i="2"/>
  <c r="JJ170" i="2"/>
  <c r="GE170" i="2"/>
  <c r="CF170" i="2"/>
  <c r="AD170" i="2"/>
  <c r="AE170" i="2"/>
  <c r="AG170" i="8"/>
  <c r="IC170" i="2"/>
  <c r="AH170" i="8"/>
  <c r="GD170" i="2"/>
  <c r="ID170" i="2"/>
  <c r="CE170" i="2"/>
  <c r="AC170" i="2"/>
  <c r="W170" i="2"/>
  <c r="CH170" i="2"/>
  <c r="X170" i="2"/>
  <c r="Q170" i="2"/>
  <c r="L170" i="2"/>
  <c r="R170" i="2"/>
  <c r="FB170" i="2"/>
  <c r="FC170" i="2"/>
  <c r="DN170" i="2"/>
  <c r="CZ170" i="2"/>
  <c r="AJ170" i="2"/>
  <c r="AK170" i="2"/>
  <c r="DA170" i="2"/>
  <c r="DL170" i="2"/>
  <c r="AN170" i="2"/>
  <c r="DM170" i="2"/>
  <c r="JA170" i="2"/>
  <c r="IO170" i="2"/>
  <c r="D170" i="8"/>
  <c r="AT170" i="8"/>
  <c r="BF170" i="8"/>
  <c r="IX170" i="2"/>
  <c r="BE170" i="8"/>
  <c r="HT170" i="2"/>
  <c r="HU170" i="2"/>
  <c r="HP170" i="2"/>
  <c r="IZ170" i="2"/>
  <c r="HQ170" i="2"/>
  <c r="BG170" i="2"/>
  <c r="IN170" i="2"/>
  <c r="HR170" i="2"/>
  <c r="HL170" i="2"/>
  <c r="HS170" i="2"/>
  <c r="HM170" i="2"/>
  <c r="CQ170" i="2"/>
  <c r="AL166" i="2"/>
  <c r="FZ166" i="2"/>
  <c r="AI166" i="8"/>
  <c r="AG166" i="8"/>
  <c r="V166" i="8"/>
  <c r="JI166" i="2"/>
  <c r="JJ166" i="2"/>
  <c r="AH166" i="8"/>
  <c r="IC166" i="2"/>
  <c r="ID166" i="2"/>
  <c r="GE166" i="2"/>
  <c r="CF166" i="2"/>
  <c r="AD166" i="2"/>
  <c r="AE166" i="2"/>
  <c r="GD166" i="2"/>
  <c r="CE166" i="2"/>
  <c r="CH166" i="2"/>
  <c r="AC166" i="2"/>
  <c r="W166" i="2"/>
  <c r="X166" i="2"/>
  <c r="Q166" i="2"/>
  <c r="L166" i="2"/>
  <c r="R166" i="2"/>
  <c r="FB166" i="2"/>
  <c r="FC166" i="2"/>
  <c r="DN166" i="2"/>
  <c r="CZ166" i="2"/>
  <c r="AJ166" i="2"/>
  <c r="AK166" i="2"/>
  <c r="DA166" i="2"/>
  <c r="DL166" i="2"/>
  <c r="AN166" i="2"/>
  <c r="DM166" i="2"/>
  <c r="AY166" i="2"/>
  <c r="JA166" i="2"/>
  <c r="IO166" i="2"/>
  <c r="D166" i="8"/>
  <c r="AT166" i="8"/>
  <c r="BF166" i="8"/>
  <c r="IX166" i="2"/>
  <c r="BE166" i="8"/>
  <c r="HT166" i="2"/>
  <c r="HU166" i="2"/>
  <c r="HP166" i="2"/>
  <c r="IZ166" i="2"/>
  <c r="HQ166" i="2"/>
  <c r="BG166" i="2"/>
  <c r="IN166" i="2"/>
  <c r="HR166" i="2"/>
  <c r="HL166" i="2"/>
  <c r="HS166" i="2"/>
  <c r="HM166" i="2"/>
  <c r="CQ166" i="2"/>
  <c r="AL162" i="2"/>
  <c r="FZ162" i="2"/>
  <c r="AI162" i="8"/>
  <c r="V162" i="8"/>
  <c r="JI162" i="2"/>
  <c r="JJ162" i="2"/>
  <c r="AG162" i="8"/>
  <c r="AH162" i="8"/>
  <c r="IC162" i="2"/>
  <c r="GE162" i="2"/>
  <c r="CF162" i="2"/>
  <c r="AD162" i="2"/>
  <c r="ID162" i="2"/>
  <c r="AE162" i="2"/>
  <c r="GD162" i="2"/>
  <c r="CE162" i="2"/>
  <c r="AC162" i="2"/>
  <c r="CH162" i="2"/>
  <c r="W162" i="2"/>
  <c r="Q162" i="2"/>
  <c r="X162" i="2"/>
  <c r="L162" i="2"/>
  <c r="R162" i="2"/>
  <c r="FB162" i="2"/>
  <c r="FC162" i="2"/>
  <c r="DN162" i="2"/>
  <c r="CZ162" i="2"/>
  <c r="AJ162" i="2"/>
  <c r="AK162" i="2"/>
  <c r="DA162" i="2"/>
  <c r="DL162" i="2"/>
  <c r="AN162" i="2"/>
  <c r="DM162" i="2"/>
  <c r="AW162" i="2"/>
  <c r="JA162" i="2"/>
  <c r="IO162" i="2"/>
  <c r="D162" i="8"/>
  <c r="AT162" i="8"/>
  <c r="BF162" i="8"/>
  <c r="IX162" i="2"/>
  <c r="BE162" i="8"/>
  <c r="HT162" i="2"/>
  <c r="HU162" i="2"/>
  <c r="HP162" i="2"/>
  <c r="IZ162" i="2"/>
  <c r="HQ162" i="2"/>
  <c r="BG162" i="2"/>
  <c r="IN162" i="2"/>
  <c r="HR162" i="2"/>
  <c r="HL162" i="2"/>
  <c r="HS162" i="2"/>
  <c r="HM162" i="2"/>
  <c r="CQ162" i="2"/>
  <c r="AL158" i="2"/>
  <c r="FZ158" i="2"/>
  <c r="AI158" i="8"/>
  <c r="AG158" i="8"/>
  <c r="V158" i="8"/>
  <c r="JI158" i="2"/>
  <c r="JJ158" i="2"/>
  <c r="AH158" i="8"/>
  <c r="IC158" i="2"/>
  <c r="ID158" i="2"/>
  <c r="GE158" i="2"/>
  <c r="CF158" i="2"/>
  <c r="AD158" i="2"/>
  <c r="AE158" i="2"/>
  <c r="GD158" i="2"/>
  <c r="CE158" i="2"/>
  <c r="CH158" i="2"/>
  <c r="AC158" i="2"/>
  <c r="W158" i="2"/>
  <c r="Q158" i="2"/>
  <c r="X158" i="2"/>
  <c r="L158" i="2"/>
  <c r="R158" i="2"/>
  <c r="FB158" i="2"/>
  <c r="FC158" i="2"/>
  <c r="DN158" i="2"/>
  <c r="CZ158" i="2"/>
  <c r="AJ158" i="2"/>
  <c r="AK158" i="2"/>
  <c r="DA158" i="2"/>
  <c r="DL158" i="2"/>
  <c r="AN158" i="2"/>
  <c r="DM158" i="2"/>
  <c r="JA158" i="2"/>
  <c r="IO158" i="2"/>
  <c r="D158" i="8"/>
  <c r="AT158" i="8"/>
  <c r="BF158" i="8"/>
  <c r="IX158" i="2"/>
  <c r="BE158" i="8"/>
  <c r="HT158" i="2"/>
  <c r="HU158" i="2"/>
  <c r="HP158" i="2"/>
  <c r="IZ158" i="2"/>
  <c r="HQ158" i="2"/>
  <c r="BG158" i="2"/>
  <c r="IN158" i="2"/>
  <c r="HR158" i="2"/>
  <c r="HL158" i="2"/>
  <c r="HS158" i="2"/>
  <c r="HM158" i="2"/>
  <c r="CQ158" i="2"/>
  <c r="AL154" i="2"/>
  <c r="FZ154" i="2"/>
  <c r="AI154" i="8"/>
  <c r="V154" i="8"/>
  <c r="JI154" i="2"/>
  <c r="JJ154" i="2"/>
  <c r="AG154" i="8"/>
  <c r="GE154" i="2"/>
  <c r="CF154" i="2"/>
  <c r="AD154" i="2"/>
  <c r="AH154" i="8"/>
  <c r="AE154" i="2"/>
  <c r="IC154" i="2"/>
  <c r="ID154" i="2"/>
  <c r="GD154" i="2"/>
  <c r="CE154" i="2"/>
  <c r="AC154" i="2"/>
  <c r="CH154" i="2"/>
  <c r="W154" i="2"/>
  <c r="Q154" i="2"/>
  <c r="X154" i="2"/>
  <c r="L154" i="2"/>
  <c r="R154" i="2"/>
  <c r="FB154" i="2"/>
  <c r="FC154" i="2"/>
  <c r="DN154" i="2"/>
  <c r="CZ154" i="2"/>
  <c r="AJ154" i="2"/>
  <c r="AK154" i="2"/>
  <c r="DA154" i="2"/>
  <c r="DL154" i="2"/>
  <c r="AN154" i="2"/>
  <c r="DM154" i="2"/>
  <c r="AY154" i="2"/>
  <c r="JA154" i="2"/>
  <c r="IO154" i="2"/>
  <c r="D154" i="8"/>
  <c r="AT154" i="8"/>
  <c r="BF154" i="8"/>
  <c r="IX154" i="2"/>
  <c r="BE154" i="8"/>
  <c r="HT154" i="2"/>
  <c r="HU154" i="2"/>
  <c r="HP154" i="2"/>
  <c r="IZ154" i="2"/>
  <c r="HQ154" i="2"/>
  <c r="BG154" i="2"/>
  <c r="IN154" i="2"/>
  <c r="HR154" i="2"/>
  <c r="HL154" i="2"/>
  <c r="HS154" i="2"/>
  <c r="HM154" i="2"/>
  <c r="CQ154" i="2"/>
  <c r="AL150" i="2"/>
  <c r="FZ150" i="2"/>
  <c r="AI150" i="8"/>
  <c r="AG150" i="8"/>
  <c r="V150" i="8"/>
  <c r="JI150" i="2"/>
  <c r="JJ150" i="2"/>
  <c r="AH150" i="8"/>
  <c r="IC150" i="2"/>
  <c r="ID150" i="2"/>
  <c r="GE150" i="2"/>
  <c r="AD150" i="2"/>
  <c r="CH150" i="2"/>
  <c r="AE150" i="2"/>
  <c r="GD150" i="2"/>
  <c r="CF150" i="2"/>
  <c r="CE150" i="2"/>
  <c r="AC150" i="2"/>
  <c r="W150" i="2"/>
  <c r="Q150" i="2"/>
  <c r="X150" i="2"/>
  <c r="L150" i="2"/>
  <c r="R150" i="2"/>
  <c r="FB150" i="2"/>
  <c r="FC150" i="2"/>
  <c r="DN150" i="2"/>
  <c r="CZ150" i="2"/>
  <c r="AJ150" i="2"/>
  <c r="AK150" i="2"/>
  <c r="DA150" i="2"/>
  <c r="DL150" i="2"/>
  <c r="AN150" i="2"/>
  <c r="DM150" i="2"/>
  <c r="AY150" i="2"/>
  <c r="JA150" i="2"/>
  <c r="IO150" i="2"/>
  <c r="D150" i="8"/>
  <c r="AT150" i="8"/>
  <c r="BF150" i="8"/>
  <c r="IX150" i="2"/>
  <c r="BE150" i="8"/>
  <c r="HT150" i="2"/>
  <c r="HU150" i="2"/>
  <c r="HP150" i="2"/>
  <c r="IZ150" i="2"/>
  <c r="HQ150" i="2"/>
  <c r="BG150" i="2"/>
  <c r="IN150" i="2"/>
  <c r="HR150" i="2"/>
  <c r="HL150" i="2"/>
  <c r="HS150" i="2"/>
  <c r="HM150" i="2"/>
  <c r="CQ150" i="2"/>
  <c r="AL146" i="2"/>
  <c r="FZ146" i="2"/>
  <c r="AI146" i="8"/>
  <c r="V146" i="8"/>
  <c r="JI146" i="2"/>
  <c r="JJ146" i="2"/>
  <c r="AG146" i="8"/>
  <c r="AH146" i="8"/>
  <c r="IC146" i="2"/>
  <c r="GE146" i="2"/>
  <c r="AD146" i="2"/>
  <c r="ID146" i="2"/>
  <c r="CH146" i="2"/>
  <c r="AE146" i="2"/>
  <c r="GD146" i="2"/>
  <c r="CE146" i="2"/>
  <c r="CF146" i="2"/>
  <c r="AC146" i="2"/>
  <c r="W146" i="2"/>
  <c r="Q146" i="2"/>
  <c r="X146" i="2"/>
  <c r="L146" i="2"/>
  <c r="R146" i="2"/>
  <c r="FB146" i="2"/>
  <c r="FC146" i="2"/>
  <c r="DN146" i="2"/>
  <c r="CZ146" i="2"/>
  <c r="AJ146" i="2"/>
  <c r="AK146" i="2"/>
  <c r="DA146" i="2"/>
  <c r="DL146" i="2"/>
  <c r="AN146" i="2"/>
  <c r="DM146" i="2"/>
  <c r="AW146" i="2"/>
  <c r="JA146" i="2"/>
  <c r="IO146" i="2"/>
  <c r="D146" i="8"/>
  <c r="AT146" i="8"/>
  <c r="BF146" i="8"/>
  <c r="IX146" i="2"/>
  <c r="BE146" i="8"/>
  <c r="HT146" i="2"/>
  <c r="HU146" i="2"/>
  <c r="HP146" i="2"/>
  <c r="IZ146" i="2"/>
  <c r="HQ146" i="2"/>
  <c r="BG146" i="2"/>
  <c r="IN146" i="2"/>
  <c r="HR146" i="2"/>
  <c r="HL146" i="2"/>
  <c r="HS146" i="2"/>
  <c r="HM146" i="2"/>
  <c r="CQ146" i="2"/>
  <c r="AL142" i="2"/>
  <c r="FZ142" i="2"/>
  <c r="AI142" i="8"/>
  <c r="AG142" i="8"/>
  <c r="V142" i="8"/>
  <c r="JI142" i="2"/>
  <c r="JJ142" i="2"/>
  <c r="AH142" i="8"/>
  <c r="IC142" i="2"/>
  <c r="ID142" i="2"/>
  <c r="GE142" i="2"/>
  <c r="AD142" i="2"/>
  <c r="CH142" i="2"/>
  <c r="AE142" i="2"/>
  <c r="GD142" i="2"/>
  <c r="CF142" i="2"/>
  <c r="CE142" i="2"/>
  <c r="AC142" i="2"/>
  <c r="W142" i="2"/>
  <c r="Q142" i="2"/>
  <c r="X142" i="2"/>
  <c r="L142" i="2"/>
  <c r="R142" i="2"/>
  <c r="FB142" i="2"/>
  <c r="FC142" i="2"/>
  <c r="DN142" i="2"/>
  <c r="CZ142" i="2"/>
  <c r="AJ142" i="2"/>
  <c r="AK142" i="2"/>
  <c r="DA142" i="2"/>
  <c r="DL142" i="2"/>
  <c r="AN142" i="2"/>
  <c r="DM142" i="2"/>
  <c r="JA142" i="2"/>
  <c r="IO142" i="2"/>
  <c r="D142" i="8"/>
  <c r="AT142" i="8"/>
  <c r="BF142" i="8"/>
  <c r="IX142" i="2"/>
  <c r="BE142" i="8"/>
  <c r="HT142" i="2"/>
  <c r="HU142" i="2"/>
  <c r="HP142" i="2"/>
  <c r="IZ142" i="2"/>
  <c r="HQ142" i="2"/>
  <c r="BG142" i="2"/>
  <c r="IN142" i="2"/>
  <c r="HR142" i="2"/>
  <c r="HL142" i="2"/>
  <c r="HS142" i="2"/>
  <c r="HM142" i="2"/>
  <c r="CQ142" i="2"/>
  <c r="AL138" i="2"/>
  <c r="FZ138" i="2"/>
  <c r="AI138" i="8"/>
  <c r="V138" i="8"/>
  <c r="JI138" i="2"/>
  <c r="JJ138" i="2"/>
  <c r="GE138" i="2"/>
  <c r="AD138" i="2"/>
  <c r="CH138" i="2"/>
  <c r="AE138" i="2"/>
  <c r="AG138" i="8"/>
  <c r="AH138" i="8"/>
  <c r="IC138" i="2"/>
  <c r="GD138" i="2"/>
  <c r="CE138" i="2"/>
  <c r="CF138" i="2"/>
  <c r="AC138" i="2"/>
  <c r="ID138" i="2"/>
  <c r="W138" i="2"/>
  <c r="Q138" i="2"/>
  <c r="X138" i="2"/>
  <c r="L138" i="2"/>
  <c r="R138" i="2"/>
  <c r="FB138" i="2"/>
  <c r="FC138" i="2"/>
  <c r="DN138" i="2"/>
  <c r="CZ138" i="2"/>
  <c r="AJ138" i="2"/>
  <c r="AK138" i="2"/>
  <c r="DA138" i="2"/>
  <c r="DL138" i="2"/>
  <c r="AN138" i="2"/>
  <c r="DM138" i="2"/>
  <c r="AY138" i="2"/>
  <c r="JA138" i="2"/>
  <c r="IO138" i="2"/>
  <c r="D138" i="8"/>
  <c r="AT138" i="8"/>
  <c r="BF138" i="8"/>
  <c r="IX138" i="2"/>
  <c r="BE138" i="8"/>
  <c r="HT138" i="2"/>
  <c r="HU138" i="2"/>
  <c r="HP138" i="2"/>
  <c r="IZ138" i="2"/>
  <c r="HQ138" i="2"/>
  <c r="BG138" i="2"/>
  <c r="IN138" i="2"/>
  <c r="HR138" i="2"/>
  <c r="HL138" i="2"/>
  <c r="HS138" i="2"/>
  <c r="HM138" i="2"/>
  <c r="CQ138" i="2"/>
  <c r="AL134" i="2"/>
  <c r="FZ134" i="2"/>
  <c r="AI134" i="8"/>
  <c r="AG134" i="8"/>
  <c r="V134" i="8"/>
  <c r="JI134" i="2"/>
  <c r="JJ134" i="2"/>
  <c r="AH134" i="8"/>
  <c r="IC134" i="2"/>
  <c r="ID134" i="2"/>
  <c r="GE134" i="2"/>
  <c r="AD134" i="2"/>
  <c r="CH134" i="2"/>
  <c r="AE134" i="2"/>
  <c r="GD134" i="2"/>
  <c r="CF134" i="2"/>
  <c r="CE134" i="2"/>
  <c r="AC134" i="2"/>
  <c r="W134" i="2"/>
  <c r="Q134" i="2"/>
  <c r="X134" i="2"/>
  <c r="L134" i="2"/>
  <c r="R134" i="2"/>
  <c r="FB134" i="2"/>
  <c r="FC134" i="2"/>
  <c r="DN134" i="2"/>
  <c r="CZ134" i="2"/>
  <c r="AJ134" i="2"/>
  <c r="AK134" i="2"/>
  <c r="DA134" i="2"/>
  <c r="DL134" i="2"/>
  <c r="AN134" i="2"/>
  <c r="DM134" i="2"/>
  <c r="JA134" i="2"/>
  <c r="IO134" i="2"/>
  <c r="D134" i="8"/>
  <c r="AT134" i="8"/>
  <c r="BF134" i="8"/>
  <c r="IX134" i="2"/>
  <c r="BE134" i="8"/>
  <c r="HT134" i="2"/>
  <c r="HU134" i="2"/>
  <c r="HP134" i="2"/>
  <c r="IZ134" i="2"/>
  <c r="HQ134" i="2"/>
  <c r="BG134" i="2"/>
  <c r="IN134" i="2"/>
  <c r="HR134" i="2"/>
  <c r="HL134" i="2"/>
  <c r="HS134" i="2"/>
  <c r="HM134" i="2"/>
  <c r="CQ134" i="2"/>
  <c r="AL130" i="2"/>
  <c r="FZ130" i="2"/>
  <c r="AI130" i="8"/>
  <c r="V130" i="8"/>
  <c r="JI130" i="2"/>
  <c r="JJ130" i="2"/>
  <c r="AG130" i="8"/>
  <c r="AH130" i="8"/>
  <c r="IC130" i="2"/>
  <c r="GE130" i="2"/>
  <c r="AD130" i="2"/>
  <c r="ID130" i="2"/>
  <c r="CH130" i="2"/>
  <c r="AE130" i="2"/>
  <c r="GD130" i="2"/>
  <c r="CE130" i="2"/>
  <c r="CF130" i="2"/>
  <c r="AC130" i="2"/>
  <c r="W130" i="2"/>
  <c r="Q130" i="2"/>
  <c r="X130" i="2"/>
  <c r="L130" i="2"/>
  <c r="R130" i="2"/>
  <c r="FB130" i="2"/>
  <c r="FC130" i="2"/>
  <c r="DM130" i="2"/>
  <c r="DN130" i="2"/>
  <c r="CZ130" i="2"/>
  <c r="AJ130" i="2"/>
  <c r="AK130" i="2"/>
  <c r="DA130" i="2"/>
  <c r="DL130" i="2"/>
  <c r="AN130" i="2"/>
  <c r="AY130" i="2"/>
  <c r="JA130" i="2"/>
  <c r="IO130" i="2"/>
  <c r="D130" i="8"/>
  <c r="AT130" i="8"/>
  <c r="BF130" i="8"/>
  <c r="IX130" i="2"/>
  <c r="BE130" i="8"/>
  <c r="HT130" i="2"/>
  <c r="HU130" i="2"/>
  <c r="HP130" i="2"/>
  <c r="IZ130" i="2"/>
  <c r="HQ130" i="2"/>
  <c r="BG130" i="2"/>
  <c r="IN130" i="2"/>
  <c r="HR130" i="2"/>
  <c r="HL130" i="2"/>
  <c r="HS130" i="2"/>
  <c r="HM130" i="2"/>
  <c r="CQ130" i="2"/>
  <c r="AL126" i="2"/>
  <c r="FZ126" i="2"/>
  <c r="AI126" i="8"/>
  <c r="AG126" i="8"/>
  <c r="V126" i="8"/>
  <c r="JI126" i="2"/>
  <c r="JJ126" i="2"/>
  <c r="AH126" i="8"/>
  <c r="IC126" i="2"/>
  <c r="ID126" i="2"/>
  <c r="AD126" i="2"/>
  <c r="CH126" i="2"/>
  <c r="AE126" i="2"/>
  <c r="GD126" i="2"/>
  <c r="CF126" i="2"/>
  <c r="GE126" i="2"/>
  <c r="AC126" i="2"/>
  <c r="W126" i="2"/>
  <c r="Q126" i="2"/>
  <c r="X126" i="2"/>
  <c r="CE126" i="2"/>
  <c r="L126" i="2"/>
  <c r="R126" i="2"/>
  <c r="FB126" i="2"/>
  <c r="FC126" i="2"/>
  <c r="DM126" i="2"/>
  <c r="DN126" i="2"/>
  <c r="CZ126" i="2"/>
  <c r="AJ126" i="2"/>
  <c r="AK126" i="2"/>
  <c r="DA126" i="2"/>
  <c r="DL126" i="2"/>
  <c r="AN126" i="2"/>
  <c r="AW126" i="2"/>
  <c r="JA126" i="2"/>
  <c r="IO126" i="2"/>
  <c r="D126" i="8"/>
  <c r="AT126" i="8"/>
  <c r="BF126" i="8"/>
  <c r="IX126" i="2"/>
  <c r="BE126" i="8"/>
  <c r="HT126" i="2"/>
  <c r="HU126" i="2"/>
  <c r="HP126" i="2"/>
  <c r="IZ126" i="2"/>
  <c r="HQ126" i="2"/>
  <c r="BG126" i="2"/>
  <c r="IN126" i="2"/>
  <c r="HR126" i="2"/>
  <c r="HL126" i="2"/>
  <c r="HS126" i="2"/>
  <c r="HM126" i="2"/>
  <c r="CQ126" i="2"/>
  <c r="AL122" i="2"/>
  <c r="FZ122" i="2"/>
  <c r="AI122" i="8"/>
  <c r="V122" i="8"/>
  <c r="JI122" i="2"/>
  <c r="JJ122" i="2"/>
  <c r="AG122" i="8"/>
  <c r="CH122" i="2"/>
  <c r="AD122" i="2"/>
  <c r="AH122" i="8"/>
  <c r="CE122" i="2"/>
  <c r="AE122" i="2"/>
  <c r="IC122" i="2"/>
  <c r="ID122" i="2"/>
  <c r="CF122" i="2"/>
  <c r="GD122" i="2"/>
  <c r="GE122" i="2"/>
  <c r="AC122" i="2"/>
  <c r="W122" i="2"/>
  <c r="Q122" i="2"/>
  <c r="X122" i="2"/>
  <c r="L122" i="2"/>
  <c r="R122" i="2"/>
  <c r="FB122" i="2"/>
  <c r="FC122" i="2"/>
  <c r="DM122" i="2"/>
  <c r="DN122" i="2"/>
  <c r="CZ122" i="2"/>
  <c r="AJ122" i="2"/>
  <c r="AK122" i="2"/>
  <c r="DA122" i="2"/>
  <c r="DL122" i="2"/>
  <c r="AN122" i="2"/>
  <c r="AW122" i="2"/>
  <c r="JA122" i="2"/>
  <c r="IO122" i="2"/>
  <c r="D122" i="8"/>
  <c r="AT122" i="8"/>
  <c r="BF122" i="8"/>
  <c r="IX122" i="2"/>
  <c r="BE122" i="8"/>
  <c r="HT122" i="2"/>
  <c r="HU122" i="2"/>
  <c r="HP122" i="2"/>
  <c r="IZ122" i="2"/>
  <c r="HQ122" i="2"/>
  <c r="BG122" i="2"/>
  <c r="IN122" i="2"/>
  <c r="HR122" i="2"/>
  <c r="HL122" i="2"/>
  <c r="HS122" i="2"/>
  <c r="HM122" i="2"/>
  <c r="CQ122" i="2"/>
  <c r="AL118" i="2"/>
  <c r="FZ118" i="2"/>
  <c r="AI118" i="8"/>
  <c r="AG118" i="8"/>
  <c r="V118" i="8"/>
  <c r="JI118" i="2"/>
  <c r="JJ118" i="2"/>
  <c r="AH118" i="8"/>
  <c r="IC118" i="2"/>
  <c r="ID118" i="2"/>
  <c r="CE118" i="2"/>
  <c r="AD118" i="2"/>
  <c r="X118" i="2"/>
  <c r="CF118" i="2"/>
  <c r="AE118" i="2"/>
  <c r="GD118" i="2"/>
  <c r="CH118" i="2"/>
  <c r="GE118" i="2"/>
  <c r="W118" i="2"/>
  <c r="AC118" i="2"/>
  <c r="Q118" i="2"/>
  <c r="L118" i="2"/>
  <c r="R118" i="2"/>
  <c r="FB118" i="2"/>
  <c r="FC118" i="2"/>
  <c r="DM118" i="2"/>
  <c r="DN118" i="2"/>
  <c r="CZ118" i="2"/>
  <c r="AJ118" i="2"/>
  <c r="AK118" i="2"/>
  <c r="DA118" i="2"/>
  <c r="DL118" i="2"/>
  <c r="AN118" i="2"/>
  <c r="JA118" i="2"/>
  <c r="IO118" i="2"/>
  <c r="D118" i="8"/>
  <c r="AT118" i="8"/>
  <c r="BF118" i="8"/>
  <c r="IX118" i="2"/>
  <c r="BE118" i="8"/>
  <c r="HT118" i="2"/>
  <c r="HU118" i="2"/>
  <c r="HP118" i="2"/>
  <c r="IZ118" i="2"/>
  <c r="HQ118" i="2"/>
  <c r="BG118" i="2"/>
  <c r="IN118" i="2"/>
  <c r="HR118" i="2"/>
  <c r="HL118" i="2"/>
  <c r="HS118" i="2"/>
  <c r="HM118" i="2"/>
  <c r="CQ118" i="2"/>
  <c r="DA114" i="2"/>
  <c r="CZ114" i="2"/>
  <c r="DA110" i="2"/>
  <c r="CZ110" i="2"/>
  <c r="DA106" i="2"/>
  <c r="V106" i="8"/>
  <c r="AL102" i="2"/>
  <c r="FZ102" i="2"/>
  <c r="AH102" i="8"/>
  <c r="V102" i="8"/>
  <c r="AI102" i="8"/>
  <c r="ID102" i="2"/>
  <c r="AG102" i="8"/>
  <c r="GD102" i="2"/>
  <c r="IC102" i="2"/>
  <c r="GE102" i="2"/>
  <c r="CF102" i="2"/>
  <c r="AE102" i="2"/>
  <c r="X102" i="2"/>
  <c r="JI102" i="2"/>
  <c r="JJ102" i="2"/>
  <c r="CE102" i="2"/>
  <c r="AC102" i="2"/>
  <c r="AD102" i="2"/>
  <c r="W102" i="2"/>
  <c r="Q102" i="2"/>
  <c r="L102" i="2"/>
  <c r="FC102" i="2"/>
  <c r="R102" i="2"/>
  <c r="CH102" i="2"/>
  <c r="DM102" i="2"/>
  <c r="FB102" i="2"/>
  <c r="DN102" i="2"/>
  <c r="DA102" i="2"/>
  <c r="DL102" i="2"/>
  <c r="AN102" i="2"/>
  <c r="AW102" i="2"/>
  <c r="CZ102" i="2"/>
  <c r="AJ102" i="2"/>
  <c r="AK102" i="2"/>
  <c r="JA102" i="2"/>
  <c r="IO102" i="2"/>
  <c r="D102" i="8"/>
  <c r="AT102" i="8"/>
  <c r="BF102" i="8"/>
  <c r="IX102" i="2"/>
  <c r="BE102" i="8"/>
  <c r="HT102" i="2"/>
  <c r="HU102" i="2"/>
  <c r="IZ102" i="2"/>
  <c r="HP102" i="2"/>
  <c r="HL102" i="2"/>
  <c r="HQ102" i="2"/>
  <c r="HM102" i="2"/>
  <c r="HR102" i="2"/>
  <c r="CQ102" i="2"/>
  <c r="BG102" i="2"/>
  <c r="IN102" i="2"/>
  <c r="HS102" i="2"/>
  <c r="AL98" i="2"/>
  <c r="FZ98" i="2"/>
  <c r="AH98" i="8"/>
  <c r="V98" i="8"/>
  <c r="AI98" i="8"/>
  <c r="ID98" i="2"/>
  <c r="GD98" i="2"/>
  <c r="AG98" i="8"/>
  <c r="JI98" i="2"/>
  <c r="JJ98" i="2"/>
  <c r="GE98" i="2"/>
  <c r="CF98" i="2"/>
  <c r="AE98" i="2"/>
  <c r="X98" i="2"/>
  <c r="IC98" i="2"/>
  <c r="CE98" i="2"/>
  <c r="CH98" i="2"/>
  <c r="AD98" i="2"/>
  <c r="W98" i="2"/>
  <c r="Q98" i="2"/>
  <c r="AC98" i="2"/>
  <c r="L98" i="2"/>
  <c r="FC98" i="2"/>
  <c r="R98" i="2"/>
  <c r="DM98" i="2"/>
  <c r="DN98" i="2"/>
  <c r="FB98" i="2"/>
  <c r="DA98" i="2"/>
  <c r="DL98" i="2"/>
  <c r="AN98" i="2"/>
  <c r="AW98" i="2"/>
  <c r="CZ98" i="2"/>
  <c r="AJ98" i="2"/>
  <c r="AK98" i="2"/>
  <c r="JA98" i="2"/>
  <c r="IO98" i="2"/>
  <c r="D98" i="8"/>
  <c r="AT98" i="8"/>
  <c r="BF98" i="8"/>
  <c r="IX98" i="2"/>
  <c r="BE98" i="8"/>
  <c r="HT98" i="2"/>
  <c r="HU98" i="2"/>
  <c r="IZ98" i="2"/>
  <c r="HP98" i="2"/>
  <c r="HL98" i="2"/>
  <c r="HQ98" i="2"/>
  <c r="HM98" i="2"/>
  <c r="HR98" i="2"/>
  <c r="CQ98" i="2"/>
  <c r="BG98" i="2"/>
  <c r="IN98" i="2"/>
  <c r="HS98" i="2"/>
  <c r="AL94" i="2"/>
  <c r="FZ94" i="2"/>
  <c r="AH94" i="8"/>
  <c r="V94" i="8"/>
  <c r="AI94" i="8"/>
  <c r="ID94" i="2"/>
  <c r="AG94" i="8"/>
  <c r="GD94" i="2"/>
  <c r="IC94" i="2"/>
  <c r="GE94" i="2"/>
  <c r="CF94" i="2"/>
  <c r="AE94" i="2"/>
  <c r="X94" i="2"/>
  <c r="JI94" i="2"/>
  <c r="JJ94" i="2"/>
  <c r="CE94" i="2"/>
  <c r="AC94" i="2"/>
  <c r="CH94" i="2"/>
  <c r="AD94" i="2"/>
  <c r="W94" i="2"/>
  <c r="Q94" i="2"/>
  <c r="L94" i="2"/>
  <c r="FC94" i="2"/>
  <c r="R94" i="2"/>
  <c r="DM94" i="2"/>
  <c r="DN94" i="2"/>
  <c r="FB94" i="2"/>
  <c r="DA94" i="2"/>
  <c r="DL94" i="2"/>
  <c r="AN94" i="2"/>
  <c r="AW94" i="2"/>
  <c r="CZ94" i="2"/>
  <c r="AJ94" i="2"/>
  <c r="AK94" i="2"/>
  <c r="JA94" i="2"/>
  <c r="IO94" i="2"/>
  <c r="D94" i="8"/>
  <c r="AT94" i="8"/>
  <c r="BF94" i="8"/>
  <c r="IX94" i="2"/>
  <c r="BE94" i="8"/>
  <c r="HT94" i="2"/>
  <c r="HU94" i="2"/>
  <c r="IZ94" i="2"/>
  <c r="HP94" i="2"/>
  <c r="HL94" i="2"/>
  <c r="HQ94" i="2"/>
  <c r="HM94" i="2"/>
  <c r="HR94" i="2"/>
  <c r="CQ94" i="2"/>
  <c r="BG94" i="2"/>
  <c r="IN94" i="2"/>
  <c r="HS94" i="2"/>
  <c r="AL90" i="2"/>
  <c r="FZ90" i="2"/>
  <c r="AH90" i="8"/>
  <c r="V90" i="8"/>
  <c r="AI90" i="8"/>
  <c r="ID90" i="2"/>
  <c r="GD90" i="2"/>
  <c r="JI90" i="2"/>
  <c r="JJ90" i="2"/>
  <c r="GE90" i="2"/>
  <c r="CF90" i="2"/>
  <c r="AE90" i="2"/>
  <c r="X90" i="2"/>
  <c r="AG90" i="8"/>
  <c r="IC90" i="2"/>
  <c r="CE90" i="2"/>
  <c r="CH90" i="2"/>
  <c r="AD90" i="2"/>
  <c r="W90" i="2"/>
  <c r="Q90" i="2"/>
  <c r="L90" i="2"/>
  <c r="FC90" i="2"/>
  <c r="R90" i="2"/>
  <c r="AC90" i="2"/>
  <c r="FB90" i="2"/>
  <c r="DM90" i="2"/>
  <c r="DN90" i="2"/>
  <c r="DA90" i="2"/>
  <c r="DL90" i="2"/>
  <c r="AN90" i="2"/>
  <c r="AW90" i="2"/>
  <c r="CZ90" i="2"/>
  <c r="AJ90" i="2"/>
  <c r="AK90" i="2"/>
  <c r="JA90" i="2"/>
  <c r="IO90" i="2"/>
  <c r="D90" i="8"/>
  <c r="AT90" i="8"/>
  <c r="BF90" i="8"/>
  <c r="IX90" i="2"/>
  <c r="BE90" i="8"/>
  <c r="HT90" i="2"/>
  <c r="HU90" i="2"/>
  <c r="IZ90" i="2"/>
  <c r="HP90" i="2"/>
  <c r="HL90" i="2"/>
  <c r="HQ90" i="2"/>
  <c r="HM90" i="2"/>
  <c r="HR90" i="2"/>
  <c r="CQ90" i="2"/>
  <c r="BG90" i="2"/>
  <c r="IN90" i="2"/>
  <c r="HS90" i="2"/>
  <c r="AL86" i="2"/>
  <c r="FZ86" i="2"/>
  <c r="AH86" i="8"/>
  <c r="V86" i="8"/>
  <c r="AI86" i="8"/>
  <c r="ID86" i="2"/>
  <c r="AG86" i="8"/>
  <c r="GD86" i="2"/>
  <c r="IC86" i="2"/>
  <c r="GE86" i="2"/>
  <c r="AE86" i="2"/>
  <c r="X86" i="2"/>
  <c r="CH86" i="2"/>
  <c r="CE86" i="2"/>
  <c r="CF86" i="2"/>
  <c r="AC86" i="2"/>
  <c r="JI86" i="2"/>
  <c r="JJ86" i="2"/>
  <c r="AD86" i="2"/>
  <c r="W86" i="2"/>
  <c r="Q86" i="2"/>
  <c r="L86" i="2"/>
  <c r="FC86" i="2"/>
  <c r="R86" i="2"/>
  <c r="DM86" i="2"/>
  <c r="FB86" i="2"/>
  <c r="DN86" i="2"/>
  <c r="DA86" i="2"/>
  <c r="DL86" i="2"/>
  <c r="AN86" i="2"/>
  <c r="AW86" i="2"/>
  <c r="CZ86" i="2"/>
  <c r="AJ86" i="2"/>
  <c r="AK86" i="2"/>
  <c r="JA86" i="2"/>
  <c r="IO86" i="2"/>
  <c r="D86" i="8"/>
  <c r="AT86" i="8"/>
  <c r="BF86" i="8"/>
  <c r="IX86" i="2"/>
  <c r="BE86" i="8"/>
  <c r="HT86" i="2"/>
  <c r="HU86" i="2"/>
  <c r="IZ86" i="2"/>
  <c r="HP86" i="2"/>
  <c r="HL86" i="2"/>
  <c r="HQ86" i="2"/>
  <c r="HM86" i="2"/>
  <c r="HR86" i="2"/>
  <c r="CQ86" i="2"/>
  <c r="BG86" i="2"/>
  <c r="IN86" i="2"/>
  <c r="HS86" i="2"/>
  <c r="AL82" i="2"/>
  <c r="FZ82" i="2"/>
  <c r="AH82" i="8"/>
  <c r="V82" i="8"/>
  <c r="AI82" i="8"/>
  <c r="ID82" i="2"/>
  <c r="GD82" i="2"/>
  <c r="AG82" i="8"/>
  <c r="JI82" i="2"/>
  <c r="JJ82" i="2"/>
  <c r="GE82" i="2"/>
  <c r="AE82" i="2"/>
  <c r="X82" i="2"/>
  <c r="IC82" i="2"/>
  <c r="CH82" i="2"/>
  <c r="CF82" i="2"/>
  <c r="AD82" i="2"/>
  <c r="CE82" i="2"/>
  <c r="W82" i="2"/>
  <c r="Q82" i="2"/>
  <c r="L82" i="2"/>
  <c r="FC82" i="2"/>
  <c r="R82" i="2"/>
  <c r="AC82" i="2"/>
  <c r="DM82" i="2"/>
  <c r="DN82" i="2"/>
  <c r="FB82" i="2"/>
  <c r="DA82" i="2"/>
  <c r="DL82" i="2"/>
  <c r="AN82" i="2"/>
  <c r="AY82" i="2"/>
  <c r="CZ82" i="2"/>
  <c r="AJ82" i="2"/>
  <c r="AK82" i="2"/>
  <c r="JA82" i="2"/>
  <c r="IO82" i="2"/>
  <c r="D82" i="8"/>
  <c r="AT82" i="8"/>
  <c r="BF82" i="8"/>
  <c r="IX82" i="2"/>
  <c r="BE82" i="8"/>
  <c r="HT82" i="2"/>
  <c r="HU82" i="2"/>
  <c r="IZ82" i="2"/>
  <c r="HP82" i="2"/>
  <c r="HL82" i="2"/>
  <c r="HQ82" i="2"/>
  <c r="HM82" i="2"/>
  <c r="HR82" i="2"/>
  <c r="CQ82" i="2"/>
  <c r="BG82" i="2"/>
  <c r="IN82" i="2"/>
  <c r="HS82" i="2"/>
  <c r="AL78" i="2"/>
  <c r="FZ78" i="2"/>
  <c r="AH78" i="8"/>
  <c r="V78" i="8"/>
  <c r="AI78" i="8"/>
  <c r="ID78" i="2"/>
  <c r="AG78" i="8"/>
  <c r="GD78" i="2"/>
  <c r="IC78" i="2"/>
  <c r="GE78" i="2"/>
  <c r="AE78" i="2"/>
  <c r="X78" i="2"/>
  <c r="JI78" i="2"/>
  <c r="JJ78" i="2"/>
  <c r="CH78" i="2"/>
  <c r="CE78" i="2"/>
  <c r="CF78" i="2"/>
  <c r="AC78" i="2"/>
  <c r="AD78" i="2"/>
  <c r="W78" i="2"/>
  <c r="Q78" i="2"/>
  <c r="L78" i="2"/>
  <c r="FC78" i="2"/>
  <c r="R78" i="2"/>
  <c r="DM78" i="2"/>
  <c r="DN78" i="2"/>
  <c r="FB78" i="2"/>
  <c r="DA78" i="2"/>
  <c r="DL78" i="2"/>
  <c r="AN78" i="2"/>
  <c r="AW78" i="2"/>
  <c r="CZ78" i="2"/>
  <c r="AJ78" i="2"/>
  <c r="AK78" i="2"/>
  <c r="JA78" i="2"/>
  <c r="IO78" i="2"/>
  <c r="D78" i="8"/>
  <c r="AT78" i="8"/>
  <c r="BF78" i="8"/>
  <c r="IX78" i="2"/>
  <c r="BE78" i="8"/>
  <c r="HT78" i="2"/>
  <c r="HU78" i="2"/>
  <c r="IZ78" i="2"/>
  <c r="HP78" i="2"/>
  <c r="HL78" i="2"/>
  <c r="HQ78" i="2"/>
  <c r="HM78" i="2"/>
  <c r="HR78" i="2"/>
  <c r="CQ78" i="2"/>
  <c r="BG78" i="2"/>
  <c r="IN78" i="2"/>
  <c r="HS78" i="2"/>
  <c r="AL74" i="2"/>
  <c r="FZ74" i="2"/>
  <c r="AH74" i="8"/>
  <c r="V74" i="8"/>
  <c r="AI74" i="8"/>
  <c r="ID74" i="2"/>
  <c r="GD74" i="2"/>
  <c r="JI74" i="2"/>
  <c r="JJ74" i="2"/>
  <c r="GE74" i="2"/>
  <c r="AE74" i="2"/>
  <c r="X74" i="2"/>
  <c r="CH74" i="2"/>
  <c r="AG74" i="8"/>
  <c r="CF74" i="2"/>
  <c r="IC74" i="2"/>
  <c r="AD74" i="2"/>
  <c r="CE74" i="2"/>
  <c r="W74" i="2"/>
  <c r="Q74" i="2"/>
  <c r="L74" i="2"/>
  <c r="FC74" i="2"/>
  <c r="AC74" i="2"/>
  <c r="R74" i="2"/>
  <c r="FB74" i="2"/>
  <c r="DM74" i="2"/>
  <c r="DN74" i="2"/>
  <c r="DA74" i="2"/>
  <c r="DL74" i="2"/>
  <c r="AN74" i="2"/>
  <c r="AW74" i="2"/>
  <c r="CZ74" i="2"/>
  <c r="AJ74" i="2"/>
  <c r="AK74" i="2"/>
  <c r="JA74" i="2"/>
  <c r="IO74" i="2"/>
  <c r="D74" i="8"/>
  <c r="AT74" i="8"/>
  <c r="BF74" i="8"/>
  <c r="IX74" i="2"/>
  <c r="BE74" i="8"/>
  <c r="HT74" i="2"/>
  <c r="HU74" i="2"/>
  <c r="IZ74" i="2"/>
  <c r="HP74" i="2"/>
  <c r="HL74" i="2"/>
  <c r="HQ74" i="2"/>
  <c r="HM74" i="2"/>
  <c r="HR74" i="2"/>
  <c r="CQ74" i="2"/>
  <c r="BG74" i="2"/>
  <c r="IN74" i="2"/>
  <c r="HS74" i="2"/>
  <c r="AL70" i="2"/>
  <c r="FZ70" i="2"/>
  <c r="AH70" i="8"/>
  <c r="V70" i="8"/>
  <c r="AI70" i="8"/>
  <c r="ID70" i="2"/>
  <c r="AG70" i="8"/>
  <c r="GD70" i="2"/>
  <c r="IC70" i="2"/>
  <c r="GE70" i="2"/>
  <c r="CH70" i="2"/>
  <c r="AE70" i="2"/>
  <c r="X70" i="2"/>
  <c r="CE70" i="2"/>
  <c r="JI70" i="2"/>
  <c r="JJ70" i="2"/>
  <c r="CF70" i="2"/>
  <c r="AC70" i="2"/>
  <c r="AD70" i="2"/>
  <c r="W70" i="2"/>
  <c r="Q70" i="2"/>
  <c r="L70" i="2"/>
  <c r="FC70" i="2"/>
  <c r="R70" i="2"/>
  <c r="DM70" i="2"/>
  <c r="FB70" i="2"/>
  <c r="DN70" i="2"/>
  <c r="DA70" i="2"/>
  <c r="DL70" i="2"/>
  <c r="AN70" i="2"/>
  <c r="CZ70" i="2"/>
  <c r="AJ70" i="2"/>
  <c r="AK70" i="2"/>
  <c r="JA70" i="2"/>
  <c r="IO70" i="2"/>
  <c r="D70" i="8"/>
  <c r="AT70" i="8"/>
  <c r="BF70" i="8"/>
  <c r="IX70" i="2"/>
  <c r="BE70" i="8"/>
  <c r="HT70" i="2"/>
  <c r="HU70" i="2"/>
  <c r="IZ70" i="2"/>
  <c r="HP70" i="2"/>
  <c r="HL70" i="2"/>
  <c r="HQ70" i="2"/>
  <c r="HM70" i="2"/>
  <c r="HR70" i="2"/>
  <c r="CQ70" i="2"/>
  <c r="BG70" i="2"/>
  <c r="IN70" i="2"/>
  <c r="HS70" i="2"/>
  <c r="AL66" i="2"/>
  <c r="FZ66" i="2"/>
  <c r="AH66" i="8"/>
  <c r="V66" i="8"/>
  <c r="AI66" i="8"/>
  <c r="ID66" i="2"/>
  <c r="GD66" i="2"/>
  <c r="AG66" i="8"/>
  <c r="JI66" i="2"/>
  <c r="JJ66" i="2"/>
  <c r="GE66" i="2"/>
  <c r="CH66" i="2"/>
  <c r="AE66" i="2"/>
  <c r="X66" i="2"/>
  <c r="IC66" i="2"/>
  <c r="CE66" i="2"/>
  <c r="CF66" i="2"/>
  <c r="AD66" i="2"/>
  <c r="W66" i="2"/>
  <c r="Q66" i="2"/>
  <c r="AC66" i="2"/>
  <c r="L66" i="2"/>
  <c r="FC66" i="2"/>
  <c r="R66" i="2"/>
  <c r="DM66" i="2"/>
  <c r="DN66" i="2"/>
  <c r="FB66" i="2"/>
  <c r="DA66" i="2"/>
  <c r="DL66" i="2"/>
  <c r="AN66" i="2"/>
  <c r="AW66" i="2"/>
  <c r="CZ66" i="2"/>
  <c r="AJ66" i="2"/>
  <c r="AK66" i="2"/>
  <c r="JA66" i="2"/>
  <c r="IO66" i="2"/>
  <c r="D66" i="8"/>
  <c r="AT66" i="8"/>
  <c r="BF66" i="8"/>
  <c r="IX66" i="2"/>
  <c r="BE66" i="8"/>
  <c r="HT66" i="2"/>
  <c r="HU66" i="2"/>
  <c r="IZ66" i="2"/>
  <c r="HP66" i="2"/>
  <c r="HL66" i="2"/>
  <c r="HQ66" i="2"/>
  <c r="HM66" i="2"/>
  <c r="HR66" i="2"/>
  <c r="CQ66" i="2"/>
  <c r="BG66" i="2"/>
  <c r="IN66" i="2"/>
  <c r="HS66" i="2"/>
  <c r="AL62" i="2"/>
  <c r="FZ62" i="2"/>
  <c r="AH62" i="8"/>
  <c r="V62" i="8"/>
  <c r="AI62" i="8"/>
  <c r="ID62" i="2"/>
  <c r="AG62" i="8"/>
  <c r="GD62" i="2"/>
  <c r="IC62" i="2"/>
  <c r="GE62" i="2"/>
  <c r="CH62" i="2"/>
  <c r="AE62" i="2"/>
  <c r="X62" i="2"/>
  <c r="JI62" i="2"/>
  <c r="JJ62" i="2"/>
  <c r="CE62" i="2"/>
  <c r="CF62" i="2"/>
  <c r="AC62" i="2"/>
  <c r="AD62" i="2"/>
  <c r="W62" i="2"/>
  <c r="Q62" i="2"/>
  <c r="L62" i="2"/>
  <c r="FC62" i="2"/>
  <c r="R62" i="2"/>
  <c r="DM62" i="2"/>
  <c r="DN62" i="2"/>
  <c r="FB62" i="2"/>
  <c r="DA62" i="2"/>
  <c r="DL62" i="2"/>
  <c r="AN62" i="2"/>
  <c r="AW62" i="2"/>
  <c r="CZ62" i="2"/>
  <c r="AJ62" i="2"/>
  <c r="AK62" i="2"/>
  <c r="JA62" i="2"/>
  <c r="IO62" i="2"/>
  <c r="D62" i="8"/>
  <c r="AT62" i="8"/>
  <c r="BF62" i="8"/>
  <c r="IX62" i="2"/>
  <c r="BE62" i="8"/>
  <c r="HT62" i="2"/>
  <c r="HU62" i="2"/>
  <c r="IZ62" i="2"/>
  <c r="HP62" i="2"/>
  <c r="HL62" i="2"/>
  <c r="HQ62" i="2"/>
  <c r="HM62" i="2"/>
  <c r="HR62" i="2"/>
  <c r="CQ62" i="2"/>
  <c r="BG62" i="2"/>
  <c r="IN62" i="2"/>
  <c r="HS62" i="2"/>
  <c r="AL58" i="2"/>
  <c r="FZ58" i="2"/>
  <c r="AH58" i="8"/>
  <c r="V58" i="8"/>
  <c r="AI58" i="8"/>
  <c r="ID58" i="2"/>
  <c r="GD58" i="2"/>
  <c r="JI58" i="2"/>
  <c r="JJ58" i="2"/>
  <c r="GE58" i="2"/>
  <c r="CH58" i="2"/>
  <c r="AE58" i="2"/>
  <c r="X58" i="2"/>
  <c r="AG58" i="8"/>
  <c r="CE58" i="2"/>
  <c r="IC58" i="2"/>
  <c r="AD58" i="2"/>
  <c r="W58" i="2"/>
  <c r="Q58" i="2"/>
  <c r="CF58" i="2"/>
  <c r="L58" i="2"/>
  <c r="FC58" i="2"/>
  <c r="R58" i="2"/>
  <c r="AC58" i="2"/>
  <c r="FB58" i="2"/>
  <c r="DM58" i="2"/>
  <c r="DN58" i="2"/>
  <c r="DA58" i="2"/>
  <c r="DL58" i="2"/>
  <c r="AN58" i="2"/>
  <c r="AW58" i="2"/>
  <c r="CZ58" i="2"/>
  <c r="AJ58" i="2"/>
  <c r="AK58" i="2"/>
  <c r="JA58" i="2"/>
  <c r="IO58" i="2"/>
  <c r="D58" i="8"/>
  <c r="AT58" i="8"/>
  <c r="BF58" i="8"/>
  <c r="IX58" i="2"/>
  <c r="BE58" i="8"/>
  <c r="HT58" i="2"/>
  <c r="HU58" i="2"/>
  <c r="IZ58" i="2"/>
  <c r="HP58" i="2"/>
  <c r="HL58" i="2"/>
  <c r="HQ58" i="2"/>
  <c r="HM58" i="2"/>
  <c r="HR58" i="2"/>
  <c r="CQ58" i="2"/>
  <c r="BG58" i="2"/>
  <c r="IN58" i="2"/>
  <c r="HS58" i="2"/>
  <c r="AL54" i="2"/>
  <c r="FZ54" i="2"/>
  <c r="AH54" i="8"/>
  <c r="V54" i="8"/>
  <c r="AI54" i="8"/>
  <c r="ID54" i="2"/>
  <c r="AG54" i="8"/>
  <c r="GD54" i="2"/>
  <c r="IC54" i="2"/>
  <c r="GE54" i="2"/>
  <c r="CH54" i="2"/>
  <c r="AE54" i="2"/>
  <c r="X54" i="2"/>
  <c r="CE54" i="2"/>
  <c r="CF54" i="2"/>
  <c r="AC54" i="2"/>
  <c r="JI54" i="2"/>
  <c r="JJ54" i="2"/>
  <c r="AD54" i="2"/>
  <c r="W54" i="2"/>
  <c r="Q54" i="2"/>
  <c r="L54" i="2"/>
  <c r="FC54" i="2"/>
  <c r="R54" i="2"/>
  <c r="DM54" i="2"/>
  <c r="FB54" i="2"/>
  <c r="DN54" i="2"/>
  <c r="DA54" i="2"/>
  <c r="DL54" i="2"/>
  <c r="AN54" i="2"/>
  <c r="AW54" i="2"/>
  <c r="CZ54" i="2"/>
  <c r="AJ54" i="2"/>
  <c r="AK54" i="2"/>
  <c r="JA54" i="2"/>
  <c r="IO54" i="2"/>
  <c r="D54" i="8"/>
  <c r="AT54" i="8"/>
  <c r="BF54" i="8"/>
  <c r="IX54" i="2"/>
  <c r="BE54" i="8"/>
  <c r="HT54" i="2"/>
  <c r="HU54" i="2"/>
  <c r="IZ54" i="2"/>
  <c r="HP54" i="2"/>
  <c r="HL54" i="2"/>
  <c r="HQ54" i="2"/>
  <c r="HM54" i="2"/>
  <c r="HR54" i="2"/>
  <c r="CQ54" i="2"/>
  <c r="BG54" i="2"/>
  <c r="IN54" i="2"/>
  <c r="HS54" i="2"/>
  <c r="D200" i="10"/>
  <c r="D196" i="10"/>
  <c r="D192" i="10"/>
  <c r="D188" i="10"/>
  <c r="D184" i="10"/>
  <c r="D180" i="10"/>
  <c r="D176" i="10"/>
  <c r="D172" i="10"/>
  <c r="D168" i="10"/>
  <c r="D164" i="10"/>
  <c r="D160" i="10"/>
  <c r="D156" i="10"/>
  <c r="D152" i="10"/>
  <c r="D148" i="10"/>
  <c r="D144" i="10"/>
  <c r="D140" i="10"/>
  <c r="D136" i="10"/>
  <c r="D132" i="10"/>
  <c r="D128" i="10"/>
  <c r="D124" i="10"/>
  <c r="D120" i="10"/>
  <c r="D116" i="10"/>
  <c r="D101" i="10"/>
  <c r="D97" i="10"/>
  <c r="D93" i="10"/>
  <c r="D89" i="10"/>
  <c r="D85" i="10"/>
  <c r="D81" i="10"/>
  <c r="AL201" i="2"/>
  <c r="FZ201" i="2"/>
  <c r="AH201" i="8"/>
  <c r="AI201" i="8"/>
  <c r="V201" i="8"/>
  <c r="ID201" i="2"/>
  <c r="AG201" i="8"/>
  <c r="IC201" i="2"/>
  <c r="CE201" i="2"/>
  <c r="AE201" i="2"/>
  <c r="JI201" i="2"/>
  <c r="JJ201" i="2"/>
  <c r="GD201" i="2"/>
  <c r="CF201" i="2"/>
  <c r="GE201" i="2"/>
  <c r="CH201" i="2"/>
  <c r="AC201" i="2"/>
  <c r="AD201" i="2"/>
  <c r="W201" i="2"/>
  <c r="L201" i="2"/>
  <c r="Q201" i="2"/>
  <c r="R201" i="2"/>
  <c r="X201" i="2"/>
  <c r="FB201" i="2"/>
  <c r="FC201" i="2"/>
  <c r="DL201" i="2"/>
  <c r="DM201" i="2"/>
  <c r="DN201" i="2"/>
  <c r="CZ201" i="2"/>
  <c r="DA201" i="2"/>
  <c r="AN201" i="2"/>
  <c r="AY201" i="2"/>
  <c r="AJ201" i="2"/>
  <c r="AK201" i="2"/>
  <c r="JA201" i="2"/>
  <c r="IO201" i="2"/>
  <c r="D201" i="8"/>
  <c r="AT201" i="8"/>
  <c r="BF201" i="8"/>
  <c r="IX201" i="2"/>
  <c r="BE201" i="8"/>
  <c r="HU201" i="2"/>
  <c r="HT201" i="2"/>
  <c r="IZ201" i="2"/>
  <c r="HP201" i="2"/>
  <c r="HL201" i="2"/>
  <c r="HQ201" i="2"/>
  <c r="HM201" i="2"/>
  <c r="HR201" i="2"/>
  <c r="CQ201" i="2"/>
  <c r="BG201" i="2"/>
  <c r="IN201" i="2"/>
  <c r="HS201" i="2"/>
  <c r="AL197" i="2"/>
  <c r="FZ197" i="2"/>
  <c r="AH197" i="8"/>
  <c r="AI197" i="8"/>
  <c r="V197" i="8"/>
  <c r="ID197" i="2"/>
  <c r="JI197" i="2"/>
  <c r="JJ197" i="2"/>
  <c r="CE197" i="2"/>
  <c r="AE197" i="2"/>
  <c r="AG197" i="8"/>
  <c r="GD197" i="2"/>
  <c r="CF197" i="2"/>
  <c r="IC197" i="2"/>
  <c r="GE197" i="2"/>
  <c r="AD197" i="2"/>
  <c r="W197" i="2"/>
  <c r="CH197" i="2"/>
  <c r="L197" i="2"/>
  <c r="Q197" i="2"/>
  <c r="R197" i="2"/>
  <c r="AC197" i="2"/>
  <c r="X197" i="2"/>
  <c r="FB197" i="2"/>
  <c r="FC197" i="2"/>
  <c r="DL197" i="2"/>
  <c r="DM197" i="2"/>
  <c r="DN197" i="2"/>
  <c r="CZ197" i="2"/>
  <c r="DA197" i="2"/>
  <c r="AN197" i="2"/>
  <c r="AY197" i="2"/>
  <c r="AJ197" i="2"/>
  <c r="AK197" i="2"/>
  <c r="JA197" i="2"/>
  <c r="IO197" i="2"/>
  <c r="D197" i="8"/>
  <c r="AT197" i="8"/>
  <c r="BF197" i="8"/>
  <c r="IX197" i="2"/>
  <c r="BE197" i="8"/>
  <c r="HT197" i="2"/>
  <c r="HU197" i="2"/>
  <c r="IZ197" i="2"/>
  <c r="HP197" i="2"/>
  <c r="HL197" i="2"/>
  <c r="HQ197" i="2"/>
  <c r="HM197" i="2"/>
  <c r="HR197" i="2"/>
  <c r="CQ197" i="2"/>
  <c r="BG197" i="2"/>
  <c r="IN197" i="2"/>
  <c r="HS197" i="2"/>
  <c r="AL193" i="2"/>
  <c r="FZ193" i="2"/>
  <c r="AH193" i="8"/>
  <c r="V193" i="8"/>
  <c r="AI193" i="8"/>
  <c r="ID193" i="2"/>
  <c r="AG193" i="8"/>
  <c r="IC193" i="2"/>
  <c r="CE193" i="2"/>
  <c r="AE193" i="2"/>
  <c r="GD193" i="2"/>
  <c r="CF193" i="2"/>
  <c r="GE193" i="2"/>
  <c r="JI193" i="2"/>
  <c r="JJ193" i="2"/>
  <c r="CH193" i="2"/>
  <c r="AC193" i="2"/>
  <c r="AD193" i="2"/>
  <c r="W193" i="2"/>
  <c r="L193" i="2"/>
  <c r="Q193" i="2"/>
  <c r="R193" i="2"/>
  <c r="X193" i="2"/>
  <c r="FB193" i="2"/>
  <c r="FC193" i="2"/>
  <c r="DL193" i="2"/>
  <c r="DM193" i="2"/>
  <c r="DN193" i="2"/>
  <c r="CZ193" i="2"/>
  <c r="DA193" i="2"/>
  <c r="AN193" i="2"/>
  <c r="AW193" i="2"/>
  <c r="AJ193" i="2"/>
  <c r="AK193" i="2"/>
  <c r="JA193" i="2"/>
  <c r="IO193" i="2"/>
  <c r="D193" i="8"/>
  <c r="AT193" i="8"/>
  <c r="BF193" i="8"/>
  <c r="IX193" i="2"/>
  <c r="BE193" i="8"/>
  <c r="HT193" i="2"/>
  <c r="HU193" i="2"/>
  <c r="IZ193" i="2"/>
  <c r="HP193" i="2"/>
  <c r="HL193" i="2"/>
  <c r="HQ193" i="2"/>
  <c r="HM193" i="2"/>
  <c r="HR193" i="2"/>
  <c r="CQ193" i="2"/>
  <c r="BG193" i="2"/>
  <c r="IN193" i="2"/>
  <c r="HS193" i="2"/>
  <c r="AL189" i="2"/>
  <c r="FZ189" i="2"/>
  <c r="AH189" i="8"/>
  <c r="V189" i="8"/>
  <c r="AI189" i="8"/>
  <c r="ID189" i="2"/>
  <c r="AG189" i="8"/>
  <c r="JI189" i="2"/>
  <c r="JJ189" i="2"/>
  <c r="CF189" i="2"/>
  <c r="AE189" i="2"/>
  <c r="IC189" i="2"/>
  <c r="GD189" i="2"/>
  <c r="GE189" i="2"/>
  <c r="CE189" i="2"/>
  <c r="CH189" i="2"/>
  <c r="AD189" i="2"/>
  <c r="W189" i="2"/>
  <c r="L189" i="2"/>
  <c r="Q189" i="2"/>
  <c r="AC189" i="2"/>
  <c r="R189" i="2"/>
  <c r="X189" i="2"/>
  <c r="FB189" i="2"/>
  <c r="FC189" i="2"/>
  <c r="DL189" i="2"/>
  <c r="DM189" i="2"/>
  <c r="DN189" i="2"/>
  <c r="CZ189" i="2"/>
  <c r="DA189" i="2"/>
  <c r="AN189" i="2"/>
  <c r="AY189" i="2"/>
  <c r="AJ189" i="2"/>
  <c r="AK189" i="2"/>
  <c r="JA189" i="2"/>
  <c r="IO189" i="2"/>
  <c r="D189" i="8"/>
  <c r="AT189" i="8"/>
  <c r="BF189" i="8"/>
  <c r="IX189" i="2"/>
  <c r="BE189" i="8"/>
  <c r="HT189" i="2"/>
  <c r="HU189" i="2"/>
  <c r="IZ189" i="2"/>
  <c r="HP189" i="2"/>
  <c r="HL189" i="2"/>
  <c r="HQ189" i="2"/>
  <c r="HM189" i="2"/>
  <c r="HR189" i="2"/>
  <c r="CQ189" i="2"/>
  <c r="BG189" i="2"/>
  <c r="IN189" i="2"/>
  <c r="HS189" i="2"/>
  <c r="AL185" i="2"/>
  <c r="FZ185" i="2"/>
  <c r="AH185" i="8"/>
  <c r="V185" i="8"/>
  <c r="AI185" i="8"/>
  <c r="ID185" i="2"/>
  <c r="AG185" i="8"/>
  <c r="IC185" i="2"/>
  <c r="AE185" i="2"/>
  <c r="JI185" i="2"/>
  <c r="JJ185" i="2"/>
  <c r="GD185" i="2"/>
  <c r="CH185" i="2"/>
  <c r="GE185" i="2"/>
  <c r="AC185" i="2"/>
  <c r="CE185" i="2"/>
  <c r="AD185" i="2"/>
  <c r="W185" i="2"/>
  <c r="CF185" i="2"/>
  <c r="L185" i="2"/>
  <c r="Q185" i="2"/>
  <c r="R185" i="2"/>
  <c r="X185" i="2"/>
  <c r="FB185" i="2"/>
  <c r="FC185" i="2"/>
  <c r="DL185" i="2"/>
  <c r="DM185" i="2"/>
  <c r="DN185" i="2"/>
  <c r="CZ185" i="2"/>
  <c r="DA185" i="2"/>
  <c r="AN185" i="2"/>
  <c r="AY185" i="2"/>
  <c r="AJ185" i="2"/>
  <c r="AK185" i="2"/>
  <c r="JA185" i="2"/>
  <c r="IO185" i="2"/>
  <c r="D185" i="8"/>
  <c r="AT185" i="8"/>
  <c r="BF185" i="8"/>
  <c r="IX185" i="2"/>
  <c r="BE185" i="8"/>
  <c r="HT185" i="2"/>
  <c r="HU185" i="2"/>
  <c r="IZ185" i="2"/>
  <c r="HP185" i="2"/>
  <c r="HL185" i="2"/>
  <c r="HQ185" i="2"/>
  <c r="HM185" i="2"/>
  <c r="HR185" i="2"/>
  <c r="CQ185" i="2"/>
  <c r="BG185" i="2"/>
  <c r="IN185" i="2"/>
  <c r="HS185" i="2"/>
  <c r="AL181" i="2"/>
  <c r="FZ181" i="2"/>
  <c r="AH181" i="8"/>
  <c r="V181" i="8"/>
  <c r="AI181" i="8"/>
  <c r="ID181" i="2"/>
  <c r="JI181" i="2"/>
  <c r="JJ181" i="2"/>
  <c r="AE181" i="2"/>
  <c r="GD181" i="2"/>
  <c r="CH181" i="2"/>
  <c r="AG181" i="8"/>
  <c r="GE181" i="2"/>
  <c r="CE181" i="2"/>
  <c r="CF181" i="2"/>
  <c r="AD181" i="2"/>
  <c r="IC181" i="2"/>
  <c r="W181" i="2"/>
  <c r="L181" i="2"/>
  <c r="AC181" i="2"/>
  <c r="Q181" i="2"/>
  <c r="R181" i="2"/>
  <c r="X181" i="2"/>
  <c r="FB181" i="2"/>
  <c r="FC181" i="2"/>
  <c r="DL181" i="2"/>
  <c r="DM181" i="2"/>
  <c r="DN181" i="2"/>
  <c r="CZ181" i="2"/>
  <c r="DA181" i="2"/>
  <c r="AN181" i="2"/>
  <c r="AY181" i="2"/>
  <c r="AJ181" i="2"/>
  <c r="AK181" i="2"/>
  <c r="JA181" i="2"/>
  <c r="IO181" i="2"/>
  <c r="D181" i="8"/>
  <c r="AT181" i="8"/>
  <c r="BF181" i="8"/>
  <c r="IX181" i="2"/>
  <c r="BE181" i="8"/>
  <c r="HT181" i="2"/>
  <c r="HU181" i="2"/>
  <c r="IZ181" i="2"/>
  <c r="HP181" i="2"/>
  <c r="HL181" i="2"/>
  <c r="HQ181" i="2"/>
  <c r="HM181" i="2"/>
  <c r="HR181" i="2"/>
  <c r="CQ181" i="2"/>
  <c r="BG181" i="2"/>
  <c r="IN181" i="2"/>
  <c r="HS181" i="2"/>
  <c r="AL177" i="2"/>
  <c r="FZ177" i="2"/>
  <c r="AH177" i="8"/>
  <c r="V177" i="8"/>
  <c r="AI177" i="8"/>
  <c r="ID177" i="2"/>
  <c r="AG177" i="8"/>
  <c r="IC177" i="2"/>
  <c r="AE177" i="2"/>
  <c r="GD177" i="2"/>
  <c r="CH177" i="2"/>
  <c r="JI177" i="2"/>
  <c r="JJ177" i="2"/>
  <c r="GE177" i="2"/>
  <c r="CE177" i="2"/>
  <c r="CF177" i="2"/>
  <c r="AC177" i="2"/>
  <c r="AD177" i="2"/>
  <c r="W177" i="2"/>
  <c r="L177" i="2"/>
  <c r="Q177" i="2"/>
  <c r="R177" i="2"/>
  <c r="X177" i="2"/>
  <c r="FB177" i="2"/>
  <c r="FC177" i="2"/>
  <c r="DL177" i="2"/>
  <c r="DM177" i="2"/>
  <c r="DN177" i="2"/>
  <c r="CZ177" i="2"/>
  <c r="DA177" i="2"/>
  <c r="AN177" i="2"/>
  <c r="AW177" i="2"/>
  <c r="AJ177" i="2"/>
  <c r="AK177" i="2"/>
  <c r="JA177" i="2"/>
  <c r="IO177" i="2"/>
  <c r="D177" i="8"/>
  <c r="AT177" i="8"/>
  <c r="BF177" i="8"/>
  <c r="IX177" i="2"/>
  <c r="BE177" i="8"/>
  <c r="HT177" i="2"/>
  <c r="HU177" i="2"/>
  <c r="IZ177" i="2"/>
  <c r="HP177" i="2"/>
  <c r="HL177" i="2"/>
  <c r="HQ177" i="2"/>
  <c r="HM177" i="2"/>
  <c r="HR177" i="2"/>
  <c r="CQ177" i="2"/>
  <c r="BG177" i="2"/>
  <c r="IN177" i="2"/>
  <c r="HS177" i="2"/>
  <c r="AL173" i="2"/>
  <c r="FZ173" i="2"/>
  <c r="AH173" i="8"/>
  <c r="V173" i="8"/>
  <c r="AI173" i="8"/>
  <c r="ID173" i="2"/>
  <c r="AG173" i="8"/>
  <c r="JI173" i="2"/>
  <c r="JJ173" i="2"/>
  <c r="AE173" i="2"/>
  <c r="IC173" i="2"/>
  <c r="GD173" i="2"/>
  <c r="CH173" i="2"/>
  <c r="GE173" i="2"/>
  <c r="CE173" i="2"/>
  <c r="CF173" i="2"/>
  <c r="AD173" i="2"/>
  <c r="W173" i="2"/>
  <c r="AC173" i="2"/>
  <c r="L173" i="2"/>
  <c r="Q173" i="2"/>
  <c r="R173" i="2"/>
  <c r="X173" i="2"/>
  <c r="FB173" i="2"/>
  <c r="FC173" i="2"/>
  <c r="DL173" i="2"/>
  <c r="DM173" i="2"/>
  <c r="DN173" i="2"/>
  <c r="CZ173" i="2"/>
  <c r="DA173" i="2"/>
  <c r="AN173" i="2"/>
  <c r="AY173" i="2"/>
  <c r="AJ173" i="2"/>
  <c r="AK173" i="2"/>
  <c r="JA173" i="2"/>
  <c r="IO173" i="2"/>
  <c r="D173" i="8"/>
  <c r="AT173" i="8"/>
  <c r="BF173" i="8"/>
  <c r="IX173" i="2"/>
  <c r="BE173" i="8"/>
  <c r="HT173" i="2"/>
  <c r="HU173" i="2"/>
  <c r="IZ173" i="2"/>
  <c r="HP173" i="2"/>
  <c r="HL173" i="2"/>
  <c r="HQ173" i="2"/>
  <c r="HM173" i="2"/>
  <c r="HR173" i="2"/>
  <c r="CQ173" i="2"/>
  <c r="BG173" i="2"/>
  <c r="IN173" i="2"/>
  <c r="HS173" i="2"/>
  <c r="AL169" i="2"/>
  <c r="FZ169" i="2"/>
  <c r="AH169" i="8"/>
  <c r="V169" i="8"/>
  <c r="AI169" i="8"/>
  <c r="ID169" i="2"/>
  <c r="AG169" i="8"/>
  <c r="IC169" i="2"/>
  <c r="AE169" i="2"/>
  <c r="JI169" i="2"/>
  <c r="JJ169" i="2"/>
  <c r="GD169" i="2"/>
  <c r="CH169" i="2"/>
  <c r="CF169" i="2"/>
  <c r="GE169" i="2"/>
  <c r="AC169" i="2"/>
  <c r="CE169" i="2"/>
  <c r="AD169" i="2"/>
  <c r="W169" i="2"/>
  <c r="L169" i="2"/>
  <c r="Q169" i="2"/>
  <c r="R169" i="2"/>
  <c r="X169" i="2"/>
  <c r="FB169" i="2"/>
  <c r="FC169" i="2"/>
  <c r="DL169" i="2"/>
  <c r="AN169" i="2"/>
  <c r="DM169" i="2"/>
  <c r="DN169" i="2"/>
  <c r="CZ169" i="2"/>
  <c r="AJ169" i="2"/>
  <c r="AK169" i="2"/>
  <c r="DA169" i="2"/>
  <c r="JA169" i="2"/>
  <c r="IO169" i="2"/>
  <c r="D169" i="8"/>
  <c r="AT169" i="8"/>
  <c r="BF169" i="8"/>
  <c r="IX169" i="2"/>
  <c r="BE169" i="8"/>
  <c r="HT169" i="2"/>
  <c r="HU169" i="2"/>
  <c r="IZ169" i="2"/>
  <c r="HP169" i="2"/>
  <c r="HL169" i="2"/>
  <c r="HQ169" i="2"/>
  <c r="HM169" i="2"/>
  <c r="HR169" i="2"/>
  <c r="CQ169" i="2"/>
  <c r="BG169" i="2"/>
  <c r="IN169" i="2"/>
  <c r="HS169" i="2"/>
  <c r="AL165" i="2"/>
  <c r="FZ165" i="2"/>
  <c r="AH165" i="8"/>
  <c r="V165" i="8"/>
  <c r="AI165" i="8"/>
  <c r="ID165" i="2"/>
  <c r="JI165" i="2"/>
  <c r="JJ165" i="2"/>
  <c r="AE165" i="2"/>
  <c r="AG165" i="8"/>
  <c r="GD165" i="2"/>
  <c r="CH165" i="2"/>
  <c r="IC165" i="2"/>
  <c r="GE165" i="2"/>
  <c r="CE165" i="2"/>
  <c r="CF165" i="2"/>
  <c r="AD165" i="2"/>
  <c r="W165" i="2"/>
  <c r="L165" i="2"/>
  <c r="Q165" i="2"/>
  <c r="R165" i="2"/>
  <c r="AC165" i="2"/>
  <c r="X165" i="2"/>
  <c r="FB165" i="2"/>
  <c r="FC165" i="2"/>
  <c r="DL165" i="2"/>
  <c r="AN165" i="2"/>
  <c r="DM165" i="2"/>
  <c r="AW165" i="2"/>
  <c r="DN165" i="2"/>
  <c r="CZ165" i="2"/>
  <c r="AJ165" i="2"/>
  <c r="AK165" i="2"/>
  <c r="DA165" i="2"/>
  <c r="JA165" i="2"/>
  <c r="IO165" i="2"/>
  <c r="D165" i="8"/>
  <c r="AT165" i="8"/>
  <c r="BF165" i="8"/>
  <c r="IX165" i="2"/>
  <c r="BE165" i="8"/>
  <c r="HT165" i="2"/>
  <c r="HU165" i="2"/>
  <c r="IZ165" i="2"/>
  <c r="HP165" i="2"/>
  <c r="HL165" i="2"/>
  <c r="HQ165" i="2"/>
  <c r="HM165" i="2"/>
  <c r="HR165" i="2"/>
  <c r="CQ165" i="2"/>
  <c r="BG165" i="2"/>
  <c r="IN165" i="2"/>
  <c r="HS165" i="2"/>
  <c r="AL161" i="2"/>
  <c r="FZ161" i="2"/>
  <c r="AH161" i="8"/>
  <c r="V161" i="8"/>
  <c r="AI161" i="8"/>
  <c r="ID161" i="2"/>
  <c r="AG161" i="8"/>
  <c r="IC161" i="2"/>
  <c r="AE161" i="2"/>
  <c r="GD161" i="2"/>
  <c r="CH161" i="2"/>
  <c r="CF161" i="2"/>
  <c r="JI161" i="2"/>
  <c r="JJ161" i="2"/>
  <c r="GE161" i="2"/>
  <c r="CE161" i="2"/>
  <c r="AC161" i="2"/>
  <c r="AD161" i="2"/>
  <c r="W161" i="2"/>
  <c r="Q161" i="2"/>
  <c r="R161" i="2"/>
  <c r="L161" i="2"/>
  <c r="X161" i="2"/>
  <c r="FB161" i="2"/>
  <c r="FC161" i="2"/>
  <c r="DL161" i="2"/>
  <c r="AN161" i="2"/>
  <c r="DM161" i="2"/>
  <c r="AW161" i="2"/>
  <c r="DN161" i="2"/>
  <c r="CZ161" i="2"/>
  <c r="AJ161" i="2"/>
  <c r="AK161" i="2"/>
  <c r="DA161" i="2"/>
  <c r="JA161" i="2"/>
  <c r="IO161" i="2"/>
  <c r="D161" i="8"/>
  <c r="AT161" i="8"/>
  <c r="BF161" i="8"/>
  <c r="IX161" i="2"/>
  <c r="BE161" i="8"/>
  <c r="HT161" i="2"/>
  <c r="HU161" i="2"/>
  <c r="IZ161" i="2"/>
  <c r="HP161" i="2"/>
  <c r="HL161" i="2"/>
  <c r="HQ161" i="2"/>
  <c r="HM161" i="2"/>
  <c r="HR161" i="2"/>
  <c r="CQ161" i="2"/>
  <c r="BG161" i="2"/>
  <c r="IN161" i="2"/>
  <c r="HS161" i="2"/>
  <c r="AL157" i="2"/>
  <c r="FZ157" i="2"/>
  <c r="AH157" i="8"/>
  <c r="V157" i="8"/>
  <c r="AI157" i="8"/>
  <c r="ID157" i="2"/>
  <c r="AG157" i="8"/>
  <c r="JI157" i="2"/>
  <c r="JJ157" i="2"/>
  <c r="AE157" i="2"/>
  <c r="IC157" i="2"/>
  <c r="GD157" i="2"/>
  <c r="CH157" i="2"/>
  <c r="GE157" i="2"/>
  <c r="CE157" i="2"/>
  <c r="CF157" i="2"/>
  <c r="AD157" i="2"/>
  <c r="W157" i="2"/>
  <c r="Q157" i="2"/>
  <c r="L157" i="2"/>
  <c r="R157" i="2"/>
  <c r="AC157" i="2"/>
  <c r="X157" i="2"/>
  <c r="FB157" i="2"/>
  <c r="FC157" i="2"/>
  <c r="DL157" i="2"/>
  <c r="AN157" i="2"/>
  <c r="DM157" i="2"/>
  <c r="AW157" i="2"/>
  <c r="DN157" i="2"/>
  <c r="CZ157" i="2"/>
  <c r="AJ157" i="2"/>
  <c r="AK157" i="2"/>
  <c r="DA157" i="2"/>
  <c r="JA157" i="2"/>
  <c r="IO157" i="2"/>
  <c r="D157" i="8"/>
  <c r="AT157" i="8"/>
  <c r="BF157" i="8"/>
  <c r="IX157" i="2"/>
  <c r="BE157" i="8"/>
  <c r="HT157" i="2"/>
  <c r="HU157" i="2"/>
  <c r="IZ157" i="2"/>
  <c r="HP157" i="2"/>
  <c r="HL157" i="2"/>
  <c r="HQ157" i="2"/>
  <c r="HM157" i="2"/>
  <c r="HR157" i="2"/>
  <c r="CQ157" i="2"/>
  <c r="BG157" i="2"/>
  <c r="IN157" i="2"/>
  <c r="HS157" i="2"/>
  <c r="AL153" i="2"/>
  <c r="FZ153" i="2"/>
  <c r="AH153" i="8"/>
  <c r="V153" i="8"/>
  <c r="AI153" i="8"/>
  <c r="ID153" i="2"/>
  <c r="AG153" i="8"/>
  <c r="IC153" i="2"/>
  <c r="CH153" i="2"/>
  <c r="AE153" i="2"/>
  <c r="JI153" i="2"/>
  <c r="JJ153" i="2"/>
  <c r="GD153" i="2"/>
  <c r="CE153" i="2"/>
  <c r="GE153" i="2"/>
  <c r="CF153" i="2"/>
  <c r="AC153" i="2"/>
  <c r="AD153" i="2"/>
  <c r="W153" i="2"/>
  <c r="Q153" i="2"/>
  <c r="L153" i="2"/>
  <c r="R153" i="2"/>
  <c r="X153" i="2"/>
  <c r="FB153" i="2"/>
  <c r="FC153" i="2"/>
  <c r="DL153" i="2"/>
  <c r="AN153" i="2"/>
  <c r="DM153" i="2"/>
  <c r="AW153" i="2"/>
  <c r="DN153" i="2"/>
  <c r="CZ153" i="2"/>
  <c r="AJ153" i="2"/>
  <c r="AK153" i="2"/>
  <c r="DA153" i="2"/>
  <c r="JA153" i="2"/>
  <c r="IO153" i="2"/>
  <c r="D153" i="8"/>
  <c r="AT153" i="8"/>
  <c r="BF153" i="8"/>
  <c r="IX153" i="2"/>
  <c r="BE153" i="8"/>
  <c r="HT153" i="2"/>
  <c r="HU153" i="2"/>
  <c r="IZ153" i="2"/>
  <c r="HP153" i="2"/>
  <c r="HL153" i="2"/>
  <c r="HQ153" i="2"/>
  <c r="HM153" i="2"/>
  <c r="HR153" i="2"/>
  <c r="CQ153" i="2"/>
  <c r="BG153" i="2"/>
  <c r="IN153" i="2"/>
  <c r="HS153" i="2"/>
  <c r="AL149" i="2"/>
  <c r="FZ149" i="2"/>
  <c r="AH149" i="8"/>
  <c r="V149" i="8"/>
  <c r="AI149" i="8"/>
  <c r="ID149" i="2"/>
  <c r="JI149" i="2"/>
  <c r="JJ149" i="2"/>
  <c r="CH149" i="2"/>
  <c r="AE149" i="2"/>
  <c r="GD149" i="2"/>
  <c r="CE149" i="2"/>
  <c r="IC149" i="2"/>
  <c r="GE149" i="2"/>
  <c r="CF149" i="2"/>
  <c r="AG149" i="8"/>
  <c r="AD149" i="2"/>
  <c r="W149" i="2"/>
  <c r="Q149" i="2"/>
  <c r="L149" i="2"/>
  <c r="AC149" i="2"/>
  <c r="R149" i="2"/>
  <c r="X149" i="2"/>
  <c r="FB149" i="2"/>
  <c r="FC149" i="2"/>
  <c r="DL149" i="2"/>
  <c r="AN149" i="2"/>
  <c r="DM149" i="2"/>
  <c r="AW149" i="2"/>
  <c r="DN149" i="2"/>
  <c r="CZ149" i="2"/>
  <c r="AJ149" i="2"/>
  <c r="AK149" i="2"/>
  <c r="DA149" i="2"/>
  <c r="JA149" i="2"/>
  <c r="IO149" i="2"/>
  <c r="D149" i="8"/>
  <c r="AT149" i="8"/>
  <c r="BF149" i="8"/>
  <c r="IX149" i="2"/>
  <c r="BE149" i="8"/>
  <c r="HT149" i="2"/>
  <c r="HU149" i="2"/>
  <c r="IZ149" i="2"/>
  <c r="HP149" i="2"/>
  <c r="HL149" i="2"/>
  <c r="HQ149" i="2"/>
  <c r="HM149" i="2"/>
  <c r="HR149" i="2"/>
  <c r="CQ149" i="2"/>
  <c r="BG149" i="2"/>
  <c r="IN149" i="2"/>
  <c r="HS149" i="2"/>
  <c r="AL145" i="2"/>
  <c r="FZ145" i="2"/>
  <c r="AH145" i="8"/>
  <c r="V145" i="8"/>
  <c r="AI145" i="8"/>
  <c r="ID145" i="2"/>
  <c r="AG145" i="8"/>
  <c r="IC145" i="2"/>
  <c r="CH145" i="2"/>
  <c r="AE145" i="2"/>
  <c r="GD145" i="2"/>
  <c r="CE145" i="2"/>
  <c r="JI145" i="2"/>
  <c r="JJ145" i="2"/>
  <c r="GE145" i="2"/>
  <c r="AC145" i="2"/>
  <c r="AD145" i="2"/>
  <c r="W145" i="2"/>
  <c r="Q145" i="2"/>
  <c r="CF145" i="2"/>
  <c r="L145" i="2"/>
  <c r="R145" i="2"/>
  <c r="X145" i="2"/>
  <c r="FB145" i="2"/>
  <c r="FC145" i="2"/>
  <c r="DL145" i="2"/>
  <c r="AN145" i="2"/>
  <c r="DM145" i="2"/>
  <c r="AW145" i="2"/>
  <c r="DN145" i="2"/>
  <c r="CZ145" i="2"/>
  <c r="AJ145" i="2"/>
  <c r="AK145" i="2"/>
  <c r="DA145" i="2"/>
  <c r="JA145" i="2"/>
  <c r="IO145" i="2"/>
  <c r="D145" i="8"/>
  <c r="AT145" i="8"/>
  <c r="BF145" i="8"/>
  <c r="IX145" i="2"/>
  <c r="BE145" i="8"/>
  <c r="HT145" i="2"/>
  <c r="HU145" i="2"/>
  <c r="IZ145" i="2"/>
  <c r="HP145" i="2"/>
  <c r="HL145" i="2"/>
  <c r="HQ145" i="2"/>
  <c r="HM145" i="2"/>
  <c r="HR145" i="2"/>
  <c r="CQ145" i="2"/>
  <c r="BG145" i="2"/>
  <c r="IN145" i="2"/>
  <c r="HS145" i="2"/>
  <c r="AL141" i="2"/>
  <c r="FZ141" i="2"/>
  <c r="AH141" i="8"/>
  <c r="V141" i="8"/>
  <c r="AI141" i="8"/>
  <c r="ID141" i="2"/>
  <c r="AG141" i="8"/>
  <c r="JI141" i="2"/>
  <c r="JJ141" i="2"/>
  <c r="CH141" i="2"/>
  <c r="AE141" i="2"/>
  <c r="IC141" i="2"/>
  <c r="GD141" i="2"/>
  <c r="CE141" i="2"/>
  <c r="GE141" i="2"/>
  <c r="CF141" i="2"/>
  <c r="AD141" i="2"/>
  <c r="W141" i="2"/>
  <c r="Q141" i="2"/>
  <c r="AC141" i="2"/>
  <c r="L141" i="2"/>
  <c r="R141" i="2"/>
  <c r="X141" i="2"/>
  <c r="FB141" i="2"/>
  <c r="FC141" i="2"/>
  <c r="DL141" i="2"/>
  <c r="AN141" i="2"/>
  <c r="DM141" i="2"/>
  <c r="AW141" i="2"/>
  <c r="DN141" i="2"/>
  <c r="CZ141" i="2"/>
  <c r="AJ141" i="2"/>
  <c r="AK141" i="2"/>
  <c r="DA141" i="2"/>
  <c r="JA141" i="2"/>
  <c r="IO141" i="2"/>
  <c r="D141" i="8"/>
  <c r="AT141" i="8"/>
  <c r="BF141" i="8"/>
  <c r="IX141" i="2"/>
  <c r="BE141" i="8"/>
  <c r="HT141" i="2"/>
  <c r="HU141" i="2"/>
  <c r="IZ141" i="2"/>
  <c r="HP141" i="2"/>
  <c r="HL141" i="2"/>
  <c r="HQ141" i="2"/>
  <c r="HM141" i="2"/>
  <c r="HR141" i="2"/>
  <c r="CQ141" i="2"/>
  <c r="BG141" i="2"/>
  <c r="IN141" i="2"/>
  <c r="HS141" i="2"/>
  <c r="AL137" i="2"/>
  <c r="FZ137" i="2"/>
  <c r="AH137" i="8"/>
  <c r="V137" i="8"/>
  <c r="AI137" i="8"/>
  <c r="ID137" i="2"/>
  <c r="AG137" i="8"/>
  <c r="IC137" i="2"/>
  <c r="CH137" i="2"/>
  <c r="AE137" i="2"/>
  <c r="JI137" i="2"/>
  <c r="JJ137" i="2"/>
  <c r="GD137" i="2"/>
  <c r="CE137" i="2"/>
  <c r="GE137" i="2"/>
  <c r="AC137" i="2"/>
  <c r="CF137" i="2"/>
  <c r="AD137" i="2"/>
  <c r="W137" i="2"/>
  <c r="Q137" i="2"/>
  <c r="L137" i="2"/>
  <c r="R137" i="2"/>
  <c r="X137" i="2"/>
  <c r="FB137" i="2"/>
  <c r="FC137" i="2"/>
  <c r="DL137" i="2"/>
  <c r="AN137" i="2"/>
  <c r="DM137" i="2"/>
  <c r="AW137" i="2"/>
  <c r="DN137" i="2"/>
  <c r="CZ137" i="2"/>
  <c r="AJ137" i="2"/>
  <c r="AK137" i="2"/>
  <c r="DA137" i="2"/>
  <c r="JA137" i="2"/>
  <c r="IO137" i="2"/>
  <c r="D137" i="8"/>
  <c r="AT137" i="8"/>
  <c r="BF137" i="8"/>
  <c r="IX137" i="2"/>
  <c r="BE137" i="8"/>
  <c r="HT137" i="2"/>
  <c r="HU137" i="2"/>
  <c r="IZ137" i="2"/>
  <c r="HP137" i="2"/>
  <c r="HL137" i="2"/>
  <c r="HQ137" i="2"/>
  <c r="HM137" i="2"/>
  <c r="HR137" i="2"/>
  <c r="CQ137" i="2"/>
  <c r="BG137" i="2"/>
  <c r="IN137" i="2"/>
  <c r="HS137" i="2"/>
  <c r="AL133" i="2"/>
  <c r="FZ133" i="2"/>
  <c r="AH133" i="8"/>
  <c r="V133" i="8"/>
  <c r="AI133" i="8"/>
  <c r="ID133" i="2"/>
  <c r="JI133" i="2"/>
  <c r="JJ133" i="2"/>
  <c r="CH133" i="2"/>
  <c r="AE133" i="2"/>
  <c r="AG133" i="8"/>
  <c r="GD133" i="2"/>
  <c r="CE133" i="2"/>
  <c r="IC133" i="2"/>
  <c r="GE133" i="2"/>
  <c r="CF133" i="2"/>
  <c r="AD133" i="2"/>
  <c r="W133" i="2"/>
  <c r="Q133" i="2"/>
  <c r="L133" i="2"/>
  <c r="R133" i="2"/>
  <c r="AC133" i="2"/>
  <c r="X133" i="2"/>
  <c r="FB133" i="2"/>
  <c r="FC133" i="2"/>
  <c r="DL133" i="2"/>
  <c r="AN133" i="2"/>
  <c r="DM133" i="2"/>
  <c r="DN133" i="2"/>
  <c r="CZ133" i="2"/>
  <c r="AJ133" i="2"/>
  <c r="AK133" i="2"/>
  <c r="DA133" i="2"/>
  <c r="JA133" i="2"/>
  <c r="IO133" i="2"/>
  <c r="D133" i="8"/>
  <c r="AT133" i="8"/>
  <c r="BF133" i="8"/>
  <c r="IX133" i="2"/>
  <c r="BE133" i="8"/>
  <c r="HT133" i="2"/>
  <c r="HU133" i="2"/>
  <c r="IZ133" i="2"/>
  <c r="HP133" i="2"/>
  <c r="HL133" i="2"/>
  <c r="HQ133" i="2"/>
  <c r="HM133" i="2"/>
  <c r="HR133" i="2"/>
  <c r="CQ133" i="2"/>
  <c r="BG133" i="2"/>
  <c r="IN133" i="2"/>
  <c r="HS133" i="2"/>
  <c r="AL129" i="2"/>
  <c r="FZ129" i="2"/>
  <c r="AH129" i="8"/>
  <c r="V129" i="8"/>
  <c r="AI129" i="8"/>
  <c r="ID129" i="2"/>
  <c r="AG129" i="8"/>
  <c r="GD129" i="2"/>
  <c r="IC129" i="2"/>
  <c r="GE129" i="2"/>
  <c r="CH129" i="2"/>
  <c r="AE129" i="2"/>
  <c r="CE129" i="2"/>
  <c r="JI129" i="2"/>
  <c r="JJ129" i="2"/>
  <c r="CF129" i="2"/>
  <c r="AC129" i="2"/>
  <c r="AD129" i="2"/>
  <c r="W129" i="2"/>
  <c r="Q129" i="2"/>
  <c r="L129" i="2"/>
  <c r="R129" i="2"/>
  <c r="X129" i="2"/>
  <c r="DM129" i="2"/>
  <c r="DN129" i="2"/>
  <c r="FB129" i="2"/>
  <c r="FC129" i="2"/>
  <c r="DL129" i="2"/>
  <c r="AN129" i="2"/>
  <c r="AW129" i="2"/>
  <c r="CZ129" i="2"/>
  <c r="AJ129" i="2"/>
  <c r="AK129" i="2"/>
  <c r="DA129" i="2"/>
  <c r="JA129" i="2"/>
  <c r="IO129" i="2"/>
  <c r="D129" i="8"/>
  <c r="AT129" i="8"/>
  <c r="BF129" i="8"/>
  <c r="IX129" i="2"/>
  <c r="BE129" i="8"/>
  <c r="HT129" i="2"/>
  <c r="HU129" i="2"/>
  <c r="IZ129" i="2"/>
  <c r="HP129" i="2"/>
  <c r="HL129" i="2"/>
  <c r="HQ129" i="2"/>
  <c r="HM129" i="2"/>
  <c r="HR129" i="2"/>
  <c r="CQ129" i="2"/>
  <c r="BG129" i="2"/>
  <c r="IN129" i="2"/>
  <c r="HS129" i="2"/>
  <c r="AL125" i="2"/>
  <c r="FZ125" i="2"/>
  <c r="AH125" i="8"/>
  <c r="V125" i="8"/>
  <c r="AI125" i="8"/>
  <c r="ID125" i="2"/>
  <c r="GD125" i="2"/>
  <c r="AG125" i="8"/>
  <c r="JI125" i="2"/>
  <c r="JJ125" i="2"/>
  <c r="GE125" i="2"/>
  <c r="CE125" i="2"/>
  <c r="AE125" i="2"/>
  <c r="IC125" i="2"/>
  <c r="CF125" i="2"/>
  <c r="CH125" i="2"/>
  <c r="AD125" i="2"/>
  <c r="W125" i="2"/>
  <c r="Q125" i="2"/>
  <c r="L125" i="2"/>
  <c r="R125" i="2"/>
  <c r="AC125" i="2"/>
  <c r="X125" i="2"/>
  <c r="DM125" i="2"/>
  <c r="DN125" i="2"/>
  <c r="FB125" i="2"/>
  <c r="FC125" i="2"/>
  <c r="DL125" i="2"/>
  <c r="AN125" i="2"/>
  <c r="AW125" i="2"/>
  <c r="CZ125" i="2"/>
  <c r="AJ125" i="2"/>
  <c r="AK125" i="2"/>
  <c r="DA125" i="2"/>
  <c r="JA125" i="2"/>
  <c r="IO125" i="2"/>
  <c r="D125" i="8"/>
  <c r="AT125" i="8"/>
  <c r="BF125" i="8"/>
  <c r="IX125" i="2"/>
  <c r="BE125" i="8"/>
  <c r="HT125" i="2"/>
  <c r="HU125" i="2"/>
  <c r="IZ125" i="2"/>
  <c r="HP125" i="2"/>
  <c r="HL125" i="2"/>
  <c r="HQ125" i="2"/>
  <c r="HM125" i="2"/>
  <c r="HR125" i="2"/>
  <c r="CQ125" i="2"/>
  <c r="BG125" i="2"/>
  <c r="IN125" i="2"/>
  <c r="HS125" i="2"/>
  <c r="AL121" i="2"/>
  <c r="FZ121" i="2"/>
  <c r="AH121" i="8"/>
  <c r="V121" i="8"/>
  <c r="AI121" i="8"/>
  <c r="ID121" i="2"/>
  <c r="AG121" i="8"/>
  <c r="GD121" i="2"/>
  <c r="IC121" i="2"/>
  <c r="GE121" i="2"/>
  <c r="CF121" i="2"/>
  <c r="AE121" i="2"/>
  <c r="JI121" i="2"/>
  <c r="JJ121" i="2"/>
  <c r="CE121" i="2"/>
  <c r="CH121" i="2"/>
  <c r="AC121" i="2"/>
  <c r="AD121" i="2"/>
  <c r="W121" i="2"/>
  <c r="Q121" i="2"/>
  <c r="L121" i="2"/>
  <c r="R121" i="2"/>
  <c r="X121" i="2"/>
  <c r="DM121" i="2"/>
  <c r="DN121" i="2"/>
  <c r="FB121" i="2"/>
  <c r="FC121" i="2"/>
  <c r="DL121" i="2"/>
  <c r="AN121" i="2"/>
  <c r="AW121" i="2"/>
  <c r="CZ121" i="2"/>
  <c r="AJ121" i="2"/>
  <c r="AK121" i="2"/>
  <c r="DA121" i="2"/>
  <c r="JA121" i="2"/>
  <c r="IO121" i="2"/>
  <c r="D121" i="8"/>
  <c r="AT121" i="8"/>
  <c r="BF121" i="8"/>
  <c r="IX121" i="2"/>
  <c r="BE121" i="8"/>
  <c r="HT121" i="2"/>
  <c r="HU121" i="2"/>
  <c r="IZ121" i="2"/>
  <c r="HP121" i="2"/>
  <c r="HL121" i="2"/>
  <c r="HQ121" i="2"/>
  <c r="HM121" i="2"/>
  <c r="HR121" i="2"/>
  <c r="CQ121" i="2"/>
  <c r="BG121" i="2"/>
  <c r="IN121" i="2"/>
  <c r="HS121" i="2"/>
  <c r="AL117" i="2"/>
  <c r="FZ117" i="2"/>
  <c r="AH117" i="8"/>
  <c r="V117" i="8"/>
  <c r="AI117" i="8"/>
  <c r="ID117" i="2"/>
  <c r="GD117" i="2"/>
  <c r="JI117" i="2"/>
  <c r="JJ117" i="2"/>
  <c r="GE117" i="2"/>
  <c r="CF117" i="2"/>
  <c r="AE117" i="2"/>
  <c r="X117" i="2"/>
  <c r="AG117" i="8"/>
  <c r="CE117" i="2"/>
  <c r="IC117" i="2"/>
  <c r="CH117" i="2"/>
  <c r="AD117" i="2"/>
  <c r="W117" i="2"/>
  <c r="Q117" i="2"/>
  <c r="L117" i="2"/>
  <c r="AC117" i="2"/>
  <c r="R117" i="2"/>
  <c r="DM117" i="2"/>
  <c r="DN117" i="2"/>
  <c r="FB117" i="2"/>
  <c r="FC117" i="2"/>
  <c r="DL117" i="2"/>
  <c r="AN117" i="2"/>
  <c r="AW117" i="2"/>
  <c r="CZ117" i="2"/>
  <c r="AJ117" i="2"/>
  <c r="AK117" i="2"/>
  <c r="DA117" i="2"/>
  <c r="JA117" i="2"/>
  <c r="IO117" i="2"/>
  <c r="D117" i="8"/>
  <c r="AT117" i="8"/>
  <c r="BF117" i="8"/>
  <c r="IX117" i="2"/>
  <c r="BE117" i="8"/>
  <c r="HT117" i="2"/>
  <c r="HU117" i="2"/>
  <c r="IZ117" i="2"/>
  <c r="HP117" i="2"/>
  <c r="HL117" i="2"/>
  <c r="HQ117" i="2"/>
  <c r="HM117" i="2"/>
  <c r="HR117" i="2"/>
  <c r="CQ117" i="2"/>
  <c r="BG117" i="2"/>
  <c r="IN117" i="2"/>
  <c r="HS117" i="2"/>
  <c r="DA113" i="2"/>
  <c r="V113" i="8"/>
  <c r="DA109" i="2"/>
  <c r="CZ109" i="2"/>
  <c r="DA105" i="2"/>
  <c r="V105" i="8"/>
  <c r="AL101" i="2"/>
  <c r="FZ101" i="2"/>
  <c r="AG101" i="8"/>
  <c r="AH101" i="8"/>
  <c r="AI101" i="8"/>
  <c r="IC101" i="2"/>
  <c r="ID101" i="2"/>
  <c r="GD101" i="2"/>
  <c r="X101" i="2"/>
  <c r="GE101" i="2"/>
  <c r="CH101" i="2"/>
  <c r="AC101" i="2"/>
  <c r="JI101" i="2"/>
  <c r="JJ101" i="2"/>
  <c r="V101" i="8"/>
  <c r="CF101" i="2"/>
  <c r="AE101" i="2"/>
  <c r="W101" i="2"/>
  <c r="CE101" i="2"/>
  <c r="Q101" i="2"/>
  <c r="R101" i="2"/>
  <c r="FB101" i="2"/>
  <c r="FC101" i="2"/>
  <c r="AD101" i="2"/>
  <c r="L101" i="2"/>
  <c r="DM101" i="2"/>
  <c r="DN101" i="2"/>
  <c r="AW101" i="2"/>
  <c r="CZ101" i="2"/>
  <c r="AJ101" i="2"/>
  <c r="AK101" i="2"/>
  <c r="DA101" i="2"/>
  <c r="DL101" i="2"/>
  <c r="AN101" i="2"/>
  <c r="JA101" i="2"/>
  <c r="IO101" i="2"/>
  <c r="D101" i="8"/>
  <c r="AT101" i="8"/>
  <c r="BE101" i="8"/>
  <c r="BF101" i="8"/>
  <c r="IX101" i="2"/>
  <c r="HT101" i="2"/>
  <c r="HU101" i="2"/>
  <c r="IN101" i="2"/>
  <c r="HP101" i="2"/>
  <c r="HQ101" i="2"/>
  <c r="CQ101" i="2"/>
  <c r="HR101" i="2"/>
  <c r="HL101" i="2"/>
  <c r="IZ101" i="2"/>
  <c r="HS101" i="2"/>
  <c r="HM101" i="2"/>
  <c r="BG101" i="2"/>
  <c r="AL97" i="2"/>
  <c r="FZ97" i="2"/>
  <c r="AG97" i="8"/>
  <c r="AH97" i="8"/>
  <c r="IC97" i="2"/>
  <c r="ID97" i="2"/>
  <c r="AI97" i="8"/>
  <c r="V97" i="8"/>
  <c r="JI97" i="2"/>
  <c r="JJ97" i="2"/>
  <c r="GD97" i="2"/>
  <c r="X97" i="2"/>
  <c r="GE97" i="2"/>
  <c r="CH97" i="2"/>
  <c r="AC97" i="2"/>
  <c r="CE97" i="2"/>
  <c r="CF97" i="2"/>
  <c r="W97" i="2"/>
  <c r="AD97" i="2"/>
  <c r="AE97" i="2"/>
  <c r="Q97" i="2"/>
  <c r="R97" i="2"/>
  <c r="FB97" i="2"/>
  <c r="FC97" i="2"/>
  <c r="L97" i="2"/>
  <c r="DM97" i="2"/>
  <c r="DN97" i="2"/>
  <c r="AW97" i="2"/>
  <c r="CZ97" i="2"/>
  <c r="AJ97" i="2"/>
  <c r="AK97" i="2"/>
  <c r="DA97" i="2"/>
  <c r="DL97" i="2"/>
  <c r="AN97" i="2"/>
  <c r="JA97" i="2"/>
  <c r="IO97" i="2"/>
  <c r="D97" i="8"/>
  <c r="AT97" i="8"/>
  <c r="BE97" i="8"/>
  <c r="BF97" i="8"/>
  <c r="IX97" i="2"/>
  <c r="HT97" i="2"/>
  <c r="HU97" i="2"/>
  <c r="IN97" i="2"/>
  <c r="HP97" i="2"/>
  <c r="HQ97" i="2"/>
  <c r="CQ97" i="2"/>
  <c r="HR97" i="2"/>
  <c r="HL97" i="2"/>
  <c r="IZ97" i="2"/>
  <c r="HS97" i="2"/>
  <c r="HM97" i="2"/>
  <c r="BG97" i="2"/>
  <c r="AL93" i="2"/>
  <c r="FZ93" i="2"/>
  <c r="AG93" i="8"/>
  <c r="AH93" i="8"/>
  <c r="AI93" i="8"/>
  <c r="IC93" i="2"/>
  <c r="ID93" i="2"/>
  <c r="V93" i="8"/>
  <c r="JI93" i="2"/>
  <c r="JJ93" i="2"/>
  <c r="GD93" i="2"/>
  <c r="X93" i="2"/>
  <c r="GE93" i="2"/>
  <c r="CH93" i="2"/>
  <c r="AC93" i="2"/>
  <c r="CF93" i="2"/>
  <c r="AE93" i="2"/>
  <c r="W93" i="2"/>
  <c r="CE93" i="2"/>
  <c r="Q93" i="2"/>
  <c r="R93" i="2"/>
  <c r="FB93" i="2"/>
  <c r="AD93" i="2"/>
  <c r="FC93" i="2"/>
  <c r="L93" i="2"/>
  <c r="DM93" i="2"/>
  <c r="DN93" i="2"/>
  <c r="AW93" i="2"/>
  <c r="CZ93" i="2"/>
  <c r="AJ93" i="2"/>
  <c r="AK93" i="2"/>
  <c r="DA93" i="2"/>
  <c r="DL93" i="2"/>
  <c r="AN93" i="2"/>
  <c r="JA93" i="2"/>
  <c r="IO93" i="2"/>
  <c r="D93" i="8"/>
  <c r="AT93" i="8"/>
  <c r="BE93" i="8"/>
  <c r="BF93" i="8"/>
  <c r="IX93" i="2"/>
  <c r="HT93" i="2"/>
  <c r="HU93" i="2"/>
  <c r="IN93" i="2"/>
  <c r="HP93" i="2"/>
  <c r="HQ93" i="2"/>
  <c r="CQ93" i="2"/>
  <c r="HR93" i="2"/>
  <c r="HL93" i="2"/>
  <c r="IZ93" i="2"/>
  <c r="HS93" i="2"/>
  <c r="HM93" i="2"/>
  <c r="BG93" i="2"/>
  <c r="AL89" i="2"/>
  <c r="FZ89" i="2"/>
  <c r="AG89" i="8"/>
  <c r="AH89" i="8"/>
  <c r="IC89" i="2"/>
  <c r="ID89" i="2"/>
  <c r="V89" i="8"/>
  <c r="JI89" i="2"/>
  <c r="JJ89" i="2"/>
  <c r="AI89" i="8"/>
  <c r="GD89" i="2"/>
  <c r="CH89" i="2"/>
  <c r="X89" i="2"/>
  <c r="GE89" i="2"/>
  <c r="CE89" i="2"/>
  <c r="AC89" i="2"/>
  <c r="CF89" i="2"/>
  <c r="W89" i="2"/>
  <c r="AD89" i="2"/>
  <c r="AE89" i="2"/>
  <c r="Q89" i="2"/>
  <c r="R89" i="2"/>
  <c r="FB89" i="2"/>
  <c r="FC89" i="2"/>
  <c r="L89" i="2"/>
  <c r="DM89" i="2"/>
  <c r="DN89" i="2"/>
  <c r="AW89" i="2"/>
  <c r="CZ89" i="2"/>
  <c r="AJ89" i="2"/>
  <c r="AK89" i="2"/>
  <c r="DA89" i="2"/>
  <c r="DL89" i="2"/>
  <c r="AN89" i="2"/>
  <c r="JA89" i="2"/>
  <c r="IO89" i="2"/>
  <c r="D89" i="8"/>
  <c r="AT89" i="8"/>
  <c r="BE89" i="8"/>
  <c r="BF89" i="8"/>
  <c r="IX89" i="2"/>
  <c r="HT89" i="2"/>
  <c r="HU89" i="2"/>
  <c r="IN89" i="2"/>
  <c r="HP89" i="2"/>
  <c r="HQ89" i="2"/>
  <c r="CQ89" i="2"/>
  <c r="HR89" i="2"/>
  <c r="HL89" i="2"/>
  <c r="IZ89" i="2"/>
  <c r="HS89" i="2"/>
  <c r="HM89" i="2"/>
  <c r="BG89" i="2"/>
  <c r="AL85" i="2"/>
  <c r="FZ85" i="2"/>
  <c r="AG85" i="8"/>
  <c r="AH85" i="8"/>
  <c r="AI85" i="8"/>
  <c r="IC85" i="2"/>
  <c r="ID85" i="2"/>
  <c r="GD85" i="2"/>
  <c r="CH85" i="2"/>
  <c r="X85" i="2"/>
  <c r="GE85" i="2"/>
  <c r="CE85" i="2"/>
  <c r="AC85" i="2"/>
  <c r="V85" i="8"/>
  <c r="JI85" i="2"/>
  <c r="JJ85" i="2"/>
  <c r="CF85" i="2"/>
  <c r="AE85" i="2"/>
  <c r="W85" i="2"/>
  <c r="Q85" i="2"/>
  <c r="AD85" i="2"/>
  <c r="R85" i="2"/>
  <c r="FB85" i="2"/>
  <c r="FC85" i="2"/>
  <c r="L85" i="2"/>
  <c r="DM85" i="2"/>
  <c r="DN85" i="2"/>
  <c r="AW85" i="2"/>
  <c r="CZ85" i="2"/>
  <c r="AJ85" i="2"/>
  <c r="AK85" i="2"/>
  <c r="DA85" i="2"/>
  <c r="DL85" i="2"/>
  <c r="AN85" i="2"/>
  <c r="JA85" i="2"/>
  <c r="IO85" i="2"/>
  <c r="D85" i="8"/>
  <c r="AT85" i="8"/>
  <c r="BE85" i="8"/>
  <c r="BF85" i="8"/>
  <c r="IX85" i="2"/>
  <c r="HT85" i="2"/>
  <c r="HU85" i="2"/>
  <c r="IN85" i="2"/>
  <c r="HP85" i="2"/>
  <c r="HQ85" i="2"/>
  <c r="CQ85" i="2"/>
  <c r="HR85" i="2"/>
  <c r="HL85" i="2"/>
  <c r="IZ85" i="2"/>
  <c r="HS85" i="2"/>
  <c r="HM85" i="2"/>
  <c r="BG85" i="2"/>
  <c r="AL81" i="2"/>
  <c r="FZ81" i="2"/>
  <c r="AG81" i="8"/>
  <c r="AH81" i="8"/>
  <c r="IC81" i="2"/>
  <c r="ID81" i="2"/>
  <c r="AI81" i="8"/>
  <c r="V81" i="8"/>
  <c r="JI81" i="2"/>
  <c r="JJ81" i="2"/>
  <c r="GD81" i="2"/>
  <c r="CH81" i="2"/>
  <c r="X81" i="2"/>
  <c r="GE81" i="2"/>
  <c r="CE81" i="2"/>
  <c r="AC81" i="2"/>
  <c r="CF81" i="2"/>
  <c r="W81" i="2"/>
  <c r="AD81" i="2"/>
  <c r="AE81" i="2"/>
  <c r="Q81" i="2"/>
  <c r="R81" i="2"/>
  <c r="FB81" i="2"/>
  <c r="FC81" i="2"/>
  <c r="L81" i="2"/>
  <c r="DM81" i="2"/>
  <c r="DN81" i="2"/>
  <c r="AW81" i="2"/>
  <c r="CZ81" i="2"/>
  <c r="AJ81" i="2"/>
  <c r="AK81" i="2"/>
  <c r="DA81" i="2"/>
  <c r="DL81" i="2"/>
  <c r="AN81" i="2"/>
  <c r="JA81" i="2"/>
  <c r="IO81" i="2"/>
  <c r="D81" i="8"/>
  <c r="AT81" i="8"/>
  <c r="BE81" i="8"/>
  <c r="BF81" i="8"/>
  <c r="IX81" i="2"/>
  <c r="HT81" i="2"/>
  <c r="HU81" i="2"/>
  <c r="IN81" i="2"/>
  <c r="HP81" i="2"/>
  <c r="HQ81" i="2"/>
  <c r="CQ81" i="2"/>
  <c r="HR81" i="2"/>
  <c r="HL81" i="2"/>
  <c r="IZ81" i="2"/>
  <c r="HS81" i="2"/>
  <c r="HM81" i="2"/>
  <c r="BG81" i="2"/>
  <c r="AL77" i="2"/>
  <c r="FZ77" i="2"/>
  <c r="AG77" i="8"/>
  <c r="AH77" i="8"/>
  <c r="AI77" i="8"/>
  <c r="IC77" i="2"/>
  <c r="ID77" i="2"/>
  <c r="V77" i="8"/>
  <c r="JI77" i="2"/>
  <c r="JJ77" i="2"/>
  <c r="GD77" i="2"/>
  <c r="CH77" i="2"/>
  <c r="X77" i="2"/>
  <c r="GE77" i="2"/>
  <c r="CE77" i="2"/>
  <c r="AC77" i="2"/>
  <c r="AE77" i="2"/>
  <c r="W77" i="2"/>
  <c r="Q77" i="2"/>
  <c r="R77" i="2"/>
  <c r="FB77" i="2"/>
  <c r="FC77" i="2"/>
  <c r="CF77" i="2"/>
  <c r="AD77" i="2"/>
  <c r="L77" i="2"/>
  <c r="DM77" i="2"/>
  <c r="DN77" i="2"/>
  <c r="AW77" i="2"/>
  <c r="CZ77" i="2"/>
  <c r="AJ77" i="2"/>
  <c r="AK77" i="2"/>
  <c r="DA77" i="2"/>
  <c r="DL77" i="2"/>
  <c r="AN77" i="2"/>
  <c r="JA77" i="2"/>
  <c r="IO77" i="2"/>
  <c r="D77" i="8"/>
  <c r="AT77" i="8"/>
  <c r="BE77" i="8"/>
  <c r="BF77" i="8"/>
  <c r="IX77" i="2"/>
  <c r="HT77" i="2"/>
  <c r="HU77" i="2"/>
  <c r="IN77" i="2"/>
  <c r="HP77" i="2"/>
  <c r="HQ77" i="2"/>
  <c r="CQ77" i="2"/>
  <c r="HR77" i="2"/>
  <c r="HL77" i="2"/>
  <c r="IZ77" i="2"/>
  <c r="HS77" i="2"/>
  <c r="HM77" i="2"/>
  <c r="BG77" i="2"/>
  <c r="AL73" i="2"/>
  <c r="FZ73" i="2"/>
  <c r="AG73" i="8"/>
  <c r="AH73" i="8"/>
  <c r="IC73" i="2"/>
  <c r="ID73" i="2"/>
  <c r="V73" i="8"/>
  <c r="JI73" i="2"/>
  <c r="JJ73" i="2"/>
  <c r="GD73" i="2"/>
  <c r="CE73" i="2"/>
  <c r="X73" i="2"/>
  <c r="GE73" i="2"/>
  <c r="CF73" i="2"/>
  <c r="AC73" i="2"/>
  <c r="AI73" i="8"/>
  <c r="CH73" i="2"/>
  <c r="W73" i="2"/>
  <c r="AD73" i="2"/>
  <c r="AE73" i="2"/>
  <c r="Q73" i="2"/>
  <c r="R73" i="2"/>
  <c r="FB73" i="2"/>
  <c r="FC73" i="2"/>
  <c r="L73" i="2"/>
  <c r="DM73" i="2"/>
  <c r="DN73" i="2"/>
  <c r="AW73" i="2"/>
  <c r="CZ73" i="2"/>
  <c r="AJ73" i="2"/>
  <c r="AK73" i="2"/>
  <c r="DA73" i="2"/>
  <c r="DL73" i="2"/>
  <c r="AN73" i="2"/>
  <c r="JA73" i="2"/>
  <c r="IO73" i="2"/>
  <c r="D73" i="8"/>
  <c r="AT73" i="8"/>
  <c r="BE73" i="8"/>
  <c r="BF73" i="8"/>
  <c r="IX73" i="2"/>
  <c r="HT73" i="2"/>
  <c r="HU73" i="2"/>
  <c r="IN73" i="2"/>
  <c r="HP73" i="2"/>
  <c r="HQ73" i="2"/>
  <c r="CQ73" i="2"/>
  <c r="HR73" i="2"/>
  <c r="HL73" i="2"/>
  <c r="IZ73" i="2"/>
  <c r="HS73" i="2"/>
  <c r="HM73" i="2"/>
  <c r="BG73" i="2"/>
  <c r="AL69" i="2"/>
  <c r="FZ69" i="2"/>
  <c r="AG69" i="8"/>
  <c r="AH69" i="8"/>
  <c r="AI69" i="8"/>
  <c r="IC69" i="2"/>
  <c r="ID69" i="2"/>
  <c r="GD69" i="2"/>
  <c r="CE69" i="2"/>
  <c r="X69" i="2"/>
  <c r="GE69" i="2"/>
  <c r="CF69" i="2"/>
  <c r="AC69" i="2"/>
  <c r="JI69" i="2"/>
  <c r="JJ69" i="2"/>
  <c r="V69" i="8"/>
  <c r="CH69" i="2"/>
  <c r="AE69" i="2"/>
  <c r="W69" i="2"/>
  <c r="Q69" i="2"/>
  <c r="R69" i="2"/>
  <c r="FB69" i="2"/>
  <c r="FC69" i="2"/>
  <c r="AD69" i="2"/>
  <c r="L69" i="2"/>
  <c r="DM69" i="2"/>
  <c r="DN69" i="2"/>
  <c r="AW69" i="2"/>
  <c r="CZ69" i="2"/>
  <c r="AJ69" i="2"/>
  <c r="AK69" i="2"/>
  <c r="DA69" i="2"/>
  <c r="DL69" i="2"/>
  <c r="AN69" i="2"/>
  <c r="JA69" i="2"/>
  <c r="IO69" i="2"/>
  <c r="D69" i="8"/>
  <c r="AT69" i="8"/>
  <c r="BE69" i="8"/>
  <c r="BF69" i="8"/>
  <c r="IX69" i="2"/>
  <c r="HT69" i="2"/>
  <c r="HU69" i="2"/>
  <c r="IN69" i="2"/>
  <c r="HP69" i="2"/>
  <c r="HQ69" i="2"/>
  <c r="CQ69" i="2"/>
  <c r="HR69" i="2"/>
  <c r="HL69" i="2"/>
  <c r="IZ69" i="2"/>
  <c r="HS69" i="2"/>
  <c r="HM69" i="2"/>
  <c r="BG69" i="2"/>
  <c r="FZ65" i="2"/>
  <c r="AG65" i="8"/>
  <c r="AH65" i="8"/>
  <c r="IC65" i="2"/>
  <c r="ID65" i="2"/>
  <c r="AI65" i="8"/>
  <c r="V65" i="8"/>
  <c r="JI65" i="2"/>
  <c r="JJ65" i="2"/>
  <c r="GD65" i="2"/>
  <c r="CE65" i="2"/>
  <c r="X65" i="2"/>
  <c r="GE65" i="2"/>
  <c r="CF65" i="2"/>
  <c r="AC65" i="2"/>
  <c r="CH65" i="2"/>
  <c r="W65" i="2"/>
  <c r="AD65" i="2"/>
  <c r="AE65" i="2"/>
  <c r="Q65" i="2"/>
  <c r="R65" i="2"/>
  <c r="FB65" i="2"/>
  <c r="FC65" i="2"/>
  <c r="L65" i="2"/>
  <c r="DM65" i="2"/>
  <c r="DN65" i="2"/>
  <c r="AW65" i="2"/>
  <c r="CZ65" i="2"/>
  <c r="AJ65" i="2"/>
  <c r="AK65" i="2"/>
  <c r="DA65" i="2"/>
  <c r="DL65" i="2"/>
  <c r="AN65" i="2"/>
  <c r="JA65" i="2"/>
  <c r="IO65" i="2"/>
  <c r="D65" i="8"/>
  <c r="AT65" i="8"/>
  <c r="BE65" i="8"/>
  <c r="BF65" i="8"/>
  <c r="IX65" i="2"/>
  <c r="HT65" i="2"/>
  <c r="HU65" i="2"/>
  <c r="IN65" i="2"/>
  <c r="HP65" i="2"/>
  <c r="HQ65" i="2"/>
  <c r="CQ65" i="2"/>
  <c r="HR65" i="2"/>
  <c r="HL65" i="2"/>
  <c r="IZ65" i="2"/>
  <c r="HS65" i="2"/>
  <c r="HM65" i="2"/>
  <c r="BG65" i="2"/>
  <c r="AL61" i="2"/>
  <c r="FZ61" i="2"/>
  <c r="AG61" i="8"/>
  <c r="AH61" i="8"/>
  <c r="AI61" i="8"/>
  <c r="IC61" i="2"/>
  <c r="ID61" i="2"/>
  <c r="V61" i="8"/>
  <c r="JI61" i="2"/>
  <c r="JJ61" i="2"/>
  <c r="GD61" i="2"/>
  <c r="CE61" i="2"/>
  <c r="X61" i="2"/>
  <c r="GE61" i="2"/>
  <c r="CF61" i="2"/>
  <c r="AC61" i="2"/>
  <c r="CH61" i="2"/>
  <c r="AE61" i="2"/>
  <c r="W61" i="2"/>
  <c r="Q61" i="2"/>
  <c r="R61" i="2"/>
  <c r="FB61" i="2"/>
  <c r="AD61" i="2"/>
  <c r="FC61" i="2"/>
  <c r="L61" i="2"/>
  <c r="DM61" i="2"/>
  <c r="DN61" i="2"/>
  <c r="AW61" i="2"/>
  <c r="CZ61" i="2"/>
  <c r="AJ61" i="2"/>
  <c r="AK61" i="2"/>
  <c r="DA61" i="2"/>
  <c r="DL61" i="2"/>
  <c r="AN61" i="2"/>
  <c r="JA61" i="2"/>
  <c r="IO61" i="2"/>
  <c r="D61" i="8"/>
  <c r="AT61" i="8"/>
  <c r="BE61" i="8"/>
  <c r="BF61" i="8"/>
  <c r="IX61" i="2"/>
  <c r="HT61" i="2"/>
  <c r="HU61" i="2"/>
  <c r="IN61" i="2"/>
  <c r="HP61" i="2"/>
  <c r="HQ61" i="2"/>
  <c r="CQ61" i="2"/>
  <c r="HR61" i="2"/>
  <c r="HL61" i="2"/>
  <c r="IZ61" i="2"/>
  <c r="HS61" i="2"/>
  <c r="HM61" i="2"/>
  <c r="BG61" i="2"/>
  <c r="AL57" i="2"/>
  <c r="FZ57" i="2"/>
  <c r="AG57" i="8"/>
  <c r="AH57" i="8"/>
  <c r="IC57" i="2"/>
  <c r="ID57" i="2"/>
  <c r="V57" i="8"/>
  <c r="JI57" i="2"/>
  <c r="JJ57" i="2"/>
  <c r="AI57" i="8"/>
  <c r="GD57" i="2"/>
  <c r="CE57" i="2"/>
  <c r="X57" i="2"/>
  <c r="GE57" i="2"/>
  <c r="CF57" i="2"/>
  <c r="AC57" i="2"/>
  <c r="AD57" i="2"/>
  <c r="CH57" i="2"/>
  <c r="W57" i="2"/>
  <c r="AE57" i="2"/>
  <c r="Q57" i="2"/>
  <c r="R57" i="2"/>
  <c r="FB57" i="2"/>
  <c r="FC57" i="2"/>
  <c r="L57" i="2"/>
  <c r="DM57" i="2"/>
  <c r="DN57" i="2"/>
  <c r="AW57" i="2"/>
  <c r="CZ57" i="2"/>
  <c r="AJ57" i="2"/>
  <c r="AK57" i="2"/>
  <c r="DA57" i="2"/>
  <c r="DL57" i="2"/>
  <c r="AN57" i="2"/>
  <c r="JA57" i="2"/>
  <c r="IO57" i="2"/>
  <c r="D57" i="8"/>
  <c r="AT57" i="8"/>
  <c r="BE57" i="8"/>
  <c r="BF57" i="8"/>
  <c r="IX57" i="2"/>
  <c r="HT57" i="2"/>
  <c r="HU57" i="2"/>
  <c r="IN57" i="2"/>
  <c r="HP57" i="2"/>
  <c r="HQ57" i="2"/>
  <c r="CQ57" i="2"/>
  <c r="HR57" i="2"/>
  <c r="HL57" i="2"/>
  <c r="IZ57" i="2"/>
  <c r="HS57" i="2"/>
  <c r="HM57" i="2"/>
  <c r="BG57" i="2"/>
  <c r="DA53" i="2"/>
  <c r="CZ53" i="2"/>
  <c r="D201" i="10"/>
  <c r="D197" i="10"/>
  <c r="D193" i="10"/>
  <c r="D189" i="10"/>
  <c r="D185" i="10"/>
  <c r="D181" i="10"/>
  <c r="D177" i="10"/>
  <c r="D173" i="10"/>
  <c r="D169" i="10"/>
  <c r="D165" i="10"/>
  <c r="D161" i="10"/>
  <c r="D157" i="10"/>
  <c r="D153" i="10"/>
  <c r="D149" i="10"/>
  <c r="D145" i="10"/>
  <c r="D141" i="10"/>
  <c r="D137" i="10"/>
  <c r="D133" i="10"/>
  <c r="D129" i="10"/>
  <c r="D125" i="10"/>
  <c r="D121" i="10"/>
  <c r="D117" i="10"/>
  <c r="D102" i="10"/>
  <c r="D98" i="10"/>
  <c r="D94" i="10"/>
  <c r="D90" i="10"/>
  <c r="D86" i="10"/>
  <c r="D82" i="10"/>
  <c r="D78" i="10"/>
  <c r="D74" i="10"/>
  <c r="D70" i="10"/>
  <c r="D66" i="10"/>
  <c r="D62" i="10"/>
  <c r="D58" i="10"/>
  <c r="D54" i="10"/>
  <c r="AL196" i="2"/>
  <c r="FZ196" i="2"/>
  <c r="AG196" i="8"/>
  <c r="AH196" i="8"/>
  <c r="IC196" i="2"/>
  <c r="ID196" i="2"/>
  <c r="V196" i="8"/>
  <c r="JI196" i="2"/>
  <c r="JJ196" i="2"/>
  <c r="AI196" i="8"/>
  <c r="GE196" i="2"/>
  <c r="CF196" i="2"/>
  <c r="AC196" i="2"/>
  <c r="CH196" i="2"/>
  <c r="GD196" i="2"/>
  <c r="CE196" i="2"/>
  <c r="AD196" i="2"/>
  <c r="AE196" i="2"/>
  <c r="W196" i="2"/>
  <c r="Q196" i="2"/>
  <c r="X196" i="2"/>
  <c r="R196" i="2"/>
  <c r="FC196" i="2"/>
  <c r="L196" i="2"/>
  <c r="FB196" i="2"/>
  <c r="DN196" i="2"/>
  <c r="CZ196" i="2"/>
  <c r="DA196" i="2"/>
  <c r="DL196" i="2"/>
  <c r="DM196" i="2"/>
  <c r="AJ196" i="2"/>
  <c r="AK196" i="2"/>
  <c r="AN196" i="2"/>
  <c r="AW196" i="2"/>
  <c r="JA196" i="2"/>
  <c r="IO196" i="2"/>
  <c r="D196" i="8"/>
  <c r="AT196" i="8"/>
  <c r="BE196" i="8"/>
  <c r="BF196" i="8"/>
  <c r="IX196" i="2"/>
  <c r="HT196" i="2"/>
  <c r="HU196" i="2"/>
  <c r="IN196" i="2"/>
  <c r="HP196" i="2"/>
  <c r="HQ196" i="2"/>
  <c r="CQ196" i="2"/>
  <c r="HR196" i="2"/>
  <c r="HL196" i="2"/>
  <c r="IZ196" i="2"/>
  <c r="HS196" i="2"/>
  <c r="HM196" i="2"/>
  <c r="BG196" i="2"/>
  <c r="AL192" i="2"/>
  <c r="FZ192" i="2"/>
  <c r="AG192" i="8"/>
  <c r="AH192" i="8"/>
  <c r="AI192" i="8"/>
  <c r="IC192" i="2"/>
  <c r="ID192" i="2"/>
  <c r="GE192" i="2"/>
  <c r="CF192" i="2"/>
  <c r="AC192" i="2"/>
  <c r="V192" i="8"/>
  <c r="JI192" i="2"/>
  <c r="JJ192" i="2"/>
  <c r="GD192" i="2"/>
  <c r="CE192" i="2"/>
  <c r="CH192" i="2"/>
  <c r="AE192" i="2"/>
  <c r="W192" i="2"/>
  <c r="AD192" i="2"/>
  <c r="Q192" i="2"/>
  <c r="X192" i="2"/>
  <c r="R192" i="2"/>
  <c r="FC192" i="2"/>
  <c r="L192" i="2"/>
  <c r="FB192" i="2"/>
  <c r="DN192" i="2"/>
  <c r="CZ192" i="2"/>
  <c r="DA192" i="2"/>
  <c r="DL192" i="2"/>
  <c r="DM192" i="2"/>
  <c r="AJ192" i="2"/>
  <c r="AK192" i="2"/>
  <c r="AN192" i="2"/>
  <c r="AW192" i="2"/>
  <c r="JA192" i="2"/>
  <c r="IO192" i="2"/>
  <c r="D192" i="8"/>
  <c r="AT192" i="8"/>
  <c r="BE192" i="8"/>
  <c r="BF192" i="8"/>
  <c r="IX192" i="2"/>
  <c r="HT192" i="2"/>
  <c r="HU192" i="2"/>
  <c r="IN192" i="2"/>
  <c r="HP192" i="2"/>
  <c r="HQ192" i="2"/>
  <c r="CQ192" i="2"/>
  <c r="HR192" i="2"/>
  <c r="HL192" i="2"/>
  <c r="IZ192" i="2"/>
  <c r="HS192" i="2"/>
  <c r="HM192" i="2"/>
  <c r="BG192" i="2"/>
  <c r="AL188" i="2"/>
  <c r="FZ188" i="2"/>
  <c r="AG188" i="8"/>
  <c r="AH188" i="8"/>
  <c r="IC188" i="2"/>
  <c r="ID188" i="2"/>
  <c r="AI188" i="8"/>
  <c r="V188" i="8"/>
  <c r="JI188" i="2"/>
  <c r="JJ188" i="2"/>
  <c r="GE188" i="2"/>
  <c r="CH188" i="2"/>
  <c r="AC188" i="2"/>
  <c r="GD188" i="2"/>
  <c r="AD188" i="2"/>
  <c r="CE188" i="2"/>
  <c r="AE188" i="2"/>
  <c r="W188" i="2"/>
  <c r="CF188" i="2"/>
  <c r="Q188" i="2"/>
  <c r="X188" i="2"/>
  <c r="R188" i="2"/>
  <c r="FC188" i="2"/>
  <c r="L188" i="2"/>
  <c r="FB188" i="2"/>
  <c r="DN188" i="2"/>
  <c r="CZ188" i="2"/>
  <c r="DA188" i="2"/>
  <c r="DL188" i="2"/>
  <c r="DM188" i="2"/>
  <c r="AJ188" i="2"/>
  <c r="AK188" i="2"/>
  <c r="AN188" i="2"/>
  <c r="AW188" i="2"/>
  <c r="JA188" i="2"/>
  <c r="IO188" i="2"/>
  <c r="D188" i="8"/>
  <c r="AT188" i="8"/>
  <c r="BE188" i="8"/>
  <c r="BF188" i="8"/>
  <c r="IX188" i="2"/>
  <c r="HT188" i="2"/>
  <c r="HU188" i="2"/>
  <c r="IN188" i="2"/>
  <c r="HP188" i="2"/>
  <c r="HQ188" i="2"/>
  <c r="CQ188" i="2"/>
  <c r="HR188" i="2"/>
  <c r="HL188" i="2"/>
  <c r="IZ188" i="2"/>
  <c r="HS188" i="2"/>
  <c r="HM188" i="2"/>
  <c r="BG188" i="2"/>
  <c r="AL184" i="2"/>
  <c r="FZ184" i="2"/>
  <c r="AG184" i="8"/>
  <c r="AH184" i="8"/>
  <c r="AI184" i="8"/>
  <c r="IC184" i="2"/>
  <c r="ID184" i="2"/>
  <c r="V184" i="8"/>
  <c r="JI184" i="2"/>
  <c r="JJ184" i="2"/>
  <c r="GE184" i="2"/>
  <c r="CH184" i="2"/>
  <c r="CE184" i="2"/>
  <c r="AC184" i="2"/>
  <c r="CF184" i="2"/>
  <c r="GD184" i="2"/>
  <c r="AE184" i="2"/>
  <c r="W184" i="2"/>
  <c r="Q184" i="2"/>
  <c r="X184" i="2"/>
  <c r="R184" i="2"/>
  <c r="AD184" i="2"/>
  <c r="L184" i="2"/>
  <c r="FC184" i="2"/>
  <c r="FB184" i="2"/>
  <c r="DN184" i="2"/>
  <c r="CZ184" i="2"/>
  <c r="DA184" i="2"/>
  <c r="DL184" i="2"/>
  <c r="DM184" i="2"/>
  <c r="AJ184" i="2"/>
  <c r="AK184" i="2"/>
  <c r="AN184" i="2"/>
  <c r="AW184" i="2"/>
  <c r="JA184" i="2"/>
  <c r="IO184" i="2"/>
  <c r="D184" i="8"/>
  <c r="AT184" i="8"/>
  <c r="BE184" i="8"/>
  <c r="BF184" i="8"/>
  <c r="IX184" i="2"/>
  <c r="HT184" i="2"/>
  <c r="HU184" i="2"/>
  <c r="IN184" i="2"/>
  <c r="HP184" i="2"/>
  <c r="HQ184" i="2"/>
  <c r="CQ184" i="2"/>
  <c r="HR184" i="2"/>
  <c r="HL184" i="2"/>
  <c r="IZ184" i="2"/>
  <c r="HS184" i="2"/>
  <c r="HM184" i="2"/>
  <c r="BG184" i="2"/>
  <c r="AL180" i="2"/>
  <c r="FZ180" i="2"/>
  <c r="AG180" i="8"/>
  <c r="AH180" i="8"/>
  <c r="IC180" i="2"/>
  <c r="ID180" i="2"/>
  <c r="V180" i="8"/>
  <c r="JI180" i="2"/>
  <c r="JJ180" i="2"/>
  <c r="GE180" i="2"/>
  <c r="CH180" i="2"/>
  <c r="CE180" i="2"/>
  <c r="AC180" i="2"/>
  <c r="AI180" i="8"/>
  <c r="GD180" i="2"/>
  <c r="CF180" i="2"/>
  <c r="AD180" i="2"/>
  <c r="AE180" i="2"/>
  <c r="W180" i="2"/>
  <c r="Q180" i="2"/>
  <c r="X180" i="2"/>
  <c r="R180" i="2"/>
  <c r="FC180" i="2"/>
  <c r="L180" i="2"/>
  <c r="FB180" i="2"/>
  <c r="DN180" i="2"/>
  <c r="CZ180" i="2"/>
  <c r="DA180" i="2"/>
  <c r="DL180" i="2"/>
  <c r="DM180" i="2"/>
  <c r="AJ180" i="2"/>
  <c r="AK180" i="2"/>
  <c r="AN180" i="2"/>
  <c r="AW180" i="2"/>
  <c r="JA180" i="2"/>
  <c r="IO180" i="2"/>
  <c r="D180" i="8"/>
  <c r="AT180" i="8"/>
  <c r="BE180" i="8"/>
  <c r="BF180" i="8"/>
  <c r="IX180" i="2"/>
  <c r="HT180" i="2"/>
  <c r="HU180" i="2"/>
  <c r="IN180" i="2"/>
  <c r="HP180" i="2"/>
  <c r="HQ180" i="2"/>
  <c r="CQ180" i="2"/>
  <c r="HR180" i="2"/>
  <c r="HL180" i="2"/>
  <c r="IZ180" i="2"/>
  <c r="HS180" i="2"/>
  <c r="HM180" i="2"/>
  <c r="BG180" i="2"/>
  <c r="AL176" i="2"/>
  <c r="FZ176" i="2"/>
  <c r="AG176" i="8"/>
  <c r="AH176" i="8"/>
  <c r="AI176" i="8"/>
  <c r="IC176" i="2"/>
  <c r="ID176" i="2"/>
  <c r="GE176" i="2"/>
  <c r="CH176" i="2"/>
  <c r="CE176" i="2"/>
  <c r="AC176" i="2"/>
  <c r="JI176" i="2"/>
  <c r="JJ176" i="2"/>
  <c r="V176" i="8"/>
  <c r="CF176" i="2"/>
  <c r="GD176" i="2"/>
  <c r="AE176" i="2"/>
  <c r="W176" i="2"/>
  <c r="Q176" i="2"/>
  <c r="AD176" i="2"/>
  <c r="X176" i="2"/>
  <c r="R176" i="2"/>
  <c r="FC176" i="2"/>
  <c r="L176" i="2"/>
  <c r="FB176" i="2"/>
  <c r="DN176" i="2"/>
  <c r="CZ176" i="2"/>
  <c r="DA176" i="2"/>
  <c r="DL176" i="2"/>
  <c r="DM176" i="2"/>
  <c r="AJ176" i="2"/>
  <c r="AK176" i="2"/>
  <c r="AN176" i="2"/>
  <c r="AW176" i="2"/>
  <c r="JA176" i="2"/>
  <c r="IO176" i="2"/>
  <c r="D176" i="8"/>
  <c r="AT176" i="8"/>
  <c r="BE176" i="8"/>
  <c r="BF176" i="8"/>
  <c r="IX176" i="2"/>
  <c r="HT176" i="2"/>
  <c r="HU176" i="2"/>
  <c r="IN176" i="2"/>
  <c r="HP176" i="2"/>
  <c r="HQ176" i="2"/>
  <c r="CQ176" i="2"/>
  <c r="HR176" i="2"/>
  <c r="HL176" i="2"/>
  <c r="IZ176" i="2"/>
  <c r="HS176" i="2"/>
  <c r="HM176" i="2"/>
  <c r="BG176" i="2"/>
  <c r="AL172" i="2"/>
  <c r="FZ172" i="2"/>
  <c r="AG172" i="8"/>
  <c r="AH172" i="8"/>
  <c r="IC172" i="2"/>
  <c r="ID172" i="2"/>
  <c r="AI172" i="8"/>
  <c r="V172" i="8"/>
  <c r="JI172" i="2"/>
  <c r="JJ172" i="2"/>
  <c r="GE172" i="2"/>
  <c r="CH172" i="2"/>
  <c r="CE172" i="2"/>
  <c r="AC172" i="2"/>
  <c r="GD172" i="2"/>
  <c r="CF172" i="2"/>
  <c r="AD172" i="2"/>
  <c r="AE172" i="2"/>
  <c r="W172" i="2"/>
  <c r="Q172" i="2"/>
  <c r="X172" i="2"/>
  <c r="R172" i="2"/>
  <c r="FC172" i="2"/>
  <c r="L172" i="2"/>
  <c r="FB172" i="2"/>
  <c r="DN172" i="2"/>
  <c r="CZ172" i="2"/>
  <c r="AJ172" i="2"/>
  <c r="AK172" i="2"/>
  <c r="DA172" i="2"/>
  <c r="DL172" i="2"/>
  <c r="AN172" i="2"/>
  <c r="DM172" i="2"/>
  <c r="AW172" i="2"/>
  <c r="JA172" i="2"/>
  <c r="IO172" i="2"/>
  <c r="D172" i="8"/>
  <c r="AT172" i="8"/>
  <c r="BE172" i="8"/>
  <c r="BF172" i="8"/>
  <c r="IX172" i="2"/>
  <c r="HT172" i="2"/>
  <c r="HU172" i="2"/>
  <c r="IN172" i="2"/>
  <c r="HP172" i="2"/>
  <c r="HQ172" i="2"/>
  <c r="CQ172" i="2"/>
  <c r="HR172" i="2"/>
  <c r="HL172" i="2"/>
  <c r="IZ172" i="2"/>
  <c r="HS172" i="2"/>
  <c r="HM172" i="2"/>
  <c r="BG172" i="2"/>
  <c r="AL168" i="2"/>
  <c r="FZ168" i="2"/>
  <c r="AG168" i="8"/>
  <c r="AH168" i="8"/>
  <c r="AI168" i="8"/>
  <c r="IC168" i="2"/>
  <c r="ID168" i="2"/>
  <c r="V168" i="8"/>
  <c r="JI168" i="2"/>
  <c r="JJ168" i="2"/>
  <c r="GE168" i="2"/>
  <c r="CH168" i="2"/>
  <c r="CE168" i="2"/>
  <c r="AC168" i="2"/>
  <c r="CF168" i="2"/>
  <c r="GD168" i="2"/>
  <c r="AE168" i="2"/>
  <c r="W168" i="2"/>
  <c r="AD168" i="2"/>
  <c r="Q168" i="2"/>
  <c r="X168" i="2"/>
  <c r="R168" i="2"/>
  <c r="L168" i="2"/>
  <c r="FC168" i="2"/>
  <c r="FB168" i="2"/>
  <c r="DN168" i="2"/>
  <c r="CZ168" i="2"/>
  <c r="AJ168" i="2"/>
  <c r="AK168" i="2"/>
  <c r="DA168" i="2"/>
  <c r="DL168" i="2"/>
  <c r="AN168" i="2"/>
  <c r="DM168" i="2"/>
  <c r="AW168" i="2"/>
  <c r="JA168" i="2"/>
  <c r="IO168" i="2"/>
  <c r="D168" i="8"/>
  <c r="AT168" i="8"/>
  <c r="BE168" i="8"/>
  <c r="BF168" i="8"/>
  <c r="IX168" i="2"/>
  <c r="HT168" i="2"/>
  <c r="HU168" i="2"/>
  <c r="IN168" i="2"/>
  <c r="HP168" i="2"/>
  <c r="HQ168" i="2"/>
  <c r="CQ168" i="2"/>
  <c r="HR168" i="2"/>
  <c r="HL168" i="2"/>
  <c r="IZ168" i="2"/>
  <c r="HS168" i="2"/>
  <c r="HM168" i="2"/>
  <c r="BG168" i="2"/>
  <c r="AL164" i="2"/>
  <c r="FZ164" i="2"/>
  <c r="AG164" i="8"/>
  <c r="AH164" i="8"/>
  <c r="IC164" i="2"/>
  <c r="ID164" i="2"/>
  <c r="V164" i="8"/>
  <c r="JI164" i="2"/>
  <c r="JJ164" i="2"/>
  <c r="AI164" i="8"/>
  <c r="GE164" i="2"/>
  <c r="CH164" i="2"/>
  <c r="CE164" i="2"/>
  <c r="AC164" i="2"/>
  <c r="GD164" i="2"/>
  <c r="AD164" i="2"/>
  <c r="AE164" i="2"/>
  <c r="W164" i="2"/>
  <c r="Q164" i="2"/>
  <c r="X164" i="2"/>
  <c r="R164" i="2"/>
  <c r="CF164" i="2"/>
  <c r="FC164" i="2"/>
  <c r="L164" i="2"/>
  <c r="FB164" i="2"/>
  <c r="DN164" i="2"/>
  <c r="CZ164" i="2"/>
  <c r="AJ164" i="2"/>
  <c r="AK164" i="2"/>
  <c r="DA164" i="2"/>
  <c r="DL164" i="2"/>
  <c r="AN164" i="2"/>
  <c r="DM164" i="2"/>
  <c r="AW164" i="2"/>
  <c r="JA164" i="2"/>
  <c r="IO164" i="2"/>
  <c r="D164" i="8"/>
  <c r="AT164" i="8"/>
  <c r="BE164" i="8"/>
  <c r="BF164" i="8"/>
  <c r="IX164" i="2"/>
  <c r="HT164" i="2"/>
  <c r="HU164" i="2"/>
  <c r="IN164" i="2"/>
  <c r="HP164" i="2"/>
  <c r="HQ164" i="2"/>
  <c r="CQ164" i="2"/>
  <c r="HR164" i="2"/>
  <c r="HL164" i="2"/>
  <c r="IZ164" i="2"/>
  <c r="HS164" i="2"/>
  <c r="HM164" i="2"/>
  <c r="BG164" i="2"/>
  <c r="AL160" i="2"/>
  <c r="FZ160" i="2"/>
  <c r="AG160" i="8"/>
  <c r="AH160" i="8"/>
  <c r="AI160" i="8"/>
  <c r="IC160" i="2"/>
  <c r="ID160" i="2"/>
  <c r="GE160" i="2"/>
  <c r="CH160" i="2"/>
  <c r="CE160" i="2"/>
  <c r="AC160" i="2"/>
  <c r="V160" i="8"/>
  <c r="JI160" i="2"/>
  <c r="JJ160" i="2"/>
  <c r="CF160" i="2"/>
  <c r="GD160" i="2"/>
  <c r="AE160" i="2"/>
  <c r="W160" i="2"/>
  <c r="Q160" i="2"/>
  <c r="AD160" i="2"/>
  <c r="X160" i="2"/>
  <c r="R160" i="2"/>
  <c r="FC160" i="2"/>
  <c r="L160" i="2"/>
  <c r="FB160" i="2"/>
  <c r="DN160" i="2"/>
  <c r="CZ160" i="2"/>
  <c r="AJ160" i="2"/>
  <c r="AK160" i="2"/>
  <c r="DA160" i="2"/>
  <c r="DL160" i="2"/>
  <c r="AN160" i="2"/>
  <c r="DM160" i="2"/>
  <c r="AW160" i="2"/>
  <c r="JA160" i="2"/>
  <c r="IO160" i="2"/>
  <c r="D160" i="8"/>
  <c r="AT160" i="8"/>
  <c r="BE160" i="8"/>
  <c r="BF160" i="8"/>
  <c r="IX160" i="2"/>
  <c r="HT160" i="2"/>
  <c r="HU160" i="2"/>
  <c r="IN160" i="2"/>
  <c r="HP160" i="2"/>
  <c r="HQ160" i="2"/>
  <c r="CQ160" i="2"/>
  <c r="HR160" i="2"/>
  <c r="HL160" i="2"/>
  <c r="IZ160" i="2"/>
  <c r="HS160" i="2"/>
  <c r="HM160" i="2"/>
  <c r="BG160" i="2"/>
  <c r="AL156" i="2"/>
  <c r="FZ156" i="2"/>
  <c r="AG156" i="8"/>
  <c r="AH156" i="8"/>
  <c r="IC156" i="2"/>
  <c r="ID156" i="2"/>
  <c r="AI156" i="8"/>
  <c r="V156" i="8"/>
  <c r="JI156" i="2"/>
  <c r="JJ156" i="2"/>
  <c r="GE156" i="2"/>
  <c r="CH156" i="2"/>
  <c r="CE156" i="2"/>
  <c r="AC156" i="2"/>
  <c r="GD156" i="2"/>
  <c r="AD156" i="2"/>
  <c r="CF156" i="2"/>
  <c r="AE156" i="2"/>
  <c r="W156" i="2"/>
  <c r="Q156" i="2"/>
  <c r="R156" i="2"/>
  <c r="X156" i="2"/>
  <c r="FC156" i="2"/>
  <c r="L156" i="2"/>
  <c r="FB156" i="2"/>
  <c r="DN156" i="2"/>
  <c r="CZ156" i="2"/>
  <c r="AJ156" i="2"/>
  <c r="AK156" i="2"/>
  <c r="DA156" i="2"/>
  <c r="DL156" i="2"/>
  <c r="AN156" i="2"/>
  <c r="DM156" i="2"/>
  <c r="AY156" i="2"/>
  <c r="JA156" i="2"/>
  <c r="IO156" i="2"/>
  <c r="D156" i="8"/>
  <c r="AT156" i="8"/>
  <c r="BE156" i="8"/>
  <c r="BF156" i="8"/>
  <c r="IX156" i="2"/>
  <c r="HT156" i="2"/>
  <c r="HU156" i="2"/>
  <c r="IN156" i="2"/>
  <c r="HP156" i="2"/>
  <c r="HQ156" i="2"/>
  <c r="CQ156" i="2"/>
  <c r="HR156" i="2"/>
  <c r="HL156" i="2"/>
  <c r="IZ156" i="2"/>
  <c r="HS156" i="2"/>
  <c r="HM156" i="2"/>
  <c r="BG156" i="2"/>
  <c r="AL152" i="2"/>
  <c r="FZ152" i="2"/>
  <c r="AG152" i="8"/>
  <c r="AH152" i="8"/>
  <c r="AI152" i="8"/>
  <c r="IC152" i="2"/>
  <c r="ID152" i="2"/>
  <c r="V152" i="8"/>
  <c r="JI152" i="2"/>
  <c r="JJ152" i="2"/>
  <c r="GE152" i="2"/>
  <c r="CE152" i="2"/>
  <c r="CF152" i="2"/>
  <c r="AC152" i="2"/>
  <c r="GD152" i="2"/>
  <c r="CH152" i="2"/>
  <c r="AE152" i="2"/>
  <c r="W152" i="2"/>
  <c r="Q152" i="2"/>
  <c r="R152" i="2"/>
  <c r="X152" i="2"/>
  <c r="AD152" i="2"/>
  <c r="L152" i="2"/>
  <c r="FC152" i="2"/>
  <c r="FB152" i="2"/>
  <c r="DN152" i="2"/>
  <c r="CZ152" i="2"/>
  <c r="AJ152" i="2"/>
  <c r="AK152" i="2"/>
  <c r="DA152" i="2"/>
  <c r="DL152" i="2"/>
  <c r="AN152" i="2"/>
  <c r="DM152" i="2"/>
  <c r="AY152" i="2"/>
  <c r="JA152" i="2"/>
  <c r="IO152" i="2"/>
  <c r="D152" i="8"/>
  <c r="AT152" i="8"/>
  <c r="BE152" i="8"/>
  <c r="BF152" i="8"/>
  <c r="IX152" i="2"/>
  <c r="HT152" i="2"/>
  <c r="HU152" i="2"/>
  <c r="IN152" i="2"/>
  <c r="HP152" i="2"/>
  <c r="HQ152" i="2"/>
  <c r="CQ152" i="2"/>
  <c r="HR152" i="2"/>
  <c r="HL152" i="2"/>
  <c r="IZ152" i="2"/>
  <c r="HS152" i="2"/>
  <c r="HM152" i="2"/>
  <c r="BG152" i="2"/>
  <c r="AL148" i="2"/>
  <c r="FZ148" i="2"/>
  <c r="AG148" i="8"/>
  <c r="AH148" i="8"/>
  <c r="IC148" i="2"/>
  <c r="ID148" i="2"/>
  <c r="V148" i="8"/>
  <c r="JI148" i="2"/>
  <c r="JJ148" i="2"/>
  <c r="GE148" i="2"/>
  <c r="CE148" i="2"/>
  <c r="CF148" i="2"/>
  <c r="AC148" i="2"/>
  <c r="AI148" i="8"/>
  <c r="CH148" i="2"/>
  <c r="GD148" i="2"/>
  <c r="AD148" i="2"/>
  <c r="AE148" i="2"/>
  <c r="W148" i="2"/>
  <c r="Q148" i="2"/>
  <c r="R148" i="2"/>
  <c r="X148" i="2"/>
  <c r="FC148" i="2"/>
  <c r="L148" i="2"/>
  <c r="FB148" i="2"/>
  <c r="DN148" i="2"/>
  <c r="CZ148" i="2"/>
  <c r="AJ148" i="2"/>
  <c r="AK148" i="2"/>
  <c r="DA148" i="2"/>
  <c r="DL148" i="2"/>
  <c r="AN148" i="2"/>
  <c r="DM148" i="2"/>
  <c r="AW148" i="2"/>
  <c r="JA148" i="2"/>
  <c r="IO148" i="2"/>
  <c r="D148" i="8"/>
  <c r="AT148" i="8"/>
  <c r="BE148" i="8"/>
  <c r="BF148" i="8"/>
  <c r="IX148" i="2"/>
  <c r="HT148" i="2"/>
  <c r="HU148" i="2"/>
  <c r="IN148" i="2"/>
  <c r="HP148" i="2"/>
  <c r="HQ148" i="2"/>
  <c r="CQ148" i="2"/>
  <c r="HR148" i="2"/>
  <c r="HL148" i="2"/>
  <c r="IZ148" i="2"/>
  <c r="HS148" i="2"/>
  <c r="HM148" i="2"/>
  <c r="BG148" i="2"/>
  <c r="AL144" i="2"/>
  <c r="FZ144" i="2"/>
  <c r="AG144" i="8"/>
  <c r="AH144" i="8"/>
  <c r="AI144" i="8"/>
  <c r="IC144" i="2"/>
  <c r="ID144" i="2"/>
  <c r="GE144" i="2"/>
  <c r="CE144" i="2"/>
  <c r="CF144" i="2"/>
  <c r="AC144" i="2"/>
  <c r="JI144" i="2"/>
  <c r="JJ144" i="2"/>
  <c r="V144" i="8"/>
  <c r="GD144" i="2"/>
  <c r="CH144" i="2"/>
  <c r="AE144" i="2"/>
  <c r="W144" i="2"/>
  <c r="Q144" i="2"/>
  <c r="R144" i="2"/>
  <c r="AD144" i="2"/>
  <c r="X144" i="2"/>
  <c r="FC144" i="2"/>
  <c r="L144" i="2"/>
  <c r="FB144" i="2"/>
  <c r="DN144" i="2"/>
  <c r="CZ144" i="2"/>
  <c r="AJ144" i="2"/>
  <c r="AK144" i="2"/>
  <c r="DA144" i="2"/>
  <c r="DL144" i="2"/>
  <c r="AN144" i="2"/>
  <c r="DM144" i="2"/>
  <c r="AY144" i="2"/>
  <c r="JA144" i="2"/>
  <c r="IO144" i="2"/>
  <c r="D144" i="8"/>
  <c r="AT144" i="8"/>
  <c r="BE144" i="8"/>
  <c r="BF144" i="8"/>
  <c r="IX144" i="2"/>
  <c r="HT144" i="2"/>
  <c r="HU144" i="2"/>
  <c r="IN144" i="2"/>
  <c r="HP144" i="2"/>
  <c r="HQ144" i="2"/>
  <c r="CQ144" i="2"/>
  <c r="HR144" i="2"/>
  <c r="HL144" i="2"/>
  <c r="IZ144" i="2"/>
  <c r="HS144" i="2"/>
  <c r="HM144" i="2"/>
  <c r="BG144" i="2"/>
  <c r="AL140" i="2"/>
  <c r="FZ140" i="2"/>
  <c r="AG140" i="8"/>
  <c r="AH140" i="8"/>
  <c r="IC140" i="2"/>
  <c r="ID140" i="2"/>
  <c r="AI140" i="8"/>
  <c r="V140" i="8"/>
  <c r="JI140" i="2"/>
  <c r="JJ140" i="2"/>
  <c r="GE140" i="2"/>
  <c r="CE140" i="2"/>
  <c r="CF140" i="2"/>
  <c r="AC140" i="2"/>
  <c r="CH140" i="2"/>
  <c r="GD140" i="2"/>
  <c r="AD140" i="2"/>
  <c r="AE140" i="2"/>
  <c r="W140" i="2"/>
  <c r="Q140" i="2"/>
  <c r="R140" i="2"/>
  <c r="X140" i="2"/>
  <c r="FC140" i="2"/>
  <c r="L140" i="2"/>
  <c r="FB140" i="2"/>
  <c r="DN140" i="2"/>
  <c r="CZ140" i="2"/>
  <c r="AJ140" i="2"/>
  <c r="AK140" i="2"/>
  <c r="DA140" i="2"/>
  <c r="DL140" i="2"/>
  <c r="AN140" i="2"/>
  <c r="DM140" i="2"/>
  <c r="AW140" i="2"/>
  <c r="JA140" i="2"/>
  <c r="IO140" i="2"/>
  <c r="D140" i="8"/>
  <c r="AT140" i="8"/>
  <c r="BE140" i="8"/>
  <c r="BF140" i="8"/>
  <c r="IX140" i="2"/>
  <c r="HT140" i="2"/>
  <c r="HU140" i="2"/>
  <c r="IN140" i="2"/>
  <c r="HP140" i="2"/>
  <c r="HQ140" i="2"/>
  <c r="CQ140" i="2"/>
  <c r="HR140" i="2"/>
  <c r="HL140" i="2"/>
  <c r="IZ140" i="2"/>
  <c r="HS140" i="2"/>
  <c r="HM140" i="2"/>
  <c r="BG140" i="2"/>
  <c r="AL136" i="2"/>
  <c r="FZ136" i="2"/>
  <c r="AG136" i="8"/>
  <c r="AH136" i="8"/>
  <c r="AI136" i="8"/>
  <c r="IC136" i="2"/>
  <c r="ID136" i="2"/>
  <c r="V136" i="8"/>
  <c r="JI136" i="2"/>
  <c r="JJ136" i="2"/>
  <c r="GE136" i="2"/>
  <c r="CE136" i="2"/>
  <c r="CF136" i="2"/>
  <c r="AC136" i="2"/>
  <c r="GD136" i="2"/>
  <c r="CH136" i="2"/>
  <c r="AE136" i="2"/>
  <c r="W136" i="2"/>
  <c r="Q136" i="2"/>
  <c r="R136" i="2"/>
  <c r="AD136" i="2"/>
  <c r="X136" i="2"/>
  <c r="L136" i="2"/>
  <c r="FC136" i="2"/>
  <c r="FB136" i="2"/>
  <c r="DN136" i="2"/>
  <c r="CZ136" i="2"/>
  <c r="AJ136" i="2"/>
  <c r="AK136" i="2"/>
  <c r="DA136" i="2"/>
  <c r="DL136" i="2"/>
  <c r="AN136" i="2"/>
  <c r="DM136" i="2"/>
  <c r="AW136" i="2"/>
  <c r="JA136" i="2"/>
  <c r="IO136" i="2"/>
  <c r="D136" i="8"/>
  <c r="AT136" i="8"/>
  <c r="BE136" i="8"/>
  <c r="BF136" i="8"/>
  <c r="IX136" i="2"/>
  <c r="HT136" i="2"/>
  <c r="HU136" i="2"/>
  <c r="IN136" i="2"/>
  <c r="HP136" i="2"/>
  <c r="HQ136" i="2"/>
  <c r="CQ136" i="2"/>
  <c r="HR136" i="2"/>
  <c r="HL136" i="2"/>
  <c r="IZ136" i="2"/>
  <c r="HS136" i="2"/>
  <c r="HM136" i="2"/>
  <c r="BG136" i="2"/>
  <c r="AL132" i="2"/>
  <c r="FZ132" i="2"/>
  <c r="AG132" i="8"/>
  <c r="AH132" i="8"/>
  <c r="IC132" i="2"/>
  <c r="ID132" i="2"/>
  <c r="V132" i="8"/>
  <c r="JI132" i="2"/>
  <c r="JJ132" i="2"/>
  <c r="AI132" i="8"/>
  <c r="GE132" i="2"/>
  <c r="CE132" i="2"/>
  <c r="CF132" i="2"/>
  <c r="AC132" i="2"/>
  <c r="CH132" i="2"/>
  <c r="GD132" i="2"/>
  <c r="AD132" i="2"/>
  <c r="AE132" i="2"/>
  <c r="W132" i="2"/>
  <c r="Q132" i="2"/>
  <c r="R132" i="2"/>
  <c r="X132" i="2"/>
  <c r="FC132" i="2"/>
  <c r="L132" i="2"/>
  <c r="FB132" i="2"/>
  <c r="DN132" i="2"/>
  <c r="CZ132" i="2"/>
  <c r="AJ132" i="2"/>
  <c r="AK132" i="2"/>
  <c r="DA132" i="2"/>
  <c r="DL132" i="2"/>
  <c r="AN132" i="2"/>
  <c r="DM132" i="2"/>
  <c r="AW132" i="2"/>
  <c r="JA132" i="2"/>
  <c r="IO132" i="2"/>
  <c r="D132" i="8"/>
  <c r="AT132" i="8"/>
  <c r="BE132" i="8"/>
  <c r="BF132" i="8"/>
  <c r="IX132" i="2"/>
  <c r="HT132" i="2"/>
  <c r="HU132" i="2"/>
  <c r="IN132" i="2"/>
  <c r="HP132" i="2"/>
  <c r="HQ132" i="2"/>
  <c r="CQ132" i="2"/>
  <c r="HR132" i="2"/>
  <c r="HL132" i="2"/>
  <c r="IZ132" i="2"/>
  <c r="HS132" i="2"/>
  <c r="HM132" i="2"/>
  <c r="BG132" i="2"/>
  <c r="AL128" i="2"/>
  <c r="FZ128" i="2"/>
  <c r="AG128" i="8"/>
  <c r="AH128" i="8"/>
  <c r="AI128" i="8"/>
  <c r="IC128" i="2"/>
  <c r="ID128" i="2"/>
  <c r="GD128" i="2"/>
  <c r="CE128" i="2"/>
  <c r="GE128" i="2"/>
  <c r="CF128" i="2"/>
  <c r="AC128" i="2"/>
  <c r="V128" i="8"/>
  <c r="JI128" i="2"/>
  <c r="JJ128" i="2"/>
  <c r="CH128" i="2"/>
  <c r="AE128" i="2"/>
  <c r="W128" i="2"/>
  <c r="Q128" i="2"/>
  <c r="AD128" i="2"/>
  <c r="R128" i="2"/>
  <c r="X128" i="2"/>
  <c r="FC128" i="2"/>
  <c r="L128" i="2"/>
  <c r="DM128" i="2"/>
  <c r="FB128" i="2"/>
  <c r="DN128" i="2"/>
  <c r="CZ128" i="2"/>
  <c r="AJ128" i="2"/>
  <c r="AK128" i="2"/>
  <c r="DA128" i="2"/>
  <c r="DL128" i="2"/>
  <c r="AN128" i="2"/>
  <c r="AW128" i="2"/>
  <c r="JA128" i="2"/>
  <c r="IO128" i="2"/>
  <c r="D128" i="8"/>
  <c r="AT128" i="8"/>
  <c r="BE128" i="8"/>
  <c r="BF128" i="8"/>
  <c r="IX128" i="2"/>
  <c r="HT128" i="2"/>
  <c r="HU128" i="2"/>
  <c r="IN128" i="2"/>
  <c r="HP128" i="2"/>
  <c r="HQ128" i="2"/>
  <c r="CQ128" i="2"/>
  <c r="HR128" i="2"/>
  <c r="HL128" i="2"/>
  <c r="IZ128" i="2"/>
  <c r="HS128" i="2"/>
  <c r="HM128" i="2"/>
  <c r="BG128" i="2"/>
  <c r="AL124" i="2"/>
  <c r="FZ124" i="2"/>
  <c r="AG124" i="8"/>
  <c r="AH124" i="8"/>
  <c r="IC124" i="2"/>
  <c r="ID124" i="2"/>
  <c r="AI124" i="8"/>
  <c r="V124" i="8"/>
  <c r="JI124" i="2"/>
  <c r="JJ124" i="2"/>
  <c r="GD124" i="2"/>
  <c r="CF124" i="2"/>
  <c r="GE124" i="2"/>
  <c r="AC124" i="2"/>
  <c r="CE124" i="2"/>
  <c r="AD124" i="2"/>
  <c r="CH124" i="2"/>
  <c r="AE124" i="2"/>
  <c r="W124" i="2"/>
  <c r="Q124" i="2"/>
  <c r="R124" i="2"/>
  <c r="X124" i="2"/>
  <c r="FC124" i="2"/>
  <c r="L124" i="2"/>
  <c r="DM124" i="2"/>
  <c r="FB124" i="2"/>
  <c r="DN124" i="2"/>
  <c r="CZ124" i="2"/>
  <c r="AJ124" i="2"/>
  <c r="AK124" i="2"/>
  <c r="DA124" i="2"/>
  <c r="DL124" i="2"/>
  <c r="AN124" i="2"/>
  <c r="AW124" i="2"/>
  <c r="JA124" i="2"/>
  <c r="IO124" i="2"/>
  <c r="D124" i="8"/>
  <c r="AT124" i="8"/>
  <c r="BE124" i="8"/>
  <c r="BF124" i="8"/>
  <c r="IX124" i="2"/>
  <c r="HT124" i="2"/>
  <c r="HU124" i="2"/>
  <c r="IN124" i="2"/>
  <c r="HP124" i="2"/>
  <c r="HQ124" i="2"/>
  <c r="CQ124" i="2"/>
  <c r="HR124" i="2"/>
  <c r="HL124" i="2"/>
  <c r="IZ124" i="2"/>
  <c r="HS124" i="2"/>
  <c r="HM124" i="2"/>
  <c r="BG124" i="2"/>
  <c r="AL120" i="2"/>
  <c r="FZ120" i="2"/>
  <c r="AG120" i="8"/>
  <c r="AH120" i="8"/>
  <c r="AI120" i="8"/>
  <c r="IC120" i="2"/>
  <c r="ID120" i="2"/>
  <c r="V120" i="8"/>
  <c r="JI120" i="2"/>
  <c r="JJ120" i="2"/>
  <c r="GD120" i="2"/>
  <c r="X120" i="2"/>
  <c r="GE120" i="2"/>
  <c r="CH120" i="2"/>
  <c r="AC120" i="2"/>
  <c r="CF120" i="2"/>
  <c r="AE120" i="2"/>
  <c r="W120" i="2"/>
  <c r="Q120" i="2"/>
  <c r="CE120" i="2"/>
  <c r="R120" i="2"/>
  <c r="AD120" i="2"/>
  <c r="L120" i="2"/>
  <c r="FC120" i="2"/>
  <c r="DM120" i="2"/>
  <c r="FB120" i="2"/>
  <c r="DN120" i="2"/>
  <c r="CZ120" i="2"/>
  <c r="AJ120" i="2"/>
  <c r="AK120" i="2"/>
  <c r="DA120" i="2"/>
  <c r="DL120" i="2"/>
  <c r="AN120" i="2"/>
  <c r="AW120" i="2"/>
  <c r="JA120" i="2"/>
  <c r="IO120" i="2"/>
  <c r="D120" i="8"/>
  <c r="AT120" i="8"/>
  <c r="BE120" i="8"/>
  <c r="BF120" i="8"/>
  <c r="IX120" i="2"/>
  <c r="HT120" i="2"/>
  <c r="HU120" i="2"/>
  <c r="IN120" i="2"/>
  <c r="HP120" i="2"/>
  <c r="HQ120" i="2"/>
  <c r="CQ120" i="2"/>
  <c r="HR120" i="2"/>
  <c r="HL120" i="2"/>
  <c r="IZ120" i="2"/>
  <c r="HS120" i="2"/>
  <c r="HM120" i="2"/>
  <c r="BG120" i="2"/>
  <c r="AL116" i="2"/>
  <c r="FZ116" i="2"/>
  <c r="AG116" i="8"/>
  <c r="AH116" i="8"/>
  <c r="IC116" i="2"/>
  <c r="ID116" i="2"/>
  <c r="V116" i="8"/>
  <c r="JI116" i="2"/>
  <c r="JJ116" i="2"/>
  <c r="GD116" i="2"/>
  <c r="X116" i="2"/>
  <c r="GE116" i="2"/>
  <c r="CH116" i="2"/>
  <c r="AC116" i="2"/>
  <c r="AI116" i="8"/>
  <c r="CE116" i="2"/>
  <c r="CF116" i="2"/>
  <c r="W116" i="2"/>
  <c r="AD116" i="2"/>
  <c r="AE116" i="2"/>
  <c r="Q116" i="2"/>
  <c r="R116" i="2"/>
  <c r="FC116" i="2"/>
  <c r="DM116" i="2"/>
  <c r="L116" i="2"/>
  <c r="FB116" i="2"/>
  <c r="DN116" i="2"/>
  <c r="CZ116" i="2"/>
  <c r="AJ116" i="2"/>
  <c r="AK116" i="2"/>
  <c r="DA116" i="2"/>
  <c r="DL116" i="2"/>
  <c r="AN116" i="2"/>
  <c r="AW116" i="2"/>
  <c r="JA116" i="2"/>
  <c r="IO116" i="2"/>
  <c r="D116" i="8"/>
  <c r="AT116" i="8"/>
  <c r="BE116" i="8"/>
  <c r="BF116" i="8"/>
  <c r="IX116" i="2"/>
  <c r="HT116" i="2"/>
  <c r="HU116" i="2"/>
  <c r="IN116" i="2"/>
  <c r="HP116" i="2"/>
  <c r="HQ116" i="2"/>
  <c r="CQ116" i="2"/>
  <c r="HR116" i="2"/>
  <c r="HL116" i="2"/>
  <c r="IZ116" i="2"/>
  <c r="HS116" i="2"/>
  <c r="HM116" i="2"/>
  <c r="BG116" i="2"/>
  <c r="AG112" i="8"/>
  <c r="DA112" i="2"/>
  <c r="AG108" i="8"/>
  <c r="DA108" i="2"/>
  <c r="AL104" i="2"/>
  <c r="FZ104" i="2"/>
  <c r="V104" i="8"/>
  <c r="AG104" i="8"/>
  <c r="AH104" i="8"/>
  <c r="AI104" i="8"/>
  <c r="JI104" i="2"/>
  <c r="JJ104" i="2"/>
  <c r="IC104" i="2"/>
  <c r="ID104" i="2"/>
  <c r="GD104" i="2"/>
  <c r="GE104" i="2"/>
  <c r="CH104" i="2"/>
  <c r="AC104" i="2"/>
  <c r="X104" i="2"/>
  <c r="CE104" i="2"/>
  <c r="AD104" i="2"/>
  <c r="CF104" i="2"/>
  <c r="W104" i="2"/>
  <c r="Q104" i="2"/>
  <c r="AE104" i="2"/>
  <c r="FB104" i="2"/>
  <c r="L104" i="2"/>
  <c r="FC104" i="2"/>
  <c r="R104" i="2"/>
  <c r="DM104" i="2"/>
  <c r="DN104" i="2"/>
  <c r="DA104" i="2"/>
  <c r="DL104" i="2"/>
  <c r="AN104" i="2"/>
  <c r="AW104" i="2"/>
  <c r="CZ104" i="2"/>
  <c r="AJ104" i="2"/>
  <c r="AK104" i="2"/>
  <c r="JA104" i="2"/>
  <c r="IO104" i="2"/>
  <c r="D104" i="8"/>
  <c r="AT104" i="8"/>
  <c r="BF104" i="8"/>
  <c r="IX104" i="2"/>
  <c r="BE104" i="8"/>
  <c r="HT104" i="2"/>
  <c r="HU104" i="2"/>
  <c r="HP104" i="2"/>
  <c r="HL104" i="2"/>
  <c r="CQ104" i="2"/>
  <c r="BG104" i="2"/>
  <c r="IN104" i="2"/>
  <c r="HQ104" i="2"/>
  <c r="HM104" i="2"/>
  <c r="IZ104" i="2"/>
  <c r="HR104" i="2"/>
  <c r="HS104" i="2"/>
  <c r="AL100" i="2"/>
  <c r="FZ100" i="2"/>
  <c r="V100" i="8"/>
  <c r="AG100" i="8"/>
  <c r="JI100" i="2"/>
  <c r="JJ100" i="2"/>
  <c r="IC100" i="2"/>
  <c r="GD100" i="2"/>
  <c r="GE100" i="2"/>
  <c r="AH100" i="8"/>
  <c r="CH100" i="2"/>
  <c r="AC100" i="2"/>
  <c r="X100" i="2"/>
  <c r="AI100" i="8"/>
  <c r="CE100" i="2"/>
  <c r="AD100" i="2"/>
  <c r="ID100" i="2"/>
  <c r="CF100" i="2"/>
  <c r="AE100" i="2"/>
  <c r="W100" i="2"/>
  <c r="Q100" i="2"/>
  <c r="FB100" i="2"/>
  <c r="L100" i="2"/>
  <c r="FC100" i="2"/>
  <c r="R100" i="2"/>
  <c r="DM100" i="2"/>
  <c r="DN100" i="2"/>
  <c r="DA100" i="2"/>
  <c r="DL100" i="2"/>
  <c r="AN100" i="2"/>
  <c r="AW100" i="2"/>
  <c r="CZ100" i="2"/>
  <c r="AJ100" i="2"/>
  <c r="AK100" i="2"/>
  <c r="JA100" i="2"/>
  <c r="IO100" i="2"/>
  <c r="D100" i="8"/>
  <c r="AT100" i="8"/>
  <c r="BF100" i="8"/>
  <c r="IX100" i="2"/>
  <c r="BE100" i="8"/>
  <c r="HT100" i="2"/>
  <c r="HU100" i="2"/>
  <c r="HP100" i="2"/>
  <c r="HL100" i="2"/>
  <c r="CQ100" i="2"/>
  <c r="BG100" i="2"/>
  <c r="IN100" i="2"/>
  <c r="HQ100" i="2"/>
  <c r="HM100" i="2"/>
  <c r="IZ100" i="2"/>
  <c r="HR100" i="2"/>
  <c r="HS100" i="2"/>
  <c r="A96" i="2"/>
  <c r="FZ96" i="2"/>
  <c r="V96" i="8"/>
  <c r="AG96" i="8"/>
  <c r="AH96" i="8"/>
  <c r="AI96" i="8"/>
  <c r="JI96" i="2"/>
  <c r="JJ96" i="2"/>
  <c r="IC96" i="2"/>
  <c r="ID96" i="2"/>
  <c r="GD96" i="2"/>
  <c r="GE96" i="2"/>
  <c r="CH96" i="2"/>
  <c r="AC96" i="2"/>
  <c r="X96" i="2"/>
  <c r="CE96" i="2"/>
  <c r="AD96" i="2"/>
  <c r="W96" i="2"/>
  <c r="Q96" i="2"/>
  <c r="FB96" i="2"/>
  <c r="CF96" i="2"/>
  <c r="L96" i="2"/>
  <c r="FC96" i="2"/>
  <c r="AE96" i="2"/>
  <c r="R96" i="2"/>
  <c r="DM96" i="2"/>
  <c r="DN96" i="2"/>
  <c r="DA96" i="2"/>
  <c r="DL96" i="2"/>
  <c r="AN96" i="2"/>
  <c r="AW96" i="2"/>
  <c r="CZ96" i="2"/>
  <c r="AJ96" i="2"/>
  <c r="AK96" i="2"/>
  <c r="JA96" i="2"/>
  <c r="IO96" i="2"/>
  <c r="D96" i="8"/>
  <c r="AT96" i="8"/>
  <c r="BF96" i="8"/>
  <c r="IX96" i="2"/>
  <c r="BE96" i="8"/>
  <c r="HT96" i="2"/>
  <c r="HU96" i="2"/>
  <c r="HP96" i="2"/>
  <c r="HL96" i="2"/>
  <c r="CQ96" i="2"/>
  <c r="BG96" i="2"/>
  <c r="IN96" i="2"/>
  <c r="HQ96" i="2"/>
  <c r="HM96" i="2"/>
  <c r="IZ96" i="2"/>
  <c r="HR96" i="2"/>
  <c r="HS96" i="2"/>
  <c r="AL92" i="2"/>
  <c r="FZ92" i="2"/>
  <c r="V92" i="8"/>
  <c r="AG92" i="8"/>
  <c r="JI92" i="2"/>
  <c r="JJ92" i="2"/>
  <c r="IC92" i="2"/>
  <c r="AH92" i="8"/>
  <c r="GD92" i="2"/>
  <c r="AI92" i="8"/>
  <c r="GE92" i="2"/>
  <c r="ID92" i="2"/>
  <c r="CH92" i="2"/>
  <c r="AC92" i="2"/>
  <c r="X92" i="2"/>
  <c r="CE92" i="2"/>
  <c r="AD92" i="2"/>
  <c r="CF92" i="2"/>
  <c r="AE92" i="2"/>
  <c r="W92" i="2"/>
  <c r="Q92" i="2"/>
  <c r="FB92" i="2"/>
  <c r="L92" i="2"/>
  <c r="FC92" i="2"/>
  <c r="R92" i="2"/>
  <c r="DM92" i="2"/>
  <c r="DN92" i="2"/>
  <c r="DA92" i="2"/>
  <c r="DL92" i="2"/>
  <c r="AN92" i="2"/>
  <c r="AW92" i="2"/>
  <c r="CZ92" i="2"/>
  <c r="AJ92" i="2"/>
  <c r="AK92" i="2"/>
  <c r="JA92" i="2"/>
  <c r="IO92" i="2"/>
  <c r="D92" i="8"/>
  <c r="AT92" i="8"/>
  <c r="BF92" i="8"/>
  <c r="IX92" i="2"/>
  <c r="BE92" i="8"/>
  <c r="HT92" i="2"/>
  <c r="HU92" i="2"/>
  <c r="HP92" i="2"/>
  <c r="HL92" i="2"/>
  <c r="CQ92" i="2"/>
  <c r="BG92" i="2"/>
  <c r="IN92" i="2"/>
  <c r="HQ92" i="2"/>
  <c r="HM92" i="2"/>
  <c r="IZ92" i="2"/>
  <c r="HR92" i="2"/>
  <c r="HS92" i="2"/>
  <c r="A88" i="2"/>
  <c r="FZ88" i="2"/>
  <c r="V88" i="8"/>
  <c r="AG88" i="8"/>
  <c r="AH88" i="8"/>
  <c r="AI88" i="8"/>
  <c r="JI88" i="2"/>
  <c r="JJ88" i="2"/>
  <c r="IC88" i="2"/>
  <c r="ID88" i="2"/>
  <c r="GD88" i="2"/>
  <c r="GE88" i="2"/>
  <c r="CE88" i="2"/>
  <c r="AC88" i="2"/>
  <c r="X88" i="2"/>
  <c r="CF88" i="2"/>
  <c r="AD88" i="2"/>
  <c r="CH88" i="2"/>
  <c r="W88" i="2"/>
  <c r="Q88" i="2"/>
  <c r="FB88" i="2"/>
  <c r="AE88" i="2"/>
  <c r="L88" i="2"/>
  <c r="FC88" i="2"/>
  <c r="R88" i="2"/>
  <c r="DM88" i="2"/>
  <c r="DN88" i="2"/>
  <c r="DA88" i="2"/>
  <c r="DL88" i="2"/>
  <c r="AN88" i="2"/>
  <c r="AW88" i="2"/>
  <c r="CZ88" i="2"/>
  <c r="AJ88" i="2"/>
  <c r="AK88" i="2"/>
  <c r="JA88" i="2"/>
  <c r="IO88" i="2"/>
  <c r="D88" i="8"/>
  <c r="AT88" i="8"/>
  <c r="BF88" i="8"/>
  <c r="IX88" i="2"/>
  <c r="BE88" i="8"/>
  <c r="HT88" i="2"/>
  <c r="HU88" i="2"/>
  <c r="HP88" i="2"/>
  <c r="HL88" i="2"/>
  <c r="CQ88" i="2"/>
  <c r="BG88" i="2"/>
  <c r="IN88" i="2"/>
  <c r="HQ88" i="2"/>
  <c r="HM88" i="2"/>
  <c r="IZ88" i="2"/>
  <c r="HR88" i="2"/>
  <c r="HS88" i="2"/>
  <c r="AL84" i="2"/>
  <c r="FZ84" i="2"/>
  <c r="V84" i="8"/>
  <c r="AG84" i="8"/>
  <c r="JI84" i="2"/>
  <c r="JJ84" i="2"/>
  <c r="IC84" i="2"/>
  <c r="GD84" i="2"/>
  <c r="GE84" i="2"/>
  <c r="CE84" i="2"/>
  <c r="AC84" i="2"/>
  <c r="X84" i="2"/>
  <c r="CF84" i="2"/>
  <c r="AD84" i="2"/>
  <c r="AH84" i="8"/>
  <c r="AI84" i="8"/>
  <c r="ID84" i="2"/>
  <c r="CH84" i="2"/>
  <c r="AE84" i="2"/>
  <c r="W84" i="2"/>
  <c r="Q84" i="2"/>
  <c r="FB84" i="2"/>
  <c r="L84" i="2"/>
  <c r="FC84" i="2"/>
  <c r="R84" i="2"/>
  <c r="DM84" i="2"/>
  <c r="DN84" i="2"/>
  <c r="DA84" i="2"/>
  <c r="DL84" i="2"/>
  <c r="AN84" i="2"/>
  <c r="AW84" i="2"/>
  <c r="CZ84" i="2"/>
  <c r="AJ84" i="2"/>
  <c r="AK84" i="2"/>
  <c r="JA84" i="2"/>
  <c r="IO84" i="2"/>
  <c r="D84" i="8"/>
  <c r="AT84" i="8"/>
  <c r="BF84" i="8"/>
  <c r="IX84" i="2"/>
  <c r="BE84" i="8"/>
  <c r="HT84" i="2"/>
  <c r="HU84" i="2"/>
  <c r="HP84" i="2"/>
  <c r="HL84" i="2"/>
  <c r="CQ84" i="2"/>
  <c r="BG84" i="2"/>
  <c r="IN84" i="2"/>
  <c r="HQ84" i="2"/>
  <c r="HM84" i="2"/>
  <c r="IZ84" i="2"/>
  <c r="HR84" i="2"/>
  <c r="HS84" i="2"/>
  <c r="AL80" i="2"/>
  <c r="FZ80" i="2"/>
  <c r="V80" i="8"/>
  <c r="AG80" i="8"/>
  <c r="AH80" i="8"/>
  <c r="AI80" i="8"/>
  <c r="JI80" i="2"/>
  <c r="JJ80" i="2"/>
  <c r="IC80" i="2"/>
  <c r="ID80" i="2"/>
  <c r="GD80" i="2"/>
  <c r="GE80" i="2"/>
  <c r="CE80" i="2"/>
  <c r="AC80" i="2"/>
  <c r="X80" i="2"/>
  <c r="CF80" i="2"/>
  <c r="AD80" i="2"/>
  <c r="CH80" i="2"/>
  <c r="W80" i="2"/>
  <c r="Q80" i="2"/>
  <c r="AE80" i="2"/>
  <c r="FB80" i="2"/>
  <c r="L80" i="2"/>
  <c r="FC80" i="2"/>
  <c r="R80" i="2"/>
  <c r="DM80" i="2"/>
  <c r="DN80" i="2"/>
  <c r="DA80" i="2"/>
  <c r="DL80" i="2"/>
  <c r="AN80" i="2"/>
  <c r="AW80" i="2"/>
  <c r="CZ80" i="2"/>
  <c r="AJ80" i="2"/>
  <c r="AK80" i="2"/>
  <c r="JA80" i="2"/>
  <c r="IO80" i="2"/>
  <c r="D80" i="8"/>
  <c r="AT80" i="8"/>
  <c r="BF80" i="8"/>
  <c r="IX80" i="2"/>
  <c r="BE80" i="8"/>
  <c r="HT80" i="2"/>
  <c r="HU80" i="2"/>
  <c r="HP80" i="2"/>
  <c r="HL80" i="2"/>
  <c r="CQ80" i="2"/>
  <c r="BG80" i="2"/>
  <c r="IN80" i="2"/>
  <c r="HQ80" i="2"/>
  <c r="HM80" i="2"/>
  <c r="IZ80" i="2"/>
  <c r="HR80" i="2"/>
  <c r="HS80" i="2"/>
  <c r="A76" i="2"/>
  <c r="FZ76" i="2"/>
  <c r="V76" i="8"/>
  <c r="AG76" i="8"/>
  <c r="JI76" i="2"/>
  <c r="JJ76" i="2"/>
  <c r="IC76" i="2"/>
  <c r="AH76" i="8"/>
  <c r="GD76" i="2"/>
  <c r="AI76" i="8"/>
  <c r="GE76" i="2"/>
  <c r="ID76" i="2"/>
  <c r="CE76" i="2"/>
  <c r="AC76" i="2"/>
  <c r="X76" i="2"/>
  <c r="CF76" i="2"/>
  <c r="AD76" i="2"/>
  <c r="CH76" i="2"/>
  <c r="AE76" i="2"/>
  <c r="W76" i="2"/>
  <c r="Q76" i="2"/>
  <c r="FB76" i="2"/>
  <c r="L76" i="2"/>
  <c r="FC76" i="2"/>
  <c r="R76" i="2"/>
  <c r="DM76" i="2"/>
  <c r="DN76" i="2"/>
  <c r="DA76" i="2"/>
  <c r="DL76" i="2"/>
  <c r="AN76" i="2"/>
  <c r="AW76" i="2"/>
  <c r="CZ76" i="2"/>
  <c r="AJ76" i="2"/>
  <c r="AK76" i="2"/>
  <c r="JA76" i="2"/>
  <c r="IO76" i="2"/>
  <c r="D76" i="8"/>
  <c r="AT76" i="8"/>
  <c r="BF76" i="8"/>
  <c r="IX76" i="2"/>
  <c r="BE76" i="8"/>
  <c r="HT76" i="2"/>
  <c r="HU76" i="2"/>
  <c r="HP76" i="2"/>
  <c r="HL76" i="2"/>
  <c r="CQ76" i="2"/>
  <c r="BG76" i="2"/>
  <c r="IN76" i="2"/>
  <c r="HQ76" i="2"/>
  <c r="HM76" i="2"/>
  <c r="IZ76" i="2"/>
  <c r="HR76" i="2"/>
  <c r="HS76" i="2"/>
  <c r="A72" i="2"/>
  <c r="FZ72" i="2"/>
  <c r="V72" i="8"/>
  <c r="AG72" i="8"/>
  <c r="AH72" i="8"/>
  <c r="AI72" i="8"/>
  <c r="JI72" i="2"/>
  <c r="JJ72" i="2"/>
  <c r="IC72" i="2"/>
  <c r="ID72" i="2"/>
  <c r="GD72" i="2"/>
  <c r="GE72" i="2"/>
  <c r="CF72" i="2"/>
  <c r="AC72" i="2"/>
  <c r="X72" i="2"/>
  <c r="AD72" i="2"/>
  <c r="CE72" i="2"/>
  <c r="CH72" i="2"/>
  <c r="W72" i="2"/>
  <c r="Q72" i="2"/>
  <c r="AE72" i="2"/>
  <c r="FB72" i="2"/>
  <c r="L72" i="2"/>
  <c r="FC72" i="2"/>
  <c r="R72" i="2"/>
  <c r="DM72" i="2"/>
  <c r="DN72" i="2"/>
  <c r="DA72" i="2"/>
  <c r="DL72" i="2"/>
  <c r="AN72" i="2"/>
  <c r="AW72" i="2"/>
  <c r="CZ72" i="2"/>
  <c r="AJ72" i="2"/>
  <c r="AK72" i="2"/>
  <c r="JA72" i="2"/>
  <c r="IO72" i="2"/>
  <c r="D72" i="8"/>
  <c r="AT72" i="8"/>
  <c r="BF72" i="8"/>
  <c r="IX72" i="2"/>
  <c r="BE72" i="8"/>
  <c r="HT72" i="2"/>
  <c r="HU72" i="2"/>
  <c r="HP72" i="2"/>
  <c r="HL72" i="2"/>
  <c r="CQ72" i="2"/>
  <c r="BG72" i="2"/>
  <c r="IN72" i="2"/>
  <c r="HQ72" i="2"/>
  <c r="HM72" i="2"/>
  <c r="IZ72" i="2"/>
  <c r="HR72" i="2"/>
  <c r="HS72" i="2"/>
  <c r="A68" i="2"/>
  <c r="FZ68" i="2"/>
  <c r="V68" i="8"/>
  <c r="AG68" i="8"/>
  <c r="JI68" i="2"/>
  <c r="JJ68" i="2"/>
  <c r="IC68" i="2"/>
  <c r="GD68" i="2"/>
  <c r="GE68" i="2"/>
  <c r="AH68" i="8"/>
  <c r="CF68" i="2"/>
  <c r="AC68" i="2"/>
  <c r="X68" i="2"/>
  <c r="AI68" i="8"/>
  <c r="AD68" i="2"/>
  <c r="ID68" i="2"/>
  <c r="CE68" i="2"/>
  <c r="CH68" i="2"/>
  <c r="AE68" i="2"/>
  <c r="W68" i="2"/>
  <c r="Q68" i="2"/>
  <c r="FB68" i="2"/>
  <c r="L68" i="2"/>
  <c r="FC68" i="2"/>
  <c r="R68" i="2"/>
  <c r="DM68" i="2"/>
  <c r="DN68" i="2"/>
  <c r="DA68" i="2"/>
  <c r="DL68" i="2"/>
  <c r="AN68" i="2"/>
  <c r="AW68" i="2"/>
  <c r="CZ68" i="2"/>
  <c r="AJ68" i="2"/>
  <c r="AK68" i="2"/>
  <c r="JA68" i="2"/>
  <c r="IO68" i="2"/>
  <c r="D68" i="8"/>
  <c r="AT68" i="8"/>
  <c r="BF68" i="8"/>
  <c r="IX68" i="2"/>
  <c r="BE68" i="8"/>
  <c r="HT68" i="2"/>
  <c r="HU68" i="2"/>
  <c r="HP68" i="2"/>
  <c r="HL68" i="2"/>
  <c r="CQ68" i="2"/>
  <c r="BG68" i="2"/>
  <c r="IN68" i="2"/>
  <c r="HQ68" i="2"/>
  <c r="HM68" i="2"/>
  <c r="IZ68" i="2"/>
  <c r="HR68" i="2"/>
  <c r="HS68" i="2"/>
  <c r="A64" i="2"/>
  <c r="FZ64" i="2"/>
  <c r="V64" i="8"/>
  <c r="AG64" i="8"/>
  <c r="AH64" i="8"/>
  <c r="AI64" i="8"/>
  <c r="JI64" i="2"/>
  <c r="JJ64" i="2"/>
  <c r="IC64" i="2"/>
  <c r="ID64" i="2"/>
  <c r="GD64" i="2"/>
  <c r="GE64" i="2"/>
  <c r="CF64" i="2"/>
  <c r="AC64" i="2"/>
  <c r="X64" i="2"/>
  <c r="AD64" i="2"/>
  <c r="CE64" i="2"/>
  <c r="W64" i="2"/>
  <c r="Q64" i="2"/>
  <c r="CH64" i="2"/>
  <c r="FB64" i="2"/>
  <c r="L64" i="2"/>
  <c r="FC64" i="2"/>
  <c r="AE64" i="2"/>
  <c r="R64" i="2"/>
  <c r="DM64" i="2"/>
  <c r="DN64" i="2"/>
  <c r="DA64" i="2"/>
  <c r="DL64" i="2"/>
  <c r="AN64" i="2"/>
  <c r="AY64" i="2"/>
  <c r="CZ64" i="2"/>
  <c r="AJ64" i="2"/>
  <c r="AK64" i="2"/>
  <c r="JA64" i="2"/>
  <c r="IO64" i="2"/>
  <c r="D64" i="8"/>
  <c r="AT64" i="8"/>
  <c r="BF64" i="8"/>
  <c r="IX64" i="2"/>
  <c r="BE64" i="8"/>
  <c r="HT64" i="2"/>
  <c r="HU64" i="2"/>
  <c r="HP64" i="2"/>
  <c r="HL64" i="2"/>
  <c r="CQ64" i="2"/>
  <c r="BG64" i="2"/>
  <c r="IN64" i="2"/>
  <c r="HQ64" i="2"/>
  <c r="HM64" i="2"/>
  <c r="IZ64" i="2"/>
  <c r="HR64" i="2"/>
  <c r="HS64" i="2"/>
  <c r="A60" i="2"/>
  <c r="FZ60" i="2"/>
  <c r="V60" i="8"/>
  <c r="AG60" i="8"/>
  <c r="JI60" i="2"/>
  <c r="JJ60" i="2"/>
  <c r="IC60" i="2"/>
  <c r="AH60" i="8"/>
  <c r="GD60" i="2"/>
  <c r="AI60" i="8"/>
  <c r="GE60" i="2"/>
  <c r="ID60" i="2"/>
  <c r="CF60" i="2"/>
  <c r="AC60" i="2"/>
  <c r="X60" i="2"/>
  <c r="AD60" i="2"/>
  <c r="CE60" i="2"/>
  <c r="CH60" i="2"/>
  <c r="AE60" i="2"/>
  <c r="W60" i="2"/>
  <c r="Q60" i="2"/>
  <c r="FB60" i="2"/>
  <c r="L60" i="2"/>
  <c r="FC60" i="2"/>
  <c r="R60" i="2"/>
  <c r="DM60" i="2"/>
  <c r="DN60" i="2"/>
  <c r="DA60" i="2"/>
  <c r="DL60" i="2"/>
  <c r="AN60" i="2"/>
  <c r="AW60" i="2"/>
  <c r="CZ60" i="2"/>
  <c r="AJ60" i="2"/>
  <c r="AK60" i="2"/>
  <c r="JA60" i="2"/>
  <c r="IO60" i="2"/>
  <c r="D60" i="8"/>
  <c r="AT60" i="8"/>
  <c r="BF60" i="8"/>
  <c r="IX60" i="2"/>
  <c r="BE60" i="8"/>
  <c r="HT60" i="2"/>
  <c r="HU60" i="2"/>
  <c r="HP60" i="2"/>
  <c r="HL60" i="2"/>
  <c r="CQ60" i="2"/>
  <c r="BG60" i="2"/>
  <c r="IN60" i="2"/>
  <c r="HQ60" i="2"/>
  <c r="HM60" i="2"/>
  <c r="IZ60" i="2"/>
  <c r="HR60" i="2"/>
  <c r="HS60" i="2"/>
  <c r="AL56" i="2"/>
  <c r="FZ56" i="2"/>
  <c r="V56" i="8"/>
  <c r="AG56" i="8"/>
  <c r="AH56" i="8"/>
  <c r="AI56" i="8"/>
  <c r="JI56" i="2"/>
  <c r="JJ56" i="2"/>
  <c r="IC56" i="2"/>
  <c r="ID56" i="2"/>
  <c r="GD56" i="2"/>
  <c r="GE56" i="2"/>
  <c r="CF56" i="2"/>
  <c r="AC56" i="2"/>
  <c r="X56" i="2"/>
  <c r="AD56" i="2"/>
  <c r="CE56" i="2"/>
  <c r="AE56" i="2"/>
  <c r="CH56" i="2"/>
  <c r="W56" i="2"/>
  <c r="Q56" i="2"/>
  <c r="FB56" i="2"/>
  <c r="L56" i="2"/>
  <c r="FC56" i="2"/>
  <c r="R56" i="2"/>
  <c r="DM56" i="2"/>
  <c r="DN56" i="2"/>
  <c r="DA56" i="2"/>
  <c r="DL56" i="2"/>
  <c r="AN56" i="2"/>
  <c r="AW56" i="2"/>
  <c r="CZ56" i="2"/>
  <c r="AJ56" i="2"/>
  <c r="AK56" i="2"/>
  <c r="JA56" i="2"/>
  <c r="IO56" i="2"/>
  <c r="D56" i="8"/>
  <c r="AT56" i="8"/>
  <c r="BF56" i="8"/>
  <c r="IX56" i="2"/>
  <c r="BE56" i="8"/>
  <c r="HT56" i="2"/>
  <c r="HU56" i="2"/>
  <c r="HP56" i="2"/>
  <c r="HL56" i="2"/>
  <c r="CQ56" i="2"/>
  <c r="BG56" i="2"/>
  <c r="IN56" i="2"/>
  <c r="HQ56" i="2"/>
  <c r="HM56" i="2"/>
  <c r="IZ56" i="2"/>
  <c r="HR56" i="2"/>
  <c r="HS56" i="2"/>
  <c r="DA52" i="2"/>
  <c r="CZ52" i="2"/>
  <c r="AG52" i="8"/>
  <c r="D198" i="10"/>
  <c r="D194" i="10"/>
  <c r="D190" i="10"/>
  <c r="D186" i="10"/>
  <c r="D182" i="10"/>
  <c r="D178" i="10"/>
  <c r="D174" i="10"/>
  <c r="D170" i="10"/>
  <c r="D166" i="10"/>
  <c r="D162" i="10"/>
  <c r="D158" i="10"/>
  <c r="D154" i="10"/>
  <c r="D150" i="10"/>
  <c r="D146" i="10"/>
  <c r="D142" i="10"/>
  <c r="D138" i="10"/>
  <c r="D134" i="10"/>
  <c r="D130" i="10"/>
  <c r="D126" i="10"/>
  <c r="D122" i="10"/>
  <c r="D118" i="10"/>
  <c r="D103" i="10"/>
  <c r="D99" i="10"/>
  <c r="D95" i="10"/>
  <c r="D91" i="10"/>
  <c r="D87" i="10"/>
  <c r="D83" i="10"/>
  <c r="D79" i="10"/>
  <c r="D75" i="10"/>
  <c r="D71" i="10"/>
  <c r="D67" i="10"/>
  <c r="D63" i="10"/>
  <c r="D59" i="10"/>
  <c r="D55" i="10"/>
  <c r="A95" i="2"/>
  <c r="A79" i="2"/>
  <c r="A103" i="2"/>
  <c r="A99" i="2"/>
  <c r="A91" i="2"/>
  <c r="IC53" i="2"/>
  <c r="FB53" i="2"/>
  <c r="FB52" i="2"/>
  <c r="A83" i="2"/>
  <c r="A75" i="2"/>
  <c r="AI52" i="8"/>
  <c r="A66" i="2"/>
  <c r="A90" i="2"/>
  <c r="D53" i="10"/>
  <c r="AX103" i="2"/>
  <c r="AY102" i="2"/>
  <c r="AY86" i="2"/>
  <c r="A195" i="2"/>
  <c r="A167" i="2"/>
  <c r="A194" i="2"/>
  <c r="FB113" i="2"/>
  <c r="FB109" i="2"/>
  <c r="D105" i="10"/>
  <c r="FB105" i="2"/>
  <c r="FB112" i="2"/>
  <c r="FB108" i="2"/>
  <c r="A187" i="2"/>
  <c r="A163" i="2"/>
  <c r="A155" i="2"/>
  <c r="A151" i="2"/>
  <c r="A147" i="2"/>
  <c r="A143" i="2"/>
  <c r="A139" i="2"/>
  <c r="A135" i="2"/>
  <c r="A131" i="2"/>
  <c r="A127" i="2"/>
  <c r="A123" i="2"/>
  <c r="A119" i="2"/>
  <c r="FB115" i="2"/>
  <c r="FB111" i="2"/>
  <c r="FB107" i="2"/>
  <c r="A200" i="2"/>
  <c r="A191" i="2"/>
  <c r="A179" i="2"/>
  <c r="A171" i="2"/>
  <c r="A186" i="2"/>
  <c r="A170" i="2"/>
  <c r="A158" i="2"/>
  <c r="A146" i="2"/>
  <c r="A130" i="2"/>
  <c r="FB114" i="2"/>
  <c r="FB110" i="2"/>
  <c r="FB106" i="2"/>
  <c r="AW70" i="2"/>
  <c r="AY70" i="2"/>
  <c r="AX82" i="2"/>
  <c r="AX185" i="2"/>
  <c r="AX163" i="2"/>
  <c r="AX154" i="2"/>
  <c r="AX70" i="2"/>
  <c r="AY69" i="2"/>
  <c r="AX135" i="2"/>
  <c r="AX130" i="2"/>
  <c r="AY171" i="2"/>
  <c r="AX86" i="2"/>
  <c r="AY85" i="2"/>
  <c r="AX71" i="2"/>
  <c r="AX197" i="2"/>
  <c r="AY158" i="2"/>
  <c r="AX158" i="2"/>
  <c r="AX147" i="2"/>
  <c r="AY146" i="2"/>
  <c r="AX171" i="2"/>
  <c r="AY159" i="2"/>
  <c r="AX159" i="2"/>
  <c r="AW133" i="2"/>
  <c r="AY133" i="2"/>
  <c r="AW130" i="2"/>
  <c r="AY129" i="2"/>
  <c r="AY169" i="2"/>
  <c r="AX169" i="2"/>
  <c r="AW134" i="2"/>
  <c r="AX134" i="2"/>
  <c r="AW118" i="2"/>
  <c r="AY118" i="2"/>
  <c r="AX201" i="2"/>
  <c r="AX181" i="2"/>
  <c r="AY176" i="2"/>
  <c r="AY175" i="2"/>
  <c r="AW170" i="2"/>
  <c r="AX170" i="2"/>
  <c r="AY142" i="2"/>
  <c r="AX142" i="2"/>
  <c r="AW135" i="2"/>
  <c r="AY134" i="2"/>
  <c r="AY119" i="2"/>
  <c r="AW119" i="2"/>
  <c r="AY98" i="2"/>
  <c r="AX87" i="2"/>
  <c r="AW82" i="2"/>
  <c r="AW71" i="2"/>
  <c r="AX67" i="2"/>
  <c r="AX66" i="2"/>
  <c r="AY61" i="2"/>
  <c r="AY187" i="2"/>
  <c r="AW185" i="2"/>
  <c r="AY184" i="2"/>
  <c r="AY183" i="2"/>
  <c r="AW181" i="2"/>
  <c r="AW158" i="2"/>
  <c r="AY157" i="2"/>
  <c r="AX156" i="2"/>
  <c r="AW154" i="2"/>
  <c r="AY153" i="2"/>
  <c r="AX152" i="2"/>
  <c r="AX127" i="2"/>
  <c r="AY126" i="2"/>
  <c r="AX123" i="2"/>
  <c r="AX122" i="2"/>
  <c r="AY54" i="2"/>
  <c r="AY191" i="2"/>
  <c r="AX175" i="2"/>
  <c r="AW169" i="2"/>
  <c r="AY168" i="2"/>
  <c r="AY167" i="2"/>
  <c r="AX166" i="2"/>
  <c r="AW159" i="2"/>
  <c r="AX150" i="2"/>
  <c r="AW142" i="2"/>
  <c r="AY141" i="2"/>
  <c r="AX98" i="2"/>
  <c r="AW201" i="2"/>
  <c r="AY200" i="2"/>
  <c r="AY199" i="2"/>
  <c r="AW197" i="2"/>
  <c r="AX191" i="2"/>
  <c r="AX187" i="2"/>
  <c r="AX186" i="2"/>
  <c r="AX176" i="2"/>
  <c r="AX173" i="2"/>
  <c r="AW163" i="2"/>
  <c r="AX162" i="2"/>
  <c r="AY161" i="2"/>
  <c r="AX139" i="2"/>
  <c r="AX138" i="2"/>
  <c r="AX102" i="2"/>
  <c r="AY101" i="2"/>
  <c r="AW87" i="2"/>
  <c r="AX79" i="2"/>
  <c r="AY78" i="2"/>
  <c r="AX75" i="2"/>
  <c r="AX74" i="2"/>
  <c r="AX61" i="2"/>
  <c r="AX59" i="2"/>
  <c r="AX58" i="2"/>
  <c r="AY57" i="2"/>
  <c r="AX54" i="2"/>
  <c r="AY66" i="2"/>
  <c r="AX189" i="2"/>
  <c r="AW166" i="2"/>
  <c r="AY165" i="2"/>
  <c r="AW150" i="2"/>
  <c r="AY149" i="2"/>
  <c r="AX118" i="2"/>
  <c r="AY117" i="2"/>
  <c r="AW103" i="2"/>
  <c r="AX95" i="2"/>
  <c r="AY94" i="2"/>
  <c r="AX91" i="2"/>
  <c r="AX90" i="2"/>
  <c r="AX63" i="2"/>
  <c r="AY62" i="2"/>
  <c r="AX55" i="2"/>
  <c r="AX199" i="2"/>
  <c r="AX198" i="2"/>
  <c r="AX194" i="2"/>
  <c r="AX193" i="2"/>
  <c r="AX183" i="2"/>
  <c r="AX182" i="2"/>
  <c r="AX178" i="2"/>
  <c r="AX177" i="2"/>
  <c r="AX167" i="2"/>
  <c r="AX155" i="2"/>
  <c r="AX146" i="2"/>
  <c r="AX143" i="2"/>
  <c r="AX126" i="2"/>
  <c r="AY125" i="2"/>
  <c r="AX94" i="2"/>
  <c r="AY93" i="2"/>
  <c r="AX78" i="2"/>
  <c r="AY77" i="2"/>
  <c r="AX62" i="2"/>
  <c r="AY122" i="2"/>
  <c r="AY90" i="2"/>
  <c r="AY74" i="2"/>
  <c r="AX200" i="2"/>
  <c r="AX196" i="2"/>
  <c r="AY195" i="2"/>
  <c r="AW189" i="2"/>
  <c r="AX184" i="2"/>
  <c r="AY179" i="2"/>
  <c r="AW173" i="2"/>
  <c r="AY172" i="2"/>
  <c r="AX168" i="2"/>
  <c r="AX161" i="2"/>
  <c r="AW147" i="2"/>
  <c r="AX141" i="2"/>
  <c r="AW138" i="2"/>
  <c r="AY137" i="2"/>
  <c r="AX133" i="2"/>
  <c r="AX131" i="2"/>
  <c r="AW127" i="2"/>
  <c r="AY121" i="2"/>
  <c r="AX99" i="2"/>
  <c r="AW95" i="2"/>
  <c r="AX83" i="2"/>
  <c r="AW79" i="2"/>
  <c r="AY73" i="2"/>
  <c r="AX125" i="2"/>
  <c r="AX117" i="2"/>
  <c r="AX101" i="2"/>
  <c r="AX93" i="2"/>
  <c r="AX85" i="2"/>
  <c r="AX77" i="2"/>
  <c r="AX69" i="2"/>
  <c r="AW59" i="2"/>
  <c r="AY58" i="2"/>
  <c r="AY193" i="2"/>
  <c r="AY177" i="2"/>
  <c r="AY162" i="2"/>
  <c r="AW143" i="2"/>
  <c r="AX137" i="2"/>
  <c r="AX129" i="2"/>
  <c r="AX121" i="2"/>
  <c r="AX89" i="2"/>
  <c r="AX73" i="2"/>
  <c r="AX65" i="2"/>
  <c r="AW63" i="2"/>
  <c r="AW55" i="2"/>
  <c r="AX195" i="2"/>
  <c r="AX190" i="2"/>
  <c r="AX188" i="2"/>
  <c r="AX179" i="2"/>
  <c r="AX174" i="2"/>
  <c r="AX172" i="2"/>
  <c r="AX164" i="2"/>
  <c r="AX157" i="2"/>
  <c r="AW152" i="2"/>
  <c r="AX151" i="2"/>
  <c r="AY145" i="2"/>
  <c r="AW139" i="2"/>
  <c r="AW131" i="2"/>
  <c r="AW123" i="2"/>
  <c r="AW99" i="2"/>
  <c r="AW91" i="2"/>
  <c r="AW83" i="2"/>
  <c r="AW75" i="2"/>
  <c r="AW67" i="2"/>
  <c r="AX57" i="2"/>
  <c r="AY198" i="2"/>
  <c r="AY194" i="2"/>
  <c r="AY190" i="2"/>
  <c r="AY186" i="2"/>
  <c r="AY182" i="2"/>
  <c r="AY178" i="2"/>
  <c r="AY174" i="2"/>
  <c r="AY170" i="2"/>
  <c r="AX165" i="2"/>
  <c r="AW151" i="2"/>
  <c r="AX149" i="2"/>
  <c r="AY164" i="2"/>
  <c r="AX145" i="2"/>
  <c r="AW155" i="2"/>
  <c r="AX153" i="2"/>
  <c r="AY136" i="2"/>
  <c r="DP60" i="2"/>
  <c r="DR60" i="2"/>
  <c r="DP68" i="2"/>
  <c r="DR68" i="2"/>
  <c r="DP76" i="2"/>
  <c r="DR76" i="2"/>
  <c r="DP80" i="2"/>
  <c r="DR80" i="2"/>
  <c r="DP84" i="2"/>
  <c r="DR84" i="2"/>
  <c r="DP92" i="2"/>
  <c r="DR92" i="2"/>
  <c r="DP100" i="2"/>
  <c r="DR100" i="2"/>
  <c r="DR120" i="2"/>
  <c r="DP120" i="2"/>
  <c r="DP128" i="2"/>
  <c r="DR128" i="2"/>
  <c r="DP136" i="2"/>
  <c r="DR136" i="2"/>
  <c r="DP144" i="2"/>
  <c r="DR144" i="2"/>
  <c r="DP152" i="2"/>
  <c r="DR152" i="2"/>
  <c r="DP160" i="2"/>
  <c r="DR160" i="2"/>
  <c r="DP168" i="2"/>
  <c r="DR168" i="2"/>
  <c r="DP176" i="2"/>
  <c r="DR176" i="2"/>
  <c r="DP184" i="2"/>
  <c r="DR184" i="2"/>
  <c r="DP192" i="2"/>
  <c r="DR192" i="2"/>
  <c r="DP57" i="2"/>
  <c r="DR57" i="2"/>
  <c r="DP65" i="2"/>
  <c r="DR65" i="2"/>
  <c r="DP73" i="2"/>
  <c r="DR73" i="2"/>
  <c r="DP85" i="2"/>
  <c r="DR85" i="2"/>
  <c r="DP93" i="2"/>
  <c r="DR93" i="2"/>
  <c r="DP101" i="2"/>
  <c r="DR101" i="2"/>
  <c r="DP117" i="2"/>
  <c r="DR117" i="2"/>
  <c r="DP125" i="2"/>
  <c r="DR125" i="2"/>
  <c r="DP133" i="2"/>
  <c r="DR133" i="2"/>
  <c r="DP137" i="2"/>
  <c r="DR137" i="2"/>
  <c r="DP145" i="2"/>
  <c r="DR145" i="2"/>
  <c r="DP153" i="2"/>
  <c r="DR153" i="2"/>
  <c r="DP161" i="2"/>
  <c r="DR161" i="2"/>
  <c r="DP169" i="2"/>
  <c r="DR169" i="2"/>
  <c r="DP173" i="2"/>
  <c r="DR173" i="2"/>
  <c r="DP181" i="2"/>
  <c r="DR181" i="2"/>
  <c r="DP189" i="2"/>
  <c r="DR189" i="2"/>
  <c r="DP197" i="2"/>
  <c r="DR197" i="2"/>
  <c r="DP58" i="2"/>
  <c r="DR58" i="2"/>
  <c r="DP66" i="2"/>
  <c r="DR66" i="2"/>
  <c r="DP78" i="2"/>
  <c r="DR78" i="2"/>
  <c r="DP82" i="2"/>
  <c r="DR82" i="2"/>
  <c r="DP90" i="2"/>
  <c r="DR90" i="2"/>
  <c r="DP98" i="2"/>
  <c r="DR98" i="2"/>
  <c r="DP126" i="2"/>
  <c r="DR126" i="2"/>
  <c r="DP134" i="2"/>
  <c r="DR134" i="2"/>
  <c r="DP138" i="2"/>
  <c r="DR138" i="2"/>
  <c r="DP150" i="2"/>
  <c r="DR150" i="2"/>
  <c r="DP158" i="2"/>
  <c r="DR158" i="2"/>
  <c r="DP162" i="2"/>
  <c r="DR162" i="2"/>
  <c r="DP170" i="2"/>
  <c r="DR170" i="2"/>
  <c r="DP174" i="2"/>
  <c r="DR174" i="2"/>
  <c r="DP182" i="2"/>
  <c r="DR182" i="2"/>
  <c r="DP190" i="2"/>
  <c r="DR190" i="2"/>
  <c r="DP198" i="2"/>
  <c r="DR198" i="2"/>
  <c r="DP55" i="2"/>
  <c r="DR55" i="2"/>
  <c r="DP63" i="2"/>
  <c r="DR63" i="2"/>
  <c r="DP71" i="2"/>
  <c r="DR71" i="2"/>
  <c r="DP79" i="2"/>
  <c r="DR79" i="2"/>
  <c r="DP83" i="2"/>
  <c r="DR83" i="2"/>
  <c r="DP91" i="2"/>
  <c r="DR91" i="2"/>
  <c r="DP99" i="2"/>
  <c r="DR99" i="2"/>
  <c r="DP123" i="2"/>
  <c r="DR123" i="2"/>
  <c r="DP131" i="2"/>
  <c r="DR131" i="2"/>
  <c r="DP139" i="2"/>
  <c r="DR139" i="2"/>
  <c r="DP147" i="2"/>
  <c r="DR147" i="2"/>
  <c r="DP155" i="2"/>
  <c r="DR155" i="2"/>
  <c r="DP167" i="2"/>
  <c r="DR167" i="2"/>
  <c r="DP175" i="2"/>
  <c r="DR175" i="2"/>
  <c r="DP183" i="2"/>
  <c r="DR183" i="2"/>
  <c r="DP191" i="2"/>
  <c r="DR191" i="2"/>
  <c r="DP199" i="2"/>
  <c r="DR199" i="2"/>
  <c r="DP200" i="2"/>
  <c r="DR200" i="2"/>
  <c r="DP56" i="2"/>
  <c r="DR56" i="2"/>
  <c r="DP64" i="2"/>
  <c r="DR64" i="2"/>
  <c r="DP72" i="2"/>
  <c r="DR72" i="2"/>
  <c r="DP88" i="2"/>
  <c r="DR88" i="2"/>
  <c r="DP96" i="2"/>
  <c r="DR96" i="2"/>
  <c r="DP104" i="2"/>
  <c r="DR104" i="2"/>
  <c r="DP116" i="2"/>
  <c r="DR116" i="2"/>
  <c r="DR124" i="2"/>
  <c r="DP124" i="2"/>
  <c r="DP132" i="2"/>
  <c r="DR132" i="2"/>
  <c r="DP140" i="2"/>
  <c r="DR140" i="2"/>
  <c r="DP148" i="2"/>
  <c r="DR148" i="2"/>
  <c r="DP156" i="2"/>
  <c r="DR156" i="2"/>
  <c r="DP164" i="2"/>
  <c r="DR164" i="2"/>
  <c r="DP172" i="2"/>
  <c r="DR172" i="2"/>
  <c r="DP180" i="2"/>
  <c r="DR180" i="2"/>
  <c r="DP188" i="2"/>
  <c r="DR188" i="2"/>
  <c r="DP196" i="2"/>
  <c r="DR196" i="2"/>
  <c r="DP61" i="2"/>
  <c r="DR61" i="2"/>
  <c r="DP69" i="2"/>
  <c r="DR69" i="2"/>
  <c r="DP77" i="2"/>
  <c r="DR77" i="2"/>
  <c r="DP81" i="2"/>
  <c r="DR81" i="2"/>
  <c r="DP89" i="2"/>
  <c r="DR89" i="2"/>
  <c r="DP97" i="2"/>
  <c r="DR97" i="2"/>
  <c r="DP121" i="2"/>
  <c r="DR121" i="2"/>
  <c r="DP129" i="2"/>
  <c r="DR129" i="2"/>
  <c r="DP141" i="2"/>
  <c r="DR141" i="2"/>
  <c r="DP149" i="2"/>
  <c r="DR149" i="2"/>
  <c r="DP157" i="2"/>
  <c r="DR157" i="2"/>
  <c r="DP165" i="2"/>
  <c r="DR165" i="2"/>
  <c r="DP177" i="2"/>
  <c r="DR177" i="2"/>
  <c r="DP185" i="2"/>
  <c r="DR185" i="2"/>
  <c r="DP193" i="2"/>
  <c r="DR193" i="2"/>
  <c r="DP201" i="2"/>
  <c r="DR201" i="2"/>
  <c r="DP54" i="2"/>
  <c r="DR54" i="2"/>
  <c r="DP62" i="2"/>
  <c r="DR62" i="2"/>
  <c r="DP70" i="2"/>
  <c r="DR70" i="2"/>
  <c r="DP74" i="2"/>
  <c r="DR74" i="2"/>
  <c r="DP86" i="2"/>
  <c r="DR86" i="2"/>
  <c r="DP94" i="2"/>
  <c r="DR94" i="2"/>
  <c r="DP102" i="2"/>
  <c r="DR102" i="2"/>
  <c r="DP118" i="2"/>
  <c r="DR118" i="2"/>
  <c r="DP122" i="2"/>
  <c r="DR122" i="2"/>
  <c r="DP130" i="2"/>
  <c r="DR130" i="2"/>
  <c r="DP142" i="2"/>
  <c r="DR142" i="2"/>
  <c r="DP146" i="2"/>
  <c r="DR146" i="2"/>
  <c r="DP154" i="2"/>
  <c r="DR154" i="2"/>
  <c r="DP166" i="2"/>
  <c r="DR166" i="2"/>
  <c r="DP178" i="2"/>
  <c r="DR178" i="2"/>
  <c r="DP186" i="2"/>
  <c r="DR186" i="2"/>
  <c r="DP194" i="2"/>
  <c r="DR194" i="2"/>
  <c r="DP59" i="2"/>
  <c r="DR59" i="2"/>
  <c r="DP67" i="2"/>
  <c r="DR67" i="2"/>
  <c r="DP75" i="2"/>
  <c r="DR75" i="2"/>
  <c r="DP87" i="2"/>
  <c r="DR87" i="2"/>
  <c r="DP95" i="2"/>
  <c r="DR95" i="2"/>
  <c r="DP103" i="2"/>
  <c r="DR103" i="2"/>
  <c r="DP119" i="2"/>
  <c r="DR119" i="2"/>
  <c r="DP127" i="2"/>
  <c r="DR127" i="2"/>
  <c r="DP135" i="2"/>
  <c r="DR135" i="2"/>
  <c r="DP143" i="2"/>
  <c r="DR143" i="2"/>
  <c r="DP151" i="2"/>
  <c r="DR151" i="2"/>
  <c r="DP159" i="2"/>
  <c r="DR159" i="2"/>
  <c r="DP163" i="2"/>
  <c r="DR163" i="2"/>
  <c r="DP171" i="2"/>
  <c r="DR171" i="2"/>
  <c r="DP179" i="2"/>
  <c r="DR179" i="2"/>
  <c r="DP187" i="2"/>
  <c r="DR187" i="2"/>
  <c r="DP195" i="2"/>
  <c r="DR195" i="2"/>
  <c r="A161" i="2"/>
  <c r="A180" i="2"/>
  <c r="A189" i="2"/>
  <c r="A54" i="2"/>
  <c r="A122" i="2"/>
  <c r="A134" i="2"/>
  <c r="A154" i="2"/>
  <c r="A166" i="2"/>
  <c r="A178" i="2"/>
  <c r="A145" i="2"/>
  <c r="A181" i="2"/>
  <c r="A197" i="2"/>
  <c r="A98" i="2"/>
  <c r="A58" i="2"/>
  <c r="A82" i="2"/>
  <c r="A62" i="2"/>
  <c r="A125" i="2"/>
  <c r="A118" i="2"/>
  <c r="A126" i="2"/>
  <c r="A174" i="2"/>
  <c r="A182" i="2"/>
  <c r="A190" i="2"/>
  <c r="A159" i="2"/>
  <c r="A175" i="2"/>
  <c r="A199" i="2"/>
  <c r="A183" i="2"/>
  <c r="A55" i="2"/>
  <c r="A71" i="2"/>
  <c r="A87" i="2"/>
  <c r="A196" i="2"/>
  <c r="A188" i="2"/>
  <c r="A81" i="2"/>
  <c r="A185" i="2"/>
  <c r="A193" i="2"/>
  <c r="A201" i="2"/>
  <c r="A172" i="2"/>
  <c r="A117" i="2"/>
  <c r="A137" i="2"/>
  <c r="A153" i="2"/>
  <c r="A173" i="2"/>
  <c r="A97" i="2"/>
  <c r="A89" i="2"/>
  <c r="A169" i="2"/>
  <c r="A177" i="2"/>
  <c r="A73" i="2"/>
  <c r="A142" i="2"/>
  <c r="A150" i="2"/>
  <c r="A121" i="2"/>
  <c r="A129" i="2"/>
  <c r="A59" i="2"/>
  <c r="A78" i="2"/>
  <c r="A77" i="2"/>
  <c r="A168" i="2"/>
  <c r="A176" i="2"/>
  <c r="A192" i="2"/>
  <c r="A138" i="2"/>
  <c r="A162" i="2"/>
  <c r="A198" i="2"/>
  <c r="A144" i="2"/>
  <c r="A133" i="2"/>
  <c r="A141" i="2"/>
  <c r="A149" i="2"/>
  <c r="A157" i="2"/>
  <c r="A165" i="2"/>
  <c r="A63" i="2"/>
  <c r="A69" i="2"/>
  <c r="A94" i="2"/>
  <c r="A102" i="2"/>
  <c r="A74" i="2"/>
  <c r="A67" i="2"/>
  <c r="A70" i="2"/>
  <c r="A86" i="2"/>
  <c r="A57" i="2"/>
  <c r="A93" i="2"/>
  <c r="AY88" i="2"/>
  <c r="AY65" i="2"/>
  <c r="IY56" i="2"/>
  <c r="IV56" i="2"/>
  <c r="IW56" i="2"/>
  <c r="IY64" i="2"/>
  <c r="IV64" i="2"/>
  <c r="IW64" i="2"/>
  <c r="IY72" i="2"/>
  <c r="IV72" i="2"/>
  <c r="IW72" i="2"/>
  <c r="IY116" i="2"/>
  <c r="IV116" i="2"/>
  <c r="IW116" i="2"/>
  <c r="IY120" i="2"/>
  <c r="IV120" i="2"/>
  <c r="IW120" i="2"/>
  <c r="IY124" i="2"/>
  <c r="IV124" i="2"/>
  <c r="IW124" i="2"/>
  <c r="IY128" i="2"/>
  <c r="IV128" i="2"/>
  <c r="IW128" i="2"/>
  <c r="IY132" i="2"/>
  <c r="IV132" i="2"/>
  <c r="IW132" i="2"/>
  <c r="IY136" i="2"/>
  <c r="IV136" i="2"/>
  <c r="IW136" i="2"/>
  <c r="IY140" i="2"/>
  <c r="IV140" i="2"/>
  <c r="IW140" i="2"/>
  <c r="IY144" i="2"/>
  <c r="IV144" i="2"/>
  <c r="IW144" i="2"/>
  <c r="IY148" i="2"/>
  <c r="IV148" i="2"/>
  <c r="IW148" i="2"/>
  <c r="IY152" i="2"/>
  <c r="IV152" i="2"/>
  <c r="IW152" i="2"/>
  <c r="IY156" i="2"/>
  <c r="IV156" i="2"/>
  <c r="IW156" i="2"/>
  <c r="IY160" i="2"/>
  <c r="IV160" i="2"/>
  <c r="IW160" i="2"/>
  <c r="IY164" i="2"/>
  <c r="IV164" i="2"/>
  <c r="IW164" i="2"/>
  <c r="IY168" i="2"/>
  <c r="IV168" i="2"/>
  <c r="IW168" i="2"/>
  <c r="IY172" i="2"/>
  <c r="IV172" i="2"/>
  <c r="IW172" i="2"/>
  <c r="IY176" i="2"/>
  <c r="IV176" i="2"/>
  <c r="IW176" i="2"/>
  <c r="IY180" i="2"/>
  <c r="IV180" i="2"/>
  <c r="IW180" i="2"/>
  <c r="IY184" i="2"/>
  <c r="IV184" i="2"/>
  <c r="IW184" i="2"/>
  <c r="IY188" i="2"/>
  <c r="IV188" i="2"/>
  <c r="IW188" i="2"/>
  <c r="IY192" i="2"/>
  <c r="IV192" i="2"/>
  <c r="IW192" i="2"/>
  <c r="IY57" i="2"/>
  <c r="IV57" i="2"/>
  <c r="IW57" i="2"/>
  <c r="IY65" i="2"/>
  <c r="IV65" i="2"/>
  <c r="IW65" i="2"/>
  <c r="IY73" i="2"/>
  <c r="IV73" i="2"/>
  <c r="IW73" i="2"/>
  <c r="IY117" i="2"/>
  <c r="IV117" i="2"/>
  <c r="IW117" i="2"/>
  <c r="IY121" i="2"/>
  <c r="IV121" i="2"/>
  <c r="IW121" i="2"/>
  <c r="IY125" i="2"/>
  <c r="IV125" i="2"/>
  <c r="IW125" i="2"/>
  <c r="IY129" i="2"/>
  <c r="IV129" i="2"/>
  <c r="IW129" i="2"/>
  <c r="IY133" i="2"/>
  <c r="IV133" i="2"/>
  <c r="IW133" i="2"/>
  <c r="IY137" i="2"/>
  <c r="IV137" i="2"/>
  <c r="IW137" i="2"/>
  <c r="IY141" i="2"/>
  <c r="IV141" i="2"/>
  <c r="IW141" i="2"/>
  <c r="IY145" i="2"/>
  <c r="IV145" i="2"/>
  <c r="IW145" i="2"/>
  <c r="IY149" i="2"/>
  <c r="IV149" i="2"/>
  <c r="IW149" i="2"/>
  <c r="IY153" i="2"/>
  <c r="IV153" i="2"/>
  <c r="IW153" i="2"/>
  <c r="IY157" i="2"/>
  <c r="IV157" i="2"/>
  <c r="IW157" i="2"/>
  <c r="IY161" i="2"/>
  <c r="IV161" i="2"/>
  <c r="IW161" i="2"/>
  <c r="IY165" i="2"/>
  <c r="IV165" i="2"/>
  <c r="IW165" i="2"/>
  <c r="IY169" i="2"/>
  <c r="IV169" i="2"/>
  <c r="IW169" i="2"/>
  <c r="IY173" i="2"/>
  <c r="IV173" i="2"/>
  <c r="IW173" i="2"/>
  <c r="IY177" i="2"/>
  <c r="IV177" i="2"/>
  <c r="IW177" i="2"/>
  <c r="IY181" i="2"/>
  <c r="IV181" i="2"/>
  <c r="IW181" i="2"/>
  <c r="IY185" i="2"/>
  <c r="IV185" i="2"/>
  <c r="IW185" i="2"/>
  <c r="IY189" i="2"/>
  <c r="IV189" i="2"/>
  <c r="IW189" i="2"/>
  <c r="IY193" i="2"/>
  <c r="IV193" i="2"/>
  <c r="IW193" i="2"/>
  <c r="IY197" i="2"/>
  <c r="IV197" i="2"/>
  <c r="IW197" i="2"/>
  <c r="IY201" i="2"/>
  <c r="IV201" i="2"/>
  <c r="IW201" i="2"/>
  <c r="IY54" i="2"/>
  <c r="IV54" i="2"/>
  <c r="IW54" i="2"/>
  <c r="IY62" i="2"/>
  <c r="IV62" i="2"/>
  <c r="IW62" i="2"/>
  <c r="IY70" i="2"/>
  <c r="IV70" i="2"/>
  <c r="IW70" i="2"/>
  <c r="IY78" i="2"/>
  <c r="IV78" i="2"/>
  <c r="IW78" i="2"/>
  <c r="IY82" i="2"/>
  <c r="IV82" i="2"/>
  <c r="IW82" i="2"/>
  <c r="IY86" i="2"/>
  <c r="IV86" i="2"/>
  <c r="IW86" i="2"/>
  <c r="IY90" i="2"/>
  <c r="IV90" i="2"/>
  <c r="IW90" i="2"/>
  <c r="IY94" i="2"/>
  <c r="IV94" i="2"/>
  <c r="IW94" i="2"/>
  <c r="IY98" i="2"/>
  <c r="IV98" i="2"/>
  <c r="IW98" i="2"/>
  <c r="IY102" i="2"/>
  <c r="IV102" i="2"/>
  <c r="IW102" i="2"/>
  <c r="IY118" i="2"/>
  <c r="IV118" i="2"/>
  <c r="IW118" i="2"/>
  <c r="IY122" i="2"/>
  <c r="IV122" i="2"/>
  <c r="IW122" i="2"/>
  <c r="IY126" i="2"/>
  <c r="IV126" i="2"/>
  <c r="IW126" i="2"/>
  <c r="IY130" i="2"/>
  <c r="IV130" i="2"/>
  <c r="IW130" i="2"/>
  <c r="IY134" i="2"/>
  <c r="IV134" i="2"/>
  <c r="IW134" i="2"/>
  <c r="IY138" i="2"/>
  <c r="IV138" i="2"/>
  <c r="IW138" i="2"/>
  <c r="IY142" i="2"/>
  <c r="IV142" i="2"/>
  <c r="IW142" i="2"/>
  <c r="IY146" i="2"/>
  <c r="IV146" i="2"/>
  <c r="IW146" i="2"/>
  <c r="IY150" i="2"/>
  <c r="IV150" i="2"/>
  <c r="IW150" i="2"/>
  <c r="IY154" i="2"/>
  <c r="IV154" i="2"/>
  <c r="IW154" i="2"/>
  <c r="IY158" i="2"/>
  <c r="IV158" i="2"/>
  <c r="IW158" i="2"/>
  <c r="IY162" i="2"/>
  <c r="IV162" i="2"/>
  <c r="IW162" i="2"/>
  <c r="IY166" i="2"/>
  <c r="IV166" i="2"/>
  <c r="IW166" i="2"/>
  <c r="IY170" i="2"/>
  <c r="IV170" i="2"/>
  <c r="IW170" i="2"/>
  <c r="IY174" i="2"/>
  <c r="IV174" i="2"/>
  <c r="IW174" i="2"/>
  <c r="IY178" i="2"/>
  <c r="IV178" i="2"/>
  <c r="IW178" i="2"/>
  <c r="IY182" i="2"/>
  <c r="IV182" i="2"/>
  <c r="IW182" i="2"/>
  <c r="IY186" i="2"/>
  <c r="IV186" i="2"/>
  <c r="IW186" i="2"/>
  <c r="IY190" i="2"/>
  <c r="IV190" i="2"/>
  <c r="IW190" i="2"/>
  <c r="IY194" i="2"/>
  <c r="IV194" i="2"/>
  <c r="IW194" i="2"/>
  <c r="IY198" i="2"/>
  <c r="IV198" i="2"/>
  <c r="IW198" i="2"/>
  <c r="IY59" i="2"/>
  <c r="IV59" i="2"/>
  <c r="IW59" i="2"/>
  <c r="IY67" i="2"/>
  <c r="IV67" i="2"/>
  <c r="IW67" i="2"/>
  <c r="IY75" i="2"/>
  <c r="IV75" i="2"/>
  <c r="IW75" i="2"/>
  <c r="IY195" i="2"/>
  <c r="IV195" i="2"/>
  <c r="IW195" i="2"/>
  <c r="IY200" i="2"/>
  <c r="IV200" i="2"/>
  <c r="IW200" i="2"/>
  <c r="IY60" i="2"/>
  <c r="IV60" i="2"/>
  <c r="IW60" i="2"/>
  <c r="IY68" i="2"/>
  <c r="IV68" i="2"/>
  <c r="IW68" i="2"/>
  <c r="IY76" i="2"/>
  <c r="IV76" i="2"/>
  <c r="IW76" i="2"/>
  <c r="IY80" i="2"/>
  <c r="IV80" i="2"/>
  <c r="IW80" i="2"/>
  <c r="IY84" i="2"/>
  <c r="IV84" i="2"/>
  <c r="IW84" i="2"/>
  <c r="IY88" i="2"/>
  <c r="IV88" i="2"/>
  <c r="IW88" i="2"/>
  <c r="IY92" i="2"/>
  <c r="IV92" i="2"/>
  <c r="IW92" i="2"/>
  <c r="IY96" i="2"/>
  <c r="IV96" i="2"/>
  <c r="IW96" i="2"/>
  <c r="IY100" i="2"/>
  <c r="IV100" i="2"/>
  <c r="IW100" i="2"/>
  <c r="IY104" i="2"/>
  <c r="IV104" i="2"/>
  <c r="IW104" i="2"/>
  <c r="IY196" i="2"/>
  <c r="IV196" i="2"/>
  <c r="IW196" i="2"/>
  <c r="IY61" i="2"/>
  <c r="IV61" i="2"/>
  <c r="IW61" i="2"/>
  <c r="IY69" i="2"/>
  <c r="IV69" i="2"/>
  <c r="IW69" i="2"/>
  <c r="IY77" i="2"/>
  <c r="IV77" i="2"/>
  <c r="IW77" i="2"/>
  <c r="IY81" i="2"/>
  <c r="IV81" i="2"/>
  <c r="IW81" i="2"/>
  <c r="IY85" i="2"/>
  <c r="IV85" i="2"/>
  <c r="IW85" i="2"/>
  <c r="IY89" i="2"/>
  <c r="IV89" i="2"/>
  <c r="IW89" i="2"/>
  <c r="IY93" i="2"/>
  <c r="IV93" i="2"/>
  <c r="IW93" i="2"/>
  <c r="IY97" i="2"/>
  <c r="IV97" i="2"/>
  <c r="IW97" i="2"/>
  <c r="IY101" i="2"/>
  <c r="IV101" i="2"/>
  <c r="IW101" i="2"/>
  <c r="IY58" i="2"/>
  <c r="IV58" i="2"/>
  <c r="IW58" i="2"/>
  <c r="IY66" i="2"/>
  <c r="IV66" i="2"/>
  <c r="IW66" i="2"/>
  <c r="IY74" i="2"/>
  <c r="IV74" i="2"/>
  <c r="IW74" i="2"/>
  <c r="IY55" i="2"/>
  <c r="IV55" i="2"/>
  <c r="IW55" i="2"/>
  <c r="IY63" i="2"/>
  <c r="IV63" i="2"/>
  <c r="IW63" i="2"/>
  <c r="IY71" i="2"/>
  <c r="IV71" i="2"/>
  <c r="IW71" i="2"/>
  <c r="IY79" i="2"/>
  <c r="IV79" i="2"/>
  <c r="IW79" i="2"/>
  <c r="IY83" i="2"/>
  <c r="IV83" i="2"/>
  <c r="IW83" i="2"/>
  <c r="IY87" i="2"/>
  <c r="IV87" i="2"/>
  <c r="IW87" i="2"/>
  <c r="IY91" i="2"/>
  <c r="IV91" i="2"/>
  <c r="IW91" i="2"/>
  <c r="IY95" i="2"/>
  <c r="IV95" i="2"/>
  <c r="IW95" i="2"/>
  <c r="IY99" i="2"/>
  <c r="IV99" i="2"/>
  <c r="IW99" i="2"/>
  <c r="IY103" i="2"/>
  <c r="IV103" i="2"/>
  <c r="IW103" i="2"/>
  <c r="IY119" i="2"/>
  <c r="IV119" i="2"/>
  <c r="IW119" i="2"/>
  <c r="IY123" i="2"/>
  <c r="IV123" i="2"/>
  <c r="IW123" i="2"/>
  <c r="IY127" i="2"/>
  <c r="IV127" i="2"/>
  <c r="IW127" i="2"/>
  <c r="IY131" i="2"/>
  <c r="IV131" i="2"/>
  <c r="IW131" i="2"/>
  <c r="IY135" i="2"/>
  <c r="IV135" i="2"/>
  <c r="IW135" i="2"/>
  <c r="IY139" i="2"/>
  <c r="IV139" i="2"/>
  <c r="IW139" i="2"/>
  <c r="IY143" i="2"/>
  <c r="IV143" i="2"/>
  <c r="IW143" i="2"/>
  <c r="IY147" i="2"/>
  <c r="IV147" i="2"/>
  <c r="IW147" i="2"/>
  <c r="IY151" i="2"/>
  <c r="IV151" i="2"/>
  <c r="IW151" i="2"/>
  <c r="IY155" i="2"/>
  <c r="IV155" i="2"/>
  <c r="IW155" i="2"/>
  <c r="IY159" i="2"/>
  <c r="IV159" i="2"/>
  <c r="IW159" i="2"/>
  <c r="IY163" i="2"/>
  <c r="IV163" i="2"/>
  <c r="IW163" i="2"/>
  <c r="IY167" i="2"/>
  <c r="IV167" i="2"/>
  <c r="IW167" i="2"/>
  <c r="IY171" i="2"/>
  <c r="IV171" i="2"/>
  <c r="IW171" i="2"/>
  <c r="IY175" i="2"/>
  <c r="IV175" i="2"/>
  <c r="IW175" i="2"/>
  <c r="IY179" i="2"/>
  <c r="IV179" i="2"/>
  <c r="IW179" i="2"/>
  <c r="IY183" i="2"/>
  <c r="IV183" i="2"/>
  <c r="IW183" i="2"/>
  <c r="IY187" i="2"/>
  <c r="IV187" i="2"/>
  <c r="IW187" i="2"/>
  <c r="IY191" i="2"/>
  <c r="IV191" i="2"/>
  <c r="IW191" i="2"/>
  <c r="IY199" i="2"/>
  <c r="IV199" i="2"/>
  <c r="IW199" i="2"/>
  <c r="AX192" i="2"/>
  <c r="AY160" i="2"/>
  <c r="AY192" i="2"/>
  <c r="AY148" i="2"/>
  <c r="AX81" i="2"/>
  <c r="AX97" i="2"/>
  <c r="AY89" i="2"/>
  <c r="AX180" i="2"/>
  <c r="AY188" i="2"/>
  <c r="AW156" i="2"/>
  <c r="AY97" i="2"/>
  <c r="AY196" i="2"/>
  <c r="AY180" i="2"/>
  <c r="AY81" i="2"/>
  <c r="A184" i="2"/>
  <c r="A160" i="2"/>
  <c r="A61" i="2"/>
  <c r="A85" i="2"/>
  <c r="A101" i="2"/>
  <c r="AX160" i="2"/>
  <c r="AY128" i="2"/>
  <c r="AX96" i="2"/>
  <c r="A148" i="2"/>
  <c r="AY104" i="2"/>
  <c r="CZ106" i="2"/>
  <c r="AG110" i="8"/>
  <c r="V114" i="8"/>
  <c r="CZ108" i="2"/>
  <c r="AG106" i="8"/>
  <c r="V110" i="8"/>
  <c r="AG114" i="8"/>
  <c r="AY116" i="2"/>
  <c r="AX128" i="2"/>
  <c r="A116" i="2"/>
  <c r="AL88" i="2"/>
  <c r="A84" i="2"/>
  <c r="A104" i="2"/>
  <c r="AL60" i="2"/>
  <c r="AX68" i="2"/>
  <c r="AL96" i="2"/>
  <c r="A128" i="2"/>
  <c r="A92" i="2"/>
  <c r="A80" i="2"/>
  <c r="AY68" i="2"/>
  <c r="AX64" i="2"/>
  <c r="AL76" i="2"/>
  <c r="AY132" i="2"/>
  <c r="AX140" i="2"/>
  <c r="AY140" i="2"/>
  <c r="AX144" i="2"/>
  <c r="A136" i="2"/>
  <c r="A164" i="2"/>
  <c r="A100" i="2"/>
  <c r="AX92" i="2"/>
  <c r="AX76" i="2"/>
  <c r="AY84" i="2"/>
  <c r="AY120" i="2"/>
  <c r="AX120" i="2"/>
  <c r="AX136" i="2"/>
  <c r="A132" i="2"/>
  <c r="A152" i="2"/>
  <c r="V112" i="8"/>
  <c r="V115" i="8"/>
  <c r="AX72" i="2"/>
  <c r="AL64" i="2"/>
  <c r="AY92" i="2"/>
  <c r="AX84" i="2"/>
  <c r="AX100" i="2"/>
  <c r="A120" i="2"/>
  <c r="AY100" i="2"/>
  <c r="AY124" i="2"/>
  <c r="AW144" i="2"/>
  <c r="AX88" i="2"/>
  <c r="AX104" i="2"/>
  <c r="AX148" i="2"/>
  <c r="AX60" i="2"/>
  <c r="AX116" i="2"/>
  <c r="AX132" i="2"/>
  <c r="AX124" i="2"/>
  <c r="A124" i="2"/>
  <c r="A140" i="2"/>
  <c r="A156" i="2"/>
  <c r="AL68" i="2"/>
  <c r="AL72" i="2"/>
  <c r="V108" i="8"/>
  <c r="CZ112" i="2"/>
  <c r="AG107" i="8"/>
  <c r="AY56" i="2"/>
  <c r="AY72" i="2"/>
  <c r="AW64" i="2"/>
  <c r="A56" i="2"/>
  <c r="AG111" i="8"/>
  <c r="AY76" i="2"/>
  <c r="AX80" i="2"/>
  <c r="AY60" i="2"/>
  <c r="AY80" i="2"/>
  <c r="AY96" i="2"/>
  <c r="AX56" i="2"/>
  <c r="AL65" i="2"/>
  <c r="A65" i="2"/>
  <c r="AI110" i="8"/>
  <c r="AH111" i="8"/>
  <c r="AH108" i="8"/>
  <c r="V107" i="8"/>
  <c r="V111" i="8"/>
  <c r="AG115" i="8"/>
  <c r="V52" i="8"/>
  <c r="AG53" i="8"/>
  <c r="AG105" i="8"/>
  <c r="V109" i="8"/>
  <c r="CZ113" i="2"/>
  <c r="V53" i="8"/>
  <c r="CZ105" i="2"/>
  <c r="AG109" i="8"/>
  <c r="AG113" i="8"/>
  <c r="AI114" i="8"/>
  <c r="AI107" i="8"/>
  <c r="AI105" i="8"/>
  <c r="AH113" i="8"/>
  <c r="AH52" i="8"/>
  <c r="AI106" i="8"/>
  <c r="AH107" i="8"/>
  <c r="AI115" i="8"/>
  <c r="AI112" i="8"/>
  <c r="AH105" i="8"/>
  <c r="AI113" i="8"/>
  <c r="AI53" i="8"/>
  <c r="ID114" i="2"/>
  <c r="AH114" i="8"/>
  <c r="ID109" i="2"/>
  <c r="AH109" i="8"/>
  <c r="ID106" i="2"/>
  <c r="AH106" i="8"/>
  <c r="ID115" i="2"/>
  <c r="AH115" i="8"/>
  <c r="ID112" i="2"/>
  <c r="AH112" i="8"/>
  <c r="AH110" i="8"/>
  <c r="AI111" i="8"/>
  <c r="AI108" i="8"/>
  <c r="AI109" i="8"/>
  <c r="AH53" i="8"/>
  <c r="ID110" i="2"/>
  <c r="IC111" i="2"/>
  <c r="X111" i="2"/>
  <c r="W111" i="2"/>
  <c r="AN111" i="2"/>
  <c r="CF111" i="2"/>
  <c r="IC108" i="2"/>
  <c r="W108" i="2"/>
  <c r="X108" i="2"/>
  <c r="AN108" i="2"/>
  <c r="CF108" i="2"/>
  <c r="ID113" i="2"/>
  <c r="IC106" i="2"/>
  <c r="W106" i="2"/>
  <c r="X106" i="2"/>
  <c r="AN106" i="2"/>
  <c r="CF106" i="2"/>
  <c r="ID107" i="2"/>
  <c r="IC115" i="2"/>
  <c r="X115" i="2"/>
  <c r="W115" i="2"/>
  <c r="AN115" i="2"/>
  <c r="CF115" i="2"/>
  <c r="IC112" i="2"/>
  <c r="W112" i="2"/>
  <c r="X112" i="2"/>
  <c r="AN112" i="2"/>
  <c r="CE112" i="2"/>
  <c r="ID105" i="2"/>
  <c r="IC109" i="2"/>
  <c r="X109" i="2"/>
  <c r="W109" i="2"/>
  <c r="AN109" i="2"/>
  <c r="CF109" i="2"/>
  <c r="AN53" i="2"/>
  <c r="CF53" i="2"/>
  <c r="IC110" i="2"/>
  <c r="W110" i="2"/>
  <c r="X110" i="2"/>
  <c r="AN110" i="2"/>
  <c r="CE110" i="2"/>
  <c r="ID111" i="2"/>
  <c r="ID108" i="2"/>
  <c r="IC113" i="2"/>
  <c r="X113" i="2"/>
  <c r="W113" i="2"/>
  <c r="AN113" i="2"/>
  <c r="CE113" i="2"/>
  <c r="ID52" i="2"/>
  <c r="IC52" i="2"/>
  <c r="X52" i="2"/>
  <c r="W52" i="2"/>
  <c r="AN52" i="2"/>
  <c r="CE52" i="2"/>
  <c r="X53" i="2"/>
  <c r="CE53" i="2"/>
  <c r="IC114" i="2"/>
  <c r="W114" i="2"/>
  <c r="X114" i="2"/>
  <c r="AN114" i="2"/>
  <c r="CF114" i="2"/>
  <c r="IC107" i="2"/>
  <c r="X107" i="2"/>
  <c r="W107" i="2"/>
  <c r="AN107" i="2"/>
  <c r="CF107" i="2"/>
  <c r="IC105" i="2"/>
  <c r="X105" i="2"/>
  <c r="W105" i="2"/>
  <c r="AN105" i="2"/>
  <c r="CE105" i="2"/>
  <c r="ID53" i="2"/>
  <c r="W53" i="2"/>
  <c r="D52" i="10"/>
  <c r="AT52" i="8"/>
  <c r="D52" i="8"/>
  <c r="BE52" i="8"/>
  <c r="AT53" i="8"/>
  <c r="D53" i="8"/>
  <c r="BE53" i="8"/>
  <c r="CQ52" i="2"/>
  <c r="CQ53" i="2"/>
  <c r="D112" i="8"/>
  <c r="AT112" i="8"/>
  <c r="D112" i="10"/>
  <c r="D109" i="8"/>
  <c r="AT109" i="8"/>
  <c r="D113" i="8"/>
  <c r="AT113" i="8"/>
  <c r="D106" i="8"/>
  <c r="AT106" i="8"/>
  <c r="D107" i="8"/>
  <c r="AT107" i="8"/>
  <c r="D111" i="8"/>
  <c r="AT111" i="8"/>
  <c r="D115" i="8"/>
  <c r="AT115" i="8"/>
  <c r="BE110" i="8"/>
  <c r="D110" i="8"/>
  <c r="AT110" i="8"/>
  <c r="D114" i="8"/>
  <c r="AT114" i="8"/>
  <c r="D108" i="8"/>
  <c r="AT108" i="8"/>
  <c r="BE105" i="8"/>
  <c r="D105" i="8"/>
  <c r="AT105" i="8"/>
  <c r="BE107" i="8"/>
  <c r="BE111" i="8"/>
  <c r="BE112" i="8"/>
  <c r="D114" i="10"/>
  <c r="BE114" i="8"/>
  <c r="BE115" i="8"/>
  <c r="BE109" i="8"/>
  <c r="BE113" i="8"/>
  <c r="BE106" i="8"/>
  <c r="BE108" i="8"/>
  <c r="D106" i="10"/>
  <c r="D108" i="10"/>
  <c r="D110" i="10"/>
  <c r="D107" i="10"/>
  <c r="CQ108" i="2"/>
  <c r="D113" i="10"/>
  <c r="D111" i="10"/>
  <c r="D115" i="10"/>
  <c r="D109" i="10"/>
  <c r="CQ110" i="2"/>
  <c r="CQ106" i="2"/>
  <c r="CQ114" i="2"/>
  <c r="CQ111" i="2"/>
  <c r="CQ113" i="2"/>
  <c r="CQ107" i="2"/>
  <c r="CQ115" i="2"/>
  <c r="CQ109" i="2"/>
  <c r="CQ112" i="2"/>
  <c r="CQ105" i="2"/>
  <c r="CF105" i="2"/>
  <c r="CH105" i="2"/>
  <c r="R105" i="2"/>
  <c r="CE109" i="2"/>
  <c r="CE108" i="2"/>
  <c r="Q108" i="2"/>
  <c r="Q105" i="2"/>
  <c r="CH107" i="2"/>
  <c r="R107" i="2"/>
  <c r="CH114" i="2"/>
  <c r="R114" i="2"/>
  <c r="CH106" i="2"/>
  <c r="R106" i="2"/>
  <c r="CH108" i="2"/>
  <c r="R108" i="2"/>
  <c r="CH109" i="2"/>
  <c r="R109" i="2"/>
  <c r="CH115" i="2"/>
  <c r="R115" i="2"/>
  <c r="CH111" i="2"/>
  <c r="R111" i="2"/>
  <c r="L113" i="2"/>
  <c r="AC113" i="2"/>
  <c r="AE113" i="2"/>
  <c r="AC114" i="2"/>
  <c r="AE114" i="2"/>
  <c r="L114" i="2"/>
  <c r="AC110" i="2"/>
  <c r="L110" i="2"/>
  <c r="AE110" i="2"/>
  <c r="AC108" i="2"/>
  <c r="L108" i="2"/>
  <c r="AE108" i="2"/>
  <c r="AC106" i="2"/>
  <c r="AE106" i="2"/>
  <c r="L106" i="2"/>
  <c r="AE52" i="2"/>
  <c r="L52" i="2"/>
  <c r="AC52" i="2"/>
  <c r="CE114" i="2"/>
  <c r="CF52" i="2"/>
  <c r="CF113" i="2"/>
  <c r="CF110" i="2"/>
  <c r="CE115" i="2"/>
  <c r="AE115" i="2"/>
  <c r="L115" i="2"/>
  <c r="AC115" i="2"/>
  <c r="AC107" i="2"/>
  <c r="AE107" i="2"/>
  <c r="L107" i="2"/>
  <c r="AC53" i="2"/>
  <c r="L53" i="2"/>
  <c r="AE53" i="2"/>
  <c r="CE111" i="2"/>
  <c r="AC109" i="2"/>
  <c r="AE109" i="2"/>
  <c r="L109" i="2"/>
  <c r="AE111" i="2"/>
  <c r="L111" i="2"/>
  <c r="AC111" i="2"/>
  <c r="CE107" i="2"/>
  <c r="CF112" i="2"/>
  <c r="CE106" i="2"/>
  <c r="AE105" i="2"/>
  <c r="L105" i="2"/>
  <c r="AC105" i="2"/>
  <c r="AE112" i="2"/>
  <c r="AC112" i="2"/>
  <c r="L112" i="2"/>
  <c r="Q53" i="2"/>
  <c r="CH53" i="2"/>
  <c r="R53" i="2"/>
  <c r="BG111" i="2"/>
  <c r="BG109" i="2"/>
  <c r="BG106" i="2"/>
  <c r="BG108" i="2"/>
  <c r="GE106" i="2"/>
  <c r="AD105" i="2"/>
  <c r="Q106" i="2"/>
  <c r="GE111" i="2"/>
  <c r="AD112" i="2"/>
  <c r="CH112" i="2"/>
  <c r="R112" i="2"/>
  <c r="AW111" i="2"/>
  <c r="Q111" i="2"/>
  <c r="AD53" i="2"/>
  <c r="AD107" i="2"/>
  <c r="CH110" i="2"/>
  <c r="R110" i="2"/>
  <c r="AW106" i="2"/>
  <c r="Q107" i="2"/>
  <c r="AD111" i="2"/>
  <c r="AD115" i="2"/>
  <c r="Q115" i="2"/>
  <c r="CH113" i="2"/>
  <c r="R113" i="2"/>
  <c r="Q114" i="2"/>
  <c r="AD106" i="2"/>
  <c r="AD113" i="2"/>
  <c r="Q110" i="2"/>
  <c r="FC109" i="2"/>
  <c r="AW109" i="2"/>
  <c r="CH52" i="2"/>
  <c r="R52" i="2"/>
  <c r="AD52" i="2"/>
  <c r="AD108" i="2"/>
  <c r="AD110" i="2"/>
  <c r="AD114" i="2"/>
  <c r="Q113" i="2"/>
  <c r="GE109" i="2"/>
  <c r="AD109" i="2"/>
  <c r="GD109" i="2"/>
  <c r="AW108" i="2"/>
  <c r="Q109" i="2"/>
  <c r="BG52" i="2"/>
  <c r="BG53" i="2"/>
  <c r="GD106" i="2"/>
  <c r="GD111" i="2"/>
  <c r="FC108" i="2"/>
  <c r="FC106" i="2"/>
  <c r="BG113" i="2"/>
  <c r="BG107" i="2"/>
  <c r="BG112" i="2"/>
  <c r="BG105" i="2"/>
  <c r="BG110" i="2"/>
  <c r="BG115" i="2"/>
  <c r="BG114" i="2"/>
  <c r="Q52" i="2"/>
  <c r="GD108" i="2"/>
  <c r="GE112" i="2"/>
  <c r="GE115" i="2"/>
  <c r="GE52" i="2"/>
  <c r="AX108" i="2"/>
  <c r="FC53" i="2"/>
  <c r="AY111" i="2"/>
  <c r="AX111" i="2"/>
  <c r="FC111" i="2"/>
  <c r="GE113" i="2"/>
  <c r="GE114" i="2"/>
  <c r="GE105" i="2"/>
  <c r="GE110" i="2"/>
  <c r="GE53" i="2"/>
  <c r="AY109" i="2"/>
  <c r="AX109" i="2"/>
  <c r="GE107" i="2"/>
  <c r="GE108" i="2"/>
  <c r="Q112" i="2"/>
  <c r="FC52" i="2"/>
  <c r="AX106" i="2"/>
  <c r="AY106" i="2"/>
  <c r="AY108" i="2"/>
  <c r="GD52" i="2"/>
  <c r="AW52" i="2"/>
  <c r="AW53" i="2"/>
  <c r="GD53" i="2"/>
  <c r="GD115" i="2"/>
  <c r="GD107" i="2"/>
  <c r="GD105" i="2"/>
  <c r="GD110" i="2"/>
  <c r="GD114" i="2"/>
  <c r="GD113" i="2"/>
  <c r="GD112" i="2"/>
  <c r="FC113" i="2"/>
  <c r="FC107" i="2"/>
  <c r="FC114" i="2"/>
  <c r="FC105" i="2"/>
  <c r="FC115" i="2"/>
  <c r="FC110" i="2"/>
  <c r="FC112" i="2"/>
  <c r="AW114" i="2"/>
  <c r="AW112" i="2"/>
  <c r="AW115" i="2"/>
  <c r="AW113" i="2"/>
  <c r="AW107" i="2"/>
  <c r="AW110" i="2"/>
  <c r="AW105" i="2"/>
  <c r="CZ8" i="2"/>
  <c r="FB8" i="2"/>
  <c r="CZ4" i="2"/>
  <c r="FB4" i="2"/>
  <c r="FB7" i="2"/>
  <c r="CZ7" i="2"/>
  <c r="CZ12" i="2"/>
  <c r="FB12" i="2"/>
  <c r="CZ11" i="2"/>
  <c r="FB11" i="2"/>
  <c r="CZ10" i="2"/>
  <c r="FB10" i="2"/>
  <c r="CZ6" i="2"/>
  <c r="V6" i="8"/>
  <c r="FB6" i="2"/>
  <c r="CZ2" i="2"/>
  <c r="FB2" i="2"/>
  <c r="CZ9" i="2"/>
  <c r="FB9" i="2"/>
  <c r="FB5" i="2"/>
  <c r="CZ5" i="2"/>
  <c r="CZ3" i="2"/>
  <c r="FB3" i="2"/>
  <c r="AY53" i="2"/>
  <c r="AX52" i="2"/>
  <c r="AX53" i="2"/>
  <c r="AX113" i="2"/>
  <c r="AX107" i="2"/>
  <c r="AY114" i="2"/>
  <c r="AY110" i="2"/>
  <c r="AY113" i="2"/>
  <c r="AY107" i="2"/>
  <c r="AX114" i="2"/>
  <c r="AX110" i="2"/>
  <c r="AX105" i="2"/>
  <c r="AY112" i="2"/>
  <c r="AX115" i="2"/>
  <c r="AY115" i="2"/>
  <c r="AY105" i="2"/>
  <c r="AX112" i="2"/>
  <c r="AY52" i="2"/>
  <c r="DP3" i="2"/>
  <c r="DR3" i="2"/>
  <c r="DR11" i="2"/>
  <c r="DP11" i="2"/>
  <c r="DR9" i="2"/>
  <c r="DP9" i="2"/>
  <c r="DR7" i="2"/>
  <c r="DP7" i="2"/>
  <c r="DP5" i="2"/>
  <c r="DR5" i="2"/>
  <c r="DP12" i="2"/>
  <c r="DR12" i="2"/>
  <c r="DP10" i="2"/>
  <c r="DR10" i="2"/>
  <c r="DP8" i="2"/>
  <c r="DR8" i="2"/>
  <c r="DR4" i="2"/>
  <c r="DP4" i="2"/>
  <c r="V5" i="8"/>
  <c r="AG7" i="8"/>
  <c r="V4" i="8"/>
  <c r="AG12" i="8"/>
  <c r="V7" i="8"/>
  <c r="AG5" i="8"/>
  <c r="V9" i="8"/>
  <c r="AG6" i="8"/>
  <c r="V12" i="8"/>
  <c r="AG9" i="8"/>
  <c r="AG2" i="8"/>
  <c r="V10" i="8"/>
  <c r="AG11" i="8"/>
  <c r="AG4" i="8"/>
  <c r="V8" i="8"/>
  <c r="V2" i="8"/>
  <c r="AG10" i="8"/>
  <c r="V11" i="8"/>
  <c r="AG8" i="8"/>
  <c r="V3" i="8"/>
  <c r="AG3" i="8"/>
  <c r="DA18" i="2"/>
  <c r="CZ18" i="2"/>
  <c r="DA14" i="2"/>
  <c r="CZ14" i="2"/>
  <c r="CZ16" i="2"/>
  <c r="DA16" i="2"/>
  <c r="V16" i="8"/>
  <c r="AG21" i="8"/>
  <c r="V21" i="8"/>
  <c r="FB21" i="2"/>
  <c r="FC21" i="2"/>
  <c r="CZ21" i="2"/>
  <c r="DA21" i="2"/>
  <c r="DA17" i="2"/>
  <c r="CZ17" i="2"/>
  <c r="CZ13" i="2"/>
  <c r="V13" i="8"/>
  <c r="CZ20" i="2"/>
  <c r="DA20" i="2"/>
  <c r="V20" i="8"/>
  <c r="FB19" i="2"/>
  <c r="DA19" i="2"/>
  <c r="CZ19" i="2"/>
  <c r="V19" i="8"/>
  <c r="DA15" i="2"/>
  <c r="CZ15" i="2"/>
  <c r="FB20" i="2"/>
  <c r="FB15" i="2"/>
  <c r="FB18" i="2"/>
  <c r="FB14" i="2"/>
  <c r="FB16" i="2"/>
  <c r="FB17" i="2"/>
  <c r="FB13" i="2"/>
  <c r="DR13" i="2"/>
  <c r="DP13" i="2"/>
  <c r="DP17" i="2"/>
  <c r="DR17" i="2"/>
  <c r="DP21" i="2"/>
  <c r="DR21" i="2"/>
  <c r="DR16" i="2"/>
  <c r="DP16" i="2"/>
  <c r="DR18" i="2"/>
  <c r="DP18" i="2"/>
  <c r="DP15" i="2"/>
  <c r="DR15" i="2"/>
  <c r="DR20" i="2"/>
  <c r="DP20" i="2"/>
  <c r="DP19" i="2"/>
  <c r="DR19" i="2"/>
  <c r="AG20" i="8"/>
  <c r="AG16" i="8"/>
  <c r="AG14" i="8"/>
  <c r="V15" i="8"/>
  <c r="AG13" i="8"/>
  <c r="V17" i="8"/>
  <c r="V14" i="8"/>
  <c r="AG18" i="8"/>
  <c r="AG15" i="8"/>
  <c r="AG19" i="8"/>
  <c r="AG17" i="8"/>
  <c r="V18" i="8"/>
  <c r="D21" i="10"/>
  <c r="D15" i="10"/>
  <c r="D19" i="10"/>
  <c r="D17" i="10"/>
  <c r="D18" i="10"/>
  <c r="K5" i="5"/>
  <c r="AI25" i="8"/>
  <c r="CQ25" i="2"/>
  <c r="AH50" i="8"/>
  <c r="A11" i="9"/>
  <c r="EX6" i="2"/>
  <c r="DL1" i="2"/>
  <c r="AO1" i="2"/>
  <c r="GV10" i="2"/>
  <c r="GE1" i="2"/>
  <c r="GD1" i="2"/>
  <c r="H38" i="8"/>
  <c r="H37" i="8"/>
  <c r="H30" i="8"/>
  <c r="H29" i="8"/>
  <c r="AW1" i="2"/>
  <c r="EX7" i="2"/>
  <c r="EX5" i="2"/>
  <c r="EX4" i="2"/>
  <c r="EX3" i="2"/>
  <c r="EX2" i="2"/>
  <c r="A33" i="5"/>
  <c r="A34" i="5"/>
  <c r="EX9" i="2"/>
  <c r="EX10" i="2"/>
  <c r="BL10" i="2"/>
  <c r="BL9" i="2"/>
  <c r="H1" i="9"/>
  <c r="DC1" i="2"/>
  <c r="F24" i="2"/>
  <c r="F22" i="2"/>
  <c r="F21" i="2"/>
  <c r="F20" i="2"/>
  <c r="F19" i="2"/>
  <c r="F18" i="2"/>
  <c r="F17" i="2"/>
  <c r="F16" i="2"/>
  <c r="F15" i="2"/>
  <c r="AI22" i="8"/>
  <c r="AI20" i="8"/>
  <c r="AH19" i="8"/>
  <c r="AH18" i="8"/>
  <c r="AH17" i="8"/>
  <c r="AI28" i="8"/>
  <c r="AI19" i="8"/>
  <c r="AI18" i="8"/>
  <c r="AI16" i="8"/>
  <c r="AH30" i="8"/>
  <c r="AI30" i="8"/>
  <c r="AH26" i="8"/>
  <c r="AI26" i="8"/>
  <c r="AI32" i="8"/>
  <c r="AH28" i="8"/>
  <c r="AH16" i="8"/>
  <c r="AH15" i="8"/>
  <c r="AI12" i="8"/>
  <c r="AI11" i="8"/>
  <c r="AI9" i="8"/>
  <c r="AI29" i="8"/>
  <c r="AI34" i="8"/>
  <c r="AI15" i="8"/>
  <c r="AI24" i="8"/>
  <c r="AN21" i="2"/>
  <c r="CF21" i="2"/>
  <c r="AI21" i="8"/>
  <c r="X21" i="2"/>
  <c r="F21" i="8"/>
  <c r="IC21" i="2"/>
  <c r="W21" i="2"/>
  <c r="AH24" i="8"/>
  <c r="AH21" i="8"/>
  <c r="ID21" i="2"/>
  <c r="AI7" i="8"/>
  <c r="AI5" i="8"/>
  <c r="AI4" i="8"/>
  <c r="AI3" i="8"/>
  <c r="AI8" i="8"/>
  <c r="AI17" i="8"/>
  <c r="AH3" i="8"/>
  <c r="AI41" i="8"/>
  <c r="ID33" i="2"/>
  <c r="AI33" i="8"/>
  <c r="IC43" i="2"/>
  <c r="AI39" i="8"/>
  <c r="AI31" i="8"/>
  <c r="AI23" i="8"/>
  <c r="AI47" i="8"/>
  <c r="AI46" i="8"/>
  <c r="AI45" i="8"/>
  <c r="AI44" i="8"/>
  <c r="DA48" i="2"/>
  <c r="CZ48" i="2"/>
  <c r="AG48" i="8"/>
  <c r="DA44" i="2"/>
  <c r="V44" i="8"/>
  <c r="AG44" i="8"/>
  <c r="CZ44" i="2"/>
  <c r="DA40" i="2"/>
  <c r="CZ40" i="2"/>
  <c r="DA36" i="2"/>
  <c r="CZ36" i="2"/>
  <c r="DA32" i="2"/>
  <c r="CZ32" i="2"/>
  <c r="AG32" i="8"/>
  <c r="DA28" i="2"/>
  <c r="CZ28" i="2"/>
  <c r="AG28" i="8"/>
  <c r="V28" i="8"/>
  <c r="DA24" i="2"/>
  <c r="CZ24" i="2"/>
  <c r="CZ51" i="2"/>
  <c r="DA51" i="2"/>
  <c r="V51" i="8"/>
  <c r="AG51" i="8"/>
  <c r="CZ43" i="2"/>
  <c r="DA43" i="2"/>
  <c r="V43" i="8"/>
  <c r="AG43" i="8"/>
  <c r="CZ35" i="2"/>
  <c r="DA35" i="2"/>
  <c r="CZ31" i="2"/>
  <c r="DA31" i="2"/>
  <c r="AG31" i="8"/>
  <c r="CZ23" i="2"/>
  <c r="DA23" i="2"/>
  <c r="V23" i="8"/>
  <c r="AG23" i="8"/>
  <c r="CZ47" i="2"/>
  <c r="DA47" i="2"/>
  <c r="V47" i="8"/>
  <c r="CZ39" i="2"/>
  <c r="DA39" i="2"/>
  <c r="V39" i="8"/>
  <c r="AG39" i="8"/>
  <c r="CZ27" i="2"/>
  <c r="DA27" i="2"/>
  <c r="V27" i="8"/>
  <c r="AH43" i="8"/>
  <c r="AH31" i="8"/>
  <c r="ID27" i="2"/>
  <c r="ID23" i="2"/>
  <c r="DA50" i="2"/>
  <c r="CZ50" i="2"/>
  <c r="V50" i="8"/>
  <c r="DA46" i="2"/>
  <c r="CZ46" i="2"/>
  <c r="V46" i="8"/>
  <c r="DA42" i="2"/>
  <c r="CZ42" i="2"/>
  <c r="V42" i="8"/>
  <c r="AG42" i="8"/>
  <c r="DA38" i="2"/>
  <c r="CZ38" i="2"/>
  <c r="DA34" i="2"/>
  <c r="AG34" i="8"/>
  <c r="V34" i="8"/>
  <c r="DA30" i="2"/>
  <c r="CZ30" i="2"/>
  <c r="AG30" i="8"/>
  <c r="DA26" i="2"/>
  <c r="CZ26" i="2"/>
  <c r="V26" i="8"/>
  <c r="AG26" i="8"/>
  <c r="DA22" i="2"/>
  <c r="AJ48" i="2"/>
  <c r="AH27" i="8"/>
  <c r="AH25" i="8"/>
  <c r="FB49" i="2"/>
  <c r="DA49" i="2"/>
  <c r="CZ49" i="2"/>
  <c r="DA45" i="2"/>
  <c r="CZ45" i="2"/>
  <c r="AG45" i="8"/>
  <c r="V45" i="8"/>
  <c r="FB41" i="2"/>
  <c r="DA41" i="2"/>
  <c r="CZ41" i="2"/>
  <c r="AG41" i="8"/>
  <c r="V41" i="8"/>
  <c r="DA37" i="2"/>
  <c r="CZ37" i="2"/>
  <c r="V37" i="8"/>
  <c r="DA33" i="2"/>
  <c r="CZ33" i="2"/>
  <c r="DA29" i="2"/>
  <c r="CZ29" i="2"/>
  <c r="AG29" i="8"/>
  <c r="V29" i="8"/>
  <c r="FB25" i="2"/>
  <c r="DA25" i="2"/>
  <c r="CZ25" i="2"/>
  <c r="AG25" i="8"/>
  <c r="V25" i="8"/>
  <c r="AJ110" i="2"/>
  <c r="AI43" i="8"/>
  <c r="AI42" i="8"/>
  <c r="ID51" i="2"/>
  <c r="AH51" i="8"/>
  <c r="AI51" i="8"/>
  <c r="AI50" i="8"/>
  <c r="AI49" i="8"/>
  <c r="ID34" i="2"/>
  <c r="AH34" i="8"/>
  <c r="ID32" i="2"/>
  <c r="AH32" i="8"/>
  <c r="ID22" i="2"/>
  <c r="AH22" i="8"/>
  <c r="ID20" i="2"/>
  <c r="AH20" i="8"/>
  <c r="AI40" i="8"/>
  <c r="AI38" i="8"/>
  <c r="AI37" i="8"/>
  <c r="AI36" i="8"/>
  <c r="ID49" i="2"/>
  <c r="AH49" i="8"/>
  <c r="ID12" i="2"/>
  <c r="AH12" i="8"/>
  <c r="ID11" i="2"/>
  <c r="AH11" i="8"/>
  <c r="ID9" i="2"/>
  <c r="AH9" i="8"/>
  <c r="ID8" i="2"/>
  <c r="AH8" i="8"/>
  <c r="ID7" i="2"/>
  <c r="AH7" i="8"/>
  <c r="ID5" i="2"/>
  <c r="AH5" i="8"/>
  <c r="ID4" i="2"/>
  <c r="AH4" i="8"/>
  <c r="AH47" i="8"/>
  <c r="AH46" i="8"/>
  <c r="AH45" i="8"/>
  <c r="AH44" i="8"/>
  <c r="AH42" i="8"/>
  <c r="AH41" i="8"/>
  <c r="AH40" i="8"/>
  <c r="AH39" i="8"/>
  <c r="AH38" i="8"/>
  <c r="AH37" i="8"/>
  <c r="AH36" i="8"/>
  <c r="CQ22" i="2"/>
  <c r="ID3" i="2"/>
  <c r="IC51" i="2"/>
  <c r="W51" i="2"/>
  <c r="X51" i="2"/>
  <c r="AN51" i="2"/>
  <c r="CE51" i="2"/>
  <c r="IC50" i="2"/>
  <c r="X50" i="2"/>
  <c r="W50" i="2"/>
  <c r="AN50" i="2"/>
  <c r="CE50" i="2"/>
  <c r="IC49" i="2"/>
  <c r="W49" i="2"/>
  <c r="X49" i="2"/>
  <c r="AN49" i="2"/>
  <c r="CF49" i="2"/>
  <c r="ID30" i="2"/>
  <c r="ID28" i="2"/>
  <c r="CQ26" i="2"/>
  <c r="ID26" i="2"/>
  <c r="ID25" i="2"/>
  <c r="ID24" i="2"/>
  <c r="ID19" i="2"/>
  <c r="ID18" i="2"/>
  <c r="ID17" i="2"/>
  <c r="ID16" i="2"/>
  <c r="ID15" i="2"/>
  <c r="IC12" i="2"/>
  <c r="W12" i="2"/>
  <c r="X12" i="2"/>
  <c r="IC11" i="2"/>
  <c r="X11" i="2"/>
  <c r="W11" i="2"/>
  <c r="IC9" i="2"/>
  <c r="X9" i="2"/>
  <c r="W9" i="2"/>
  <c r="IC8" i="2"/>
  <c r="W8" i="2"/>
  <c r="X8" i="2"/>
  <c r="IC7" i="2"/>
  <c r="X7" i="2"/>
  <c r="W7" i="2"/>
  <c r="IC5" i="2"/>
  <c r="X5" i="2"/>
  <c r="W5" i="2"/>
  <c r="IC4" i="2"/>
  <c r="W4" i="2"/>
  <c r="X4" i="2"/>
  <c r="IC3" i="2"/>
  <c r="X3" i="2"/>
  <c r="W3" i="2"/>
  <c r="IC47" i="2"/>
  <c r="W47" i="2"/>
  <c r="X47" i="2"/>
  <c r="AN47" i="2"/>
  <c r="CE47" i="2"/>
  <c r="IC46" i="2"/>
  <c r="X46" i="2"/>
  <c r="W46" i="2"/>
  <c r="AN46" i="2"/>
  <c r="CF46" i="2"/>
  <c r="IC45" i="2"/>
  <c r="W45" i="2"/>
  <c r="X45" i="2"/>
  <c r="AN45" i="2"/>
  <c r="CF45" i="2"/>
  <c r="IC44" i="2"/>
  <c r="X44" i="2"/>
  <c r="W44" i="2"/>
  <c r="AN44" i="2"/>
  <c r="CE44" i="2"/>
  <c r="W43" i="2"/>
  <c r="AN43" i="2"/>
  <c r="CF43" i="2"/>
  <c r="IC42" i="2"/>
  <c r="X42" i="2"/>
  <c r="W42" i="2"/>
  <c r="AN42" i="2"/>
  <c r="CF42" i="2"/>
  <c r="W41" i="2"/>
  <c r="AN41" i="2"/>
  <c r="CF41" i="2"/>
  <c r="IC40" i="2"/>
  <c r="X40" i="2"/>
  <c r="W40" i="2"/>
  <c r="AN40" i="2"/>
  <c r="CF40" i="2"/>
  <c r="W39" i="2"/>
  <c r="AN39" i="2"/>
  <c r="CF39" i="2"/>
  <c r="IC38" i="2"/>
  <c r="X38" i="2"/>
  <c r="W38" i="2"/>
  <c r="AN38" i="2"/>
  <c r="CE38" i="2"/>
  <c r="IC37" i="2"/>
  <c r="W37" i="2"/>
  <c r="X37" i="2"/>
  <c r="AN37" i="2"/>
  <c r="CF37" i="2"/>
  <c r="IC36" i="2"/>
  <c r="X36" i="2"/>
  <c r="F36" i="8"/>
  <c r="W36" i="2"/>
  <c r="AN36" i="2"/>
  <c r="CF36" i="2"/>
  <c r="CQ50" i="2"/>
  <c r="ID50" i="2"/>
  <c r="IC34" i="2"/>
  <c r="X34" i="2"/>
  <c r="F34" i="8"/>
  <c r="W34" i="2"/>
  <c r="AN34" i="2"/>
  <c r="CF34" i="2"/>
  <c r="IC32" i="2"/>
  <c r="X32" i="2"/>
  <c r="F32" i="8"/>
  <c r="W32" i="2"/>
  <c r="AN32" i="2"/>
  <c r="CF32" i="2"/>
  <c r="IC30" i="2"/>
  <c r="X30" i="2"/>
  <c r="F30" i="8"/>
  <c r="W30" i="2"/>
  <c r="AN30" i="2"/>
  <c r="CE30" i="2"/>
  <c r="IC29" i="2"/>
  <c r="IC28" i="2"/>
  <c r="X28" i="2"/>
  <c r="F28" i="8"/>
  <c r="W28" i="2"/>
  <c r="AN28" i="2"/>
  <c r="CE28" i="2"/>
  <c r="IC26" i="2"/>
  <c r="X26" i="2"/>
  <c r="F26" i="8"/>
  <c r="W26" i="2"/>
  <c r="AN26" i="2"/>
  <c r="CE26" i="2"/>
  <c r="IC25" i="2"/>
  <c r="W25" i="2"/>
  <c r="X25" i="2"/>
  <c r="AN25" i="2"/>
  <c r="CE25" i="2"/>
  <c r="IC24" i="2"/>
  <c r="X24" i="2"/>
  <c r="F24" i="8"/>
  <c r="W24" i="2"/>
  <c r="AN24" i="2"/>
  <c r="CF24" i="2"/>
  <c r="IC22" i="2"/>
  <c r="X22" i="2"/>
  <c r="F22" i="8"/>
  <c r="W22" i="2"/>
  <c r="AN22" i="2"/>
  <c r="CE22" i="2"/>
  <c r="IC20" i="2"/>
  <c r="W20" i="2"/>
  <c r="X20" i="2"/>
  <c r="F20" i="8"/>
  <c r="AN20" i="2"/>
  <c r="CF20" i="2"/>
  <c r="IC19" i="2"/>
  <c r="X19" i="2"/>
  <c r="F19" i="8"/>
  <c r="W19" i="2"/>
  <c r="AN19" i="2"/>
  <c r="CF19" i="2"/>
  <c r="IC18" i="2"/>
  <c r="W18" i="2"/>
  <c r="X18" i="2"/>
  <c r="F18" i="8"/>
  <c r="AN18" i="2"/>
  <c r="CF18" i="2"/>
  <c r="IC17" i="2"/>
  <c r="X17" i="2"/>
  <c r="F17" i="8"/>
  <c r="W17" i="2"/>
  <c r="AN17" i="2"/>
  <c r="CF17" i="2"/>
  <c r="IC16" i="2"/>
  <c r="W16" i="2"/>
  <c r="X16" i="2"/>
  <c r="F16" i="8"/>
  <c r="AN16" i="2"/>
  <c r="CE16" i="2"/>
  <c r="IC15" i="2"/>
  <c r="X15" i="2"/>
  <c r="F15" i="8"/>
  <c r="W15" i="2"/>
  <c r="AN15" i="2"/>
  <c r="CF15" i="2"/>
  <c r="ID47" i="2"/>
  <c r="CQ46" i="2"/>
  <c r="ID46" i="2"/>
  <c r="ID45" i="2"/>
  <c r="ID44" i="2"/>
  <c r="ID43" i="2"/>
  <c r="ID42" i="2"/>
  <c r="ID41" i="2"/>
  <c r="ID40" i="2"/>
  <c r="ID39" i="2"/>
  <c r="ID38" i="2"/>
  <c r="ID37" i="2"/>
  <c r="ID36" i="2"/>
  <c r="CQ47" i="2"/>
  <c r="CQ42" i="2"/>
  <c r="D17" i="8"/>
  <c r="AT17" i="8"/>
  <c r="BE17" i="8"/>
  <c r="CQ51" i="2"/>
  <c r="BU32" i="2"/>
  <c r="AT18" i="8"/>
  <c r="D18" i="8"/>
  <c r="BE18" i="8"/>
  <c r="CQ30" i="2"/>
  <c r="CQ38" i="2"/>
  <c r="CQ34" i="2"/>
  <c r="CQ37" i="2"/>
  <c r="CQ44" i="2"/>
  <c r="CQ39" i="2"/>
  <c r="CQ24" i="2"/>
  <c r="CQ32" i="2"/>
  <c r="CQ28" i="2"/>
  <c r="CQ19" i="2"/>
  <c r="D19" i="8"/>
  <c r="AT19" i="8"/>
  <c r="BE19" i="8"/>
  <c r="BE21" i="8"/>
  <c r="D21" i="8"/>
  <c r="AT21" i="8"/>
  <c r="FB48" i="2"/>
  <c r="D44" i="8"/>
  <c r="AT44" i="8"/>
  <c r="BE44" i="8"/>
  <c r="FB44" i="2"/>
  <c r="D44" i="10"/>
  <c r="FB40" i="2"/>
  <c r="D36" i="8"/>
  <c r="AT36" i="8"/>
  <c r="BE36" i="8"/>
  <c r="FB36" i="2"/>
  <c r="D36" i="10"/>
  <c r="FB33" i="2"/>
  <c r="FB29" i="2"/>
  <c r="D25" i="8"/>
  <c r="AT25" i="8"/>
  <c r="BE25" i="8"/>
  <c r="D25" i="10"/>
  <c r="AT15" i="8"/>
  <c r="BE15" i="8"/>
  <c r="D15" i="8"/>
  <c r="D51" i="8"/>
  <c r="AT51" i="8"/>
  <c r="BE51" i="8"/>
  <c r="FB51" i="2"/>
  <c r="D51" i="10"/>
  <c r="D47" i="8"/>
  <c r="AT47" i="8"/>
  <c r="BE47" i="8"/>
  <c r="FB47" i="2"/>
  <c r="D47" i="10"/>
  <c r="D43" i="8"/>
  <c r="AT43" i="8"/>
  <c r="BE43" i="8"/>
  <c r="FB43" i="2"/>
  <c r="D43" i="10"/>
  <c r="D39" i="8"/>
  <c r="AT39" i="8"/>
  <c r="BE39" i="8"/>
  <c r="FB39" i="2"/>
  <c r="D39" i="10"/>
  <c r="FB35" i="2"/>
  <c r="D32" i="8"/>
  <c r="AT32" i="8"/>
  <c r="BE32" i="8"/>
  <c r="FB32" i="2"/>
  <c r="D32" i="10"/>
  <c r="D28" i="8"/>
  <c r="AT28" i="8"/>
  <c r="BE28" i="8"/>
  <c r="FB28" i="2"/>
  <c r="D28" i="10"/>
  <c r="FB24" i="2"/>
  <c r="D50" i="8"/>
  <c r="AT50" i="8"/>
  <c r="BE50" i="8"/>
  <c r="FB50" i="2"/>
  <c r="D50" i="10"/>
  <c r="D46" i="8"/>
  <c r="AT46" i="8"/>
  <c r="BE46" i="8"/>
  <c r="FB46" i="2"/>
  <c r="D46" i="10"/>
  <c r="D42" i="8"/>
  <c r="AT42" i="8"/>
  <c r="BE42" i="8"/>
  <c r="FB42" i="2"/>
  <c r="D42" i="10"/>
  <c r="D38" i="8"/>
  <c r="AT38" i="8"/>
  <c r="BE38" i="8"/>
  <c r="FB38" i="2"/>
  <c r="D38" i="10"/>
  <c r="FB31" i="2"/>
  <c r="D27" i="8"/>
  <c r="AT27" i="8"/>
  <c r="BE27" i="8"/>
  <c r="FB27" i="2"/>
  <c r="D27" i="10"/>
  <c r="FB23" i="2"/>
  <c r="FB45" i="2"/>
  <c r="D37" i="8"/>
  <c r="AT37" i="8"/>
  <c r="FB37" i="2"/>
  <c r="D34" i="8"/>
  <c r="AT34" i="8"/>
  <c r="BE34" i="8"/>
  <c r="FB34" i="2"/>
  <c r="D34" i="10"/>
  <c r="D30" i="8"/>
  <c r="AT30" i="8"/>
  <c r="BE30" i="8"/>
  <c r="FB30" i="2"/>
  <c r="D30" i="10"/>
  <c r="D26" i="8"/>
  <c r="AT26" i="8"/>
  <c r="BE26" i="8"/>
  <c r="D26" i="10"/>
  <c r="FB26" i="2"/>
  <c r="D22" i="8"/>
  <c r="AT22" i="8"/>
  <c r="BE22" i="8"/>
  <c r="D22" i="10"/>
  <c r="FB22" i="2"/>
  <c r="BE11" i="8"/>
  <c r="D11" i="8"/>
  <c r="AT11" i="8"/>
  <c r="BE9" i="8"/>
  <c r="D9" i="8"/>
  <c r="AT9" i="8"/>
  <c r="BE2" i="8"/>
  <c r="D2" i="8"/>
  <c r="AT2" i="8"/>
  <c r="BE5" i="8"/>
  <c r="D5" i="8"/>
  <c r="AT5" i="8"/>
  <c r="BE7" i="8"/>
  <c r="D7" i="8"/>
  <c r="AT7" i="8"/>
  <c r="D9" i="10"/>
  <c r="D5" i="10"/>
  <c r="D2" i="10"/>
  <c r="D11" i="10"/>
  <c r="D7" i="10"/>
  <c r="CQ18" i="2"/>
  <c r="CQ16" i="2"/>
  <c r="D48" i="10"/>
  <c r="BU15" i="2"/>
  <c r="CQ21" i="2"/>
  <c r="CQ20" i="2"/>
  <c r="CQ15" i="2"/>
  <c r="CQ45" i="2"/>
  <c r="BU20" i="2"/>
  <c r="CQ17" i="2"/>
  <c r="BU19" i="2"/>
  <c r="CQ3" i="2"/>
  <c r="D14" i="10"/>
  <c r="ID13" i="2"/>
  <c r="CQ11" i="2"/>
  <c r="CQ9" i="2"/>
  <c r="CQ8" i="2"/>
  <c r="CQ7" i="2"/>
  <c r="CQ5" i="2"/>
  <c r="CQ4" i="2"/>
  <c r="GV17" i="2"/>
  <c r="HH1" i="2"/>
  <c r="BU8" i="2"/>
  <c r="CQ12" i="2"/>
  <c r="CQ40" i="2"/>
  <c r="D40" i="10"/>
  <c r="BU36" i="2"/>
  <c r="BE29" i="8"/>
  <c r="CQ36" i="2"/>
  <c r="CQ49" i="2"/>
  <c r="D33" i="10"/>
  <c r="D13" i="10"/>
  <c r="CQ41" i="2"/>
  <c r="A2" i="1"/>
  <c r="ID2" i="2"/>
  <c r="AI35" i="8"/>
  <c r="D20" i="10"/>
  <c r="Y3" i="2"/>
  <c r="Z3" i="2"/>
  <c r="Y5" i="2"/>
  <c r="Z5" i="2"/>
  <c r="Z7" i="2"/>
  <c r="Y7" i="2"/>
  <c r="Z9" i="2"/>
  <c r="Y9" i="2"/>
  <c r="Z11" i="2"/>
  <c r="Y11" i="2"/>
  <c r="Y4" i="2"/>
  <c r="Z4" i="2"/>
  <c r="Z8" i="2"/>
  <c r="Y8" i="2"/>
  <c r="Z12" i="2"/>
  <c r="Y12" i="2"/>
  <c r="BU12" i="2"/>
  <c r="BU9" i="2"/>
  <c r="AI13" i="8"/>
  <c r="BU4" i="2"/>
  <c r="DP25" i="2"/>
  <c r="DR25" i="2"/>
  <c r="DR22" i="2"/>
  <c r="DP22" i="2"/>
  <c r="DP23" i="2"/>
  <c r="DR23" i="2"/>
  <c r="DR24" i="2"/>
  <c r="DP24" i="2"/>
  <c r="F14" i="2"/>
  <c r="DP114" i="2"/>
  <c r="DR114" i="2"/>
  <c r="DP105" i="2"/>
  <c r="DR105" i="2"/>
  <c r="DP107" i="2"/>
  <c r="DR107" i="2"/>
  <c r="DP109" i="2"/>
  <c r="DR109" i="2"/>
  <c r="DP110" i="2"/>
  <c r="DR110" i="2"/>
  <c r="DP26" i="2"/>
  <c r="DR26" i="2"/>
  <c r="DP30" i="2"/>
  <c r="DR30" i="2"/>
  <c r="DP34" i="2"/>
  <c r="DR34" i="2"/>
  <c r="DP37" i="2"/>
  <c r="DR37" i="2"/>
  <c r="DP41" i="2"/>
  <c r="DR41" i="2"/>
  <c r="DP27" i="2"/>
  <c r="DR27" i="2"/>
  <c r="DP31" i="2"/>
  <c r="DR31" i="2"/>
  <c r="DP38" i="2"/>
  <c r="DR38" i="2"/>
  <c r="DP42" i="2"/>
  <c r="DR42" i="2"/>
  <c r="DP46" i="2"/>
  <c r="DR46" i="2"/>
  <c r="DP50" i="2"/>
  <c r="DR50" i="2"/>
  <c r="DP28" i="2"/>
  <c r="DR28" i="2"/>
  <c r="DP32" i="2"/>
  <c r="DR32" i="2"/>
  <c r="DP35" i="2"/>
  <c r="DR35" i="2"/>
  <c r="DP39" i="2"/>
  <c r="DR39" i="2"/>
  <c r="DP43" i="2"/>
  <c r="DR43" i="2"/>
  <c r="DP47" i="2"/>
  <c r="DR47" i="2"/>
  <c r="DP51" i="2"/>
  <c r="DR51" i="2"/>
  <c r="DP29" i="2"/>
  <c r="DR29" i="2"/>
  <c r="DP33" i="2"/>
  <c r="DR33" i="2"/>
  <c r="DP36" i="2"/>
  <c r="DR36" i="2"/>
  <c r="DP40" i="2"/>
  <c r="DR40" i="2"/>
  <c r="DP44" i="2"/>
  <c r="DR44" i="2"/>
  <c r="DP48" i="2"/>
  <c r="DR48" i="2"/>
  <c r="DP52" i="2"/>
  <c r="DR52" i="2"/>
  <c r="F23" i="2"/>
  <c r="DP112" i="2"/>
  <c r="DR112" i="2"/>
  <c r="DP115" i="2"/>
  <c r="DR115" i="2"/>
  <c r="DP113" i="2"/>
  <c r="DR113" i="2"/>
  <c r="DP106" i="2"/>
  <c r="DR106" i="2"/>
  <c r="DP108" i="2"/>
  <c r="DR108" i="2"/>
  <c r="DP111" i="2"/>
  <c r="DR111" i="2"/>
  <c r="DP45" i="2"/>
  <c r="DR45" i="2"/>
  <c r="DP49" i="2"/>
  <c r="DR49" i="2"/>
  <c r="DP53" i="2"/>
  <c r="DR53" i="2"/>
  <c r="BU34" i="2"/>
  <c r="BU3" i="2"/>
  <c r="BU7" i="2"/>
  <c r="BU11" i="2"/>
  <c r="BU5" i="2"/>
  <c r="BU22" i="2"/>
  <c r="BU18" i="2"/>
  <c r="BU16" i="2"/>
  <c r="BU24" i="2"/>
  <c r="BU28" i="2"/>
  <c r="BU21" i="2"/>
  <c r="BU17" i="2"/>
  <c r="BT26" i="2"/>
  <c r="BU26" i="2"/>
  <c r="BU30" i="2"/>
  <c r="BT22" i="2"/>
  <c r="BT18" i="2"/>
  <c r="BT16" i="2"/>
  <c r="BT24" i="2"/>
  <c r="BT17" i="2"/>
  <c r="BS28" i="2"/>
  <c r="BT28" i="2"/>
  <c r="BT30" i="2"/>
  <c r="BS3" i="2"/>
  <c r="BT3" i="2"/>
  <c r="BS7" i="2"/>
  <c r="BT7" i="2"/>
  <c r="BS11" i="2"/>
  <c r="BT11" i="2"/>
  <c r="BS5" i="2"/>
  <c r="BT5" i="2"/>
  <c r="BS4" i="2"/>
  <c r="BT4" i="2"/>
  <c r="BS9" i="2"/>
  <c r="BT9" i="2"/>
  <c r="BS12" i="2"/>
  <c r="BT12" i="2"/>
  <c r="BS36" i="2"/>
  <c r="BT36" i="2"/>
  <c r="BS8" i="2"/>
  <c r="BT8" i="2"/>
  <c r="BS19" i="2"/>
  <c r="BT19" i="2"/>
  <c r="BS20" i="2"/>
  <c r="BT20" i="2"/>
  <c r="BS21" i="2"/>
  <c r="BT21" i="2"/>
  <c r="BS15" i="2"/>
  <c r="BT15" i="2"/>
  <c r="BT34" i="2"/>
  <c r="BT32" i="2"/>
  <c r="AN31" i="2"/>
  <c r="CF31" i="2"/>
  <c r="CH31" i="2"/>
  <c r="R31" i="2"/>
  <c r="X27" i="2"/>
  <c r="F27" i="8"/>
  <c r="BR22" i="2"/>
  <c r="BS22" i="2"/>
  <c r="BR18" i="2"/>
  <c r="BS18" i="2"/>
  <c r="BR16" i="2"/>
  <c r="BS16" i="2"/>
  <c r="CQ27" i="2"/>
  <c r="BS34" i="2"/>
  <c r="BR32" i="2"/>
  <c r="BS32" i="2"/>
  <c r="BR26" i="2"/>
  <c r="BS26" i="2"/>
  <c r="BS30" i="2"/>
  <c r="IC33" i="2"/>
  <c r="BR24" i="2"/>
  <c r="BS24" i="2"/>
  <c r="BR17" i="2"/>
  <c r="BS17" i="2"/>
  <c r="BR34" i="2"/>
  <c r="BQ4" i="2"/>
  <c r="BR4" i="2"/>
  <c r="BQ9" i="2"/>
  <c r="BR9" i="2"/>
  <c r="BQ12" i="2"/>
  <c r="BR12" i="2"/>
  <c r="BQ3" i="2"/>
  <c r="BR3" i="2"/>
  <c r="BQ7" i="2"/>
  <c r="BR7" i="2"/>
  <c r="BQ11" i="2"/>
  <c r="BR11" i="2"/>
  <c r="BQ5" i="2"/>
  <c r="BR5" i="2"/>
  <c r="BR30" i="2"/>
  <c r="BQ36" i="2"/>
  <c r="BR36" i="2"/>
  <c r="BQ8" i="2"/>
  <c r="BR8" i="2"/>
  <c r="BQ19" i="2"/>
  <c r="BR19" i="2"/>
  <c r="BQ20" i="2"/>
  <c r="BR20" i="2"/>
  <c r="BQ21" i="2"/>
  <c r="BR21" i="2"/>
  <c r="BQ15" i="2"/>
  <c r="BR15" i="2"/>
  <c r="BQ28" i="2"/>
  <c r="BR28" i="2"/>
  <c r="BQ34" i="2"/>
  <c r="BP22" i="2"/>
  <c r="BQ22" i="2"/>
  <c r="BP18" i="2"/>
  <c r="BQ18" i="2"/>
  <c r="BP16" i="2"/>
  <c r="BQ16" i="2"/>
  <c r="BP32" i="2"/>
  <c r="BQ32" i="2"/>
  <c r="BP26" i="2"/>
  <c r="BQ26" i="2"/>
  <c r="BQ30" i="2"/>
  <c r="BP24" i="2"/>
  <c r="BQ24" i="2"/>
  <c r="BP17" i="2"/>
  <c r="BQ17" i="2"/>
  <c r="BP34" i="2"/>
  <c r="AH23" i="8"/>
  <c r="BP36" i="2"/>
  <c r="BP8" i="2"/>
  <c r="BP19" i="2"/>
  <c r="BP20" i="2"/>
  <c r="BP21" i="2"/>
  <c r="BP15" i="2"/>
  <c r="BP28" i="2"/>
  <c r="BP4" i="2"/>
  <c r="BP9" i="2"/>
  <c r="BP12" i="2"/>
  <c r="BP3" i="2"/>
  <c r="BP7" i="2"/>
  <c r="BP11" i="2"/>
  <c r="BP5" i="2"/>
  <c r="BP30" i="2"/>
  <c r="ID29" i="2"/>
  <c r="DG33" i="2"/>
  <c r="CQ29" i="2"/>
  <c r="DG29" i="2"/>
  <c r="CQ23" i="2"/>
  <c r="X29" i="2"/>
  <c r="F29" i="8"/>
  <c r="X33" i="2"/>
  <c r="F33" i="8"/>
  <c r="AH33" i="8"/>
  <c r="CQ33" i="2"/>
  <c r="W23" i="2"/>
  <c r="AN29" i="2"/>
  <c r="CE29" i="2"/>
  <c r="W29" i="2"/>
  <c r="AN33" i="2"/>
  <c r="CF33" i="2"/>
  <c r="W33" i="2"/>
  <c r="AH29" i="8"/>
  <c r="AI14" i="8"/>
  <c r="CQ43" i="2"/>
  <c r="X39" i="2"/>
  <c r="IC39" i="2"/>
  <c r="X41" i="2"/>
  <c r="IC41" i="2"/>
  <c r="X43" i="2"/>
  <c r="W27" i="2"/>
  <c r="X31" i="2"/>
  <c r="F31" i="8"/>
  <c r="CQ31" i="2"/>
  <c r="AN23" i="2"/>
  <c r="CE23" i="2"/>
  <c r="IC27" i="2"/>
  <c r="W31" i="2"/>
  <c r="ID31" i="2"/>
  <c r="X23" i="2"/>
  <c r="F23" i="8"/>
  <c r="AN27" i="2"/>
  <c r="CE27" i="2"/>
  <c r="IC31" i="2"/>
  <c r="AI27" i="8"/>
  <c r="BU27" i="2"/>
  <c r="IC23" i="2"/>
  <c r="CH21" i="2"/>
  <c r="R21" i="2"/>
  <c r="AC21" i="2"/>
  <c r="AO21" i="2"/>
  <c r="AE21" i="2"/>
  <c r="DG21" i="2"/>
  <c r="L21" i="2"/>
  <c r="DC21" i="2"/>
  <c r="CE21" i="2"/>
  <c r="AI10" i="8"/>
  <c r="AJ45" i="2"/>
  <c r="AJ108" i="2"/>
  <c r="AJ53" i="2"/>
  <c r="AJ49" i="2"/>
  <c r="AJ111" i="2"/>
  <c r="AK48" i="2"/>
  <c r="V30" i="8"/>
  <c r="CZ34" i="2"/>
  <c r="AG46" i="8"/>
  <c r="AG50" i="8"/>
  <c r="AG27" i="8"/>
  <c r="V31" i="8"/>
  <c r="AG35" i="8"/>
  <c r="AJ113" i="2"/>
  <c r="V32" i="8"/>
  <c r="V36" i="8"/>
  <c r="V48" i="8"/>
  <c r="D37" i="10"/>
  <c r="V33" i="8"/>
  <c r="AJ37" i="2"/>
  <c r="V49" i="8"/>
  <c r="AH10" i="8"/>
  <c r="BE37" i="8"/>
  <c r="CE17" i="2"/>
  <c r="AJ107" i="2"/>
  <c r="AJ25" i="2"/>
  <c r="AG33" i="8"/>
  <c r="AG37" i="8"/>
  <c r="AG49" i="8"/>
  <c r="AJ115" i="2"/>
  <c r="AG22" i="8"/>
  <c r="AG38" i="8"/>
  <c r="AJ47" i="2"/>
  <c r="V35" i="8"/>
  <c r="AJ51" i="2"/>
  <c r="V24" i="8"/>
  <c r="AG36" i="8"/>
  <c r="V40" i="8"/>
  <c r="AJ44" i="2"/>
  <c r="V22" i="8"/>
  <c r="V38" i="8"/>
  <c r="AJ46" i="2"/>
  <c r="AG47" i="8"/>
  <c r="AG24" i="8"/>
  <c r="AG40" i="8"/>
  <c r="CZ22" i="2"/>
  <c r="AJ109" i="2"/>
  <c r="AJ52" i="2"/>
  <c r="AJ106" i="2"/>
  <c r="AJ114" i="2"/>
  <c r="AJ50" i="2"/>
  <c r="AJ105" i="2"/>
  <c r="AJ112" i="2"/>
  <c r="AH35" i="8"/>
  <c r="AI6" i="8"/>
  <c r="CF29" i="2"/>
  <c r="CE39" i="2"/>
  <c r="AI48" i="8"/>
  <c r="CE24" i="2"/>
  <c r="CE32" i="2"/>
  <c r="CE46" i="2"/>
  <c r="CF51" i="2"/>
  <c r="AH13" i="8"/>
  <c r="CF26" i="2"/>
  <c r="R4" i="2"/>
  <c r="ID14" i="2"/>
  <c r="AH14" i="8"/>
  <c r="ID48" i="2"/>
  <c r="AH48" i="8"/>
  <c r="ID6" i="2"/>
  <c r="AH6" i="8"/>
  <c r="CE15" i="2"/>
  <c r="CE40" i="2"/>
  <c r="CF16" i="2"/>
  <c r="CH16" i="2"/>
  <c r="R16" i="2"/>
  <c r="CF25" i="2"/>
  <c r="Q25" i="2"/>
  <c r="CE31" i="2"/>
  <c r="Q31" i="2"/>
  <c r="CE37" i="2"/>
  <c r="CE43" i="2"/>
  <c r="CF47" i="2"/>
  <c r="Q47" i="2"/>
  <c r="CE18" i="2"/>
  <c r="CF38" i="2"/>
  <c r="CE45" i="2"/>
  <c r="CE49" i="2"/>
  <c r="CH45" i="2"/>
  <c r="R45" i="2"/>
  <c r="R5" i="2"/>
  <c r="R7" i="2"/>
  <c r="CH49" i="2"/>
  <c r="R49" i="2"/>
  <c r="CH20" i="2"/>
  <c r="R20" i="2"/>
  <c r="CH40" i="2"/>
  <c r="R40" i="2"/>
  <c r="R9" i="2"/>
  <c r="CH17" i="2"/>
  <c r="R17" i="2"/>
  <c r="CH32" i="2"/>
  <c r="R32" i="2"/>
  <c r="CH36" i="2"/>
  <c r="R36" i="2"/>
  <c r="CH37" i="2"/>
  <c r="R37" i="2"/>
  <c r="CH41" i="2"/>
  <c r="R41" i="2"/>
  <c r="CH42" i="2"/>
  <c r="R42" i="2"/>
  <c r="CH43" i="2"/>
  <c r="R43" i="2"/>
  <c r="CH18" i="2"/>
  <c r="R18" i="2"/>
  <c r="CH19" i="2"/>
  <c r="R19" i="2"/>
  <c r="CH24" i="2"/>
  <c r="R24" i="2"/>
  <c r="CH34" i="2"/>
  <c r="R34" i="2"/>
  <c r="CH39" i="2"/>
  <c r="R39" i="2"/>
  <c r="Q43" i="2"/>
  <c r="CH46" i="2"/>
  <c r="R46" i="2"/>
  <c r="Q51" i="2"/>
  <c r="AC9" i="2"/>
  <c r="AE9" i="2"/>
  <c r="DG9" i="2"/>
  <c r="ID35" i="2"/>
  <c r="AE33" i="2"/>
  <c r="AE8" i="2"/>
  <c r="DG8" i="2"/>
  <c r="AC8" i="2"/>
  <c r="ID10" i="2"/>
  <c r="IC13" i="2"/>
  <c r="X13" i="2"/>
  <c r="W13" i="2"/>
  <c r="IC14" i="2"/>
  <c r="W14" i="2"/>
  <c r="X14" i="2"/>
  <c r="F14" i="8"/>
  <c r="AN14" i="2"/>
  <c r="AE22" i="2"/>
  <c r="AC22" i="2"/>
  <c r="AO22" i="2"/>
  <c r="DG22" i="2"/>
  <c r="L22" i="2"/>
  <c r="DC22" i="2"/>
  <c r="AC20" i="2"/>
  <c r="AO20" i="2"/>
  <c r="L20" i="2"/>
  <c r="DC20" i="2"/>
  <c r="DG20" i="2"/>
  <c r="AE20" i="2"/>
  <c r="IC48" i="2"/>
  <c r="X48" i="2"/>
  <c r="W48" i="2"/>
  <c r="AN48" i="2"/>
  <c r="CF48" i="2"/>
  <c r="AE15" i="2"/>
  <c r="DG15" i="2"/>
  <c r="AC15" i="2"/>
  <c r="AO15" i="2"/>
  <c r="L15" i="2"/>
  <c r="DC15" i="2"/>
  <c r="L50" i="2"/>
  <c r="AC50" i="2"/>
  <c r="AE50" i="2"/>
  <c r="AE49" i="2"/>
  <c r="AC49" i="2"/>
  <c r="L49" i="2"/>
  <c r="AE34" i="2"/>
  <c r="L34" i="2"/>
  <c r="DC34" i="2"/>
  <c r="DG34" i="2"/>
  <c r="AC34" i="2"/>
  <c r="AO34" i="2"/>
  <c r="AE28" i="2"/>
  <c r="AC28" i="2"/>
  <c r="AO28" i="2"/>
  <c r="L28" i="2"/>
  <c r="DC28" i="2"/>
  <c r="DG28" i="2"/>
  <c r="AE42" i="2"/>
  <c r="IE42" i="2"/>
  <c r="L42" i="2"/>
  <c r="AC42" i="2"/>
  <c r="AC43" i="2"/>
  <c r="AE43" i="2"/>
  <c r="IE43" i="2"/>
  <c r="L43" i="2"/>
  <c r="AC45" i="2"/>
  <c r="L45" i="2"/>
  <c r="AE45" i="2"/>
  <c r="CE20" i="2"/>
  <c r="CF22" i="2"/>
  <c r="AC30" i="2"/>
  <c r="AO30" i="2"/>
  <c r="L30" i="2"/>
  <c r="DC30" i="2"/>
  <c r="DG30" i="2"/>
  <c r="AE30" i="2"/>
  <c r="CE34" i="2"/>
  <c r="CE42" i="2"/>
  <c r="CF50" i="2"/>
  <c r="DN107" i="2"/>
  <c r="DM107" i="2"/>
  <c r="DM111" i="2"/>
  <c r="DN111" i="2"/>
  <c r="AE7" i="2"/>
  <c r="AC7" i="2"/>
  <c r="DG7" i="2"/>
  <c r="IC35" i="2"/>
  <c r="W35" i="2"/>
  <c r="X35" i="2"/>
  <c r="F35" i="8"/>
  <c r="AN35" i="2"/>
  <c r="CF35" i="2"/>
  <c r="AC40" i="2"/>
  <c r="AE40" i="2"/>
  <c r="IE40" i="2"/>
  <c r="L40" i="2"/>
  <c r="AC29" i="2"/>
  <c r="AO29" i="2"/>
  <c r="AE19" i="2"/>
  <c r="L19" i="2"/>
  <c r="DC19" i="2"/>
  <c r="DG19" i="2"/>
  <c r="AC19" i="2"/>
  <c r="AO19" i="2"/>
  <c r="AC46" i="2"/>
  <c r="AE46" i="2"/>
  <c r="L46" i="2"/>
  <c r="CF28" i="2"/>
  <c r="CF30" i="2"/>
  <c r="CE36" i="2"/>
  <c r="CF44" i="2"/>
  <c r="R11" i="2"/>
  <c r="DM113" i="2"/>
  <c r="DN113" i="2"/>
  <c r="DN53" i="2"/>
  <c r="DM53" i="2"/>
  <c r="DN108" i="2"/>
  <c r="DM108" i="2"/>
  <c r="DN112" i="2"/>
  <c r="DM112" i="2"/>
  <c r="DG4" i="2"/>
  <c r="AE4" i="2"/>
  <c r="AC4" i="2"/>
  <c r="AC41" i="2"/>
  <c r="L41" i="2"/>
  <c r="AE41" i="2"/>
  <c r="IE41" i="2"/>
  <c r="AE36" i="2"/>
  <c r="DG36" i="2"/>
  <c r="L36" i="2"/>
  <c r="DC36" i="2"/>
  <c r="AC36" i="2"/>
  <c r="AO36" i="2"/>
  <c r="IC6" i="2"/>
  <c r="W6" i="2"/>
  <c r="X6" i="2"/>
  <c r="AE38" i="2"/>
  <c r="IE38" i="2"/>
  <c r="AC38" i="2"/>
  <c r="L38" i="2"/>
  <c r="AC51" i="2"/>
  <c r="AE51" i="2"/>
  <c r="L51" i="2"/>
  <c r="L32" i="2"/>
  <c r="DC32" i="2"/>
  <c r="AC32" i="2"/>
  <c r="AO32" i="2"/>
  <c r="DG32" i="2"/>
  <c r="AE32" i="2"/>
  <c r="AE37" i="2"/>
  <c r="L37" i="2"/>
  <c r="AC37" i="2"/>
  <c r="L39" i="2"/>
  <c r="AE39" i="2"/>
  <c r="IE39" i="2"/>
  <c r="AC39" i="2"/>
  <c r="AE44" i="2"/>
  <c r="L44" i="2"/>
  <c r="AC44" i="2"/>
  <c r="AE17" i="2"/>
  <c r="AC17" i="2"/>
  <c r="AO17" i="2"/>
  <c r="DG17" i="2"/>
  <c r="L17" i="2"/>
  <c r="DC17" i="2"/>
  <c r="CE19" i="2"/>
  <c r="AE23" i="2"/>
  <c r="CE41" i="2"/>
  <c r="CH51" i="2"/>
  <c r="R51" i="2"/>
  <c r="DN105" i="2"/>
  <c r="DM105" i="2"/>
  <c r="DM52" i="2"/>
  <c r="DN52" i="2"/>
  <c r="DM110" i="2"/>
  <c r="DN110" i="2"/>
  <c r="DM114" i="2"/>
  <c r="DN114" i="2"/>
  <c r="AC11" i="2"/>
  <c r="AE11" i="2"/>
  <c r="DG11" i="2"/>
  <c r="AC5" i="2"/>
  <c r="DG5" i="2"/>
  <c r="AE5" i="2"/>
  <c r="IC10" i="2"/>
  <c r="W10" i="2"/>
  <c r="X10" i="2"/>
  <c r="AE18" i="2"/>
  <c r="AC18" i="2"/>
  <c r="AO18" i="2"/>
  <c r="DG18" i="2"/>
  <c r="L18" i="2"/>
  <c r="DC18" i="2"/>
  <c r="AE3" i="2"/>
  <c r="AC3" i="2"/>
  <c r="DG3" i="2"/>
  <c r="AC12" i="2"/>
  <c r="DG12" i="2"/>
  <c r="AE12" i="2"/>
  <c r="IC2" i="2"/>
  <c r="W2" i="2"/>
  <c r="X2" i="2"/>
  <c r="L16" i="2"/>
  <c r="DC16" i="2"/>
  <c r="AE16" i="2"/>
  <c r="DG16" i="2"/>
  <c r="AC16" i="2"/>
  <c r="AO16" i="2"/>
  <c r="AC24" i="2"/>
  <c r="AO24" i="2"/>
  <c r="L24" i="2"/>
  <c r="DC24" i="2"/>
  <c r="DG24" i="2"/>
  <c r="AE24" i="2"/>
  <c r="AC25" i="2"/>
  <c r="L25" i="2"/>
  <c r="AE25" i="2"/>
  <c r="AE47" i="2"/>
  <c r="AC47" i="2"/>
  <c r="L47" i="2"/>
  <c r="AE26" i="2"/>
  <c r="DG26" i="2"/>
  <c r="AC26" i="2"/>
  <c r="AO26" i="2"/>
  <c r="L26" i="2"/>
  <c r="DC26" i="2"/>
  <c r="CH15" i="2"/>
  <c r="R15" i="2"/>
  <c r="DM115" i="2"/>
  <c r="DN115" i="2"/>
  <c r="DM109" i="2"/>
  <c r="DN109" i="2"/>
  <c r="DM106" i="2"/>
  <c r="DN106" i="2"/>
  <c r="AT35" i="8"/>
  <c r="D49" i="8"/>
  <c r="D45" i="10"/>
  <c r="D29" i="10"/>
  <c r="D16" i="10"/>
  <c r="AT23" i="8"/>
  <c r="D49" i="10"/>
  <c r="D31" i="10"/>
  <c r="D35" i="10"/>
  <c r="D41" i="10"/>
  <c r="D23" i="10"/>
  <c r="D24" i="10"/>
  <c r="DL53" i="2"/>
  <c r="DL52" i="2"/>
  <c r="CQ48" i="2"/>
  <c r="BE33" i="8"/>
  <c r="D33" i="8"/>
  <c r="AT33" i="8"/>
  <c r="CQ35" i="2"/>
  <c r="BE48" i="8"/>
  <c r="AT48" i="8"/>
  <c r="D48" i="8"/>
  <c r="AT24" i="8"/>
  <c r="BE24" i="8"/>
  <c r="D24" i="8"/>
  <c r="BE41" i="8"/>
  <c r="D41" i="8"/>
  <c r="AT41" i="8"/>
  <c r="BE45" i="8"/>
  <c r="D31" i="8"/>
  <c r="AT49" i="8"/>
  <c r="BE31" i="8"/>
  <c r="D16" i="8"/>
  <c r="AT16" i="8"/>
  <c r="BE16" i="8"/>
  <c r="AT20" i="8"/>
  <c r="BE20" i="8"/>
  <c r="D20" i="8"/>
  <c r="BE35" i="8"/>
  <c r="D35" i="8"/>
  <c r="BE13" i="8"/>
  <c r="D13" i="8"/>
  <c r="AT13" i="8"/>
  <c r="D29" i="8"/>
  <c r="AT29" i="8"/>
  <c r="BE40" i="8"/>
  <c r="D40" i="8"/>
  <c r="D14" i="8"/>
  <c r="BE14" i="8"/>
  <c r="AT14" i="8"/>
  <c r="BE23" i="8"/>
  <c r="AT45" i="8"/>
  <c r="D45" i="8"/>
  <c r="BE49" i="8"/>
  <c r="D23" i="8"/>
  <c r="AT31" i="8"/>
  <c r="AT40" i="8"/>
  <c r="D4" i="8"/>
  <c r="AT4" i="8"/>
  <c r="D12" i="8"/>
  <c r="AT12" i="8"/>
  <c r="D6" i="8"/>
  <c r="AT6" i="8"/>
  <c r="D3" i="8"/>
  <c r="AT3" i="8"/>
  <c r="D10" i="8"/>
  <c r="AT10" i="8"/>
  <c r="D8" i="8"/>
  <c r="AT8" i="8"/>
  <c r="D4" i="10"/>
  <c r="BE4" i="8"/>
  <c r="D12" i="10"/>
  <c r="BE12" i="8"/>
  <c r="BE10" i="8"/>
  <c r="D8" i="10"/>
  <c r="BE8" i="8"/>
  <c r="D6" i="10"/>
  <c r="BE6" i="8"/>
  <c r="D3" i="10"/>
  <c r="BE3" i="8"/>
  <c r="DL109" i="2"/>
  <c r="DL111" i="2"/>
  <c r="DL108" i="2"/>
  <c r="DL115" i="2"/>
  <c r="DL107" i="2"/>
  <c r="DL110" i="2"/>
  <c r="DL105" i="2"/>
  <c r="DL113" i="2"/>
  <c r="DL114" i="2"/>
  <c r="DL106" i="2"/>
  <c r="DL112" i="2"/>
  <c r="D10" i="10"/>
  <c r="CQ14" i="2"/>
  <c r="CQ6" i="2"/>
  <c r="CQ13" i="2"/>
  <c r="CQ10" i="2"/>
  <c r="AH2" i="8"/>
  <c r="CQ2" i="2"/>
  <c r="AI2" i="8"/>
  <c r="A3" i="1"/>
  <c r="AL3" i="2"/>
  <c r="A2" i="2"/>
  <c r="AL2" i="2"/>
  <c r="Y13" i="2"/>
  <c r="Z13" i="2"/>
  <c r="AO8" i="2"/>
  <c r="AG8" i="2"/>
  <c r="AF8" i="2"/>
  <c r="Z2" i="2"/>
  <c r="Y2" i="2"/>
  <c r="AO3" i="2"/>
  <c r="AF3" i="2"/>
  <c r="AG3" i="2"/>
  <c r="Y10" i="2"/>
  <c r="Z10" i="2"/>
  <c r="AO4" i="2"/>
  <c r="AF4" i="2"/>
  <c r="AG4" i="2"/>
  <c r="AO9" i="2"/>
  <c r="AF9" i="2"/>
  <c r="AG9" i="2"/>
  <c r="AO12" i="2"/>
  <c r="AF12" i="2"/>
  <c r="AG12" i="2"/>
  <c r="AO5" i="2"/>
  <c r="AF5" i="2"/>
  <c r="AG5" i="2"/>
  <c r="AO11" i="2"/>
  <c r="AF11" i="2"/>
  <c r="AG11" i="2"/>
  <c r="S5" i="2"/>
  <c r="T5" i="2"/>
  <c r="T9" i="2"/>
  <c r="S9" i="2"/>
  <c r="Y6" i="2"/>
  <c r="Z6" i="2"/>
  <c r="AO7" i="2"/>
  <c r="AG7" i="2"/>
  <c r="AF7" i="2"/>
  <c r="S7" i="2"/>
  <c r="T7" i="2"/>
  <c r="T11" i="2"/>
  <c r="S11" i="2"/>
  <c r="BU10" i="2"/>
  <c r="A4" i="1"/>
  <c r="A5" i="1"/>
  <c r="A6" i="1"/>
  <c r="BT13" i="2"/>
  <c r="BR13" i="2"/>
  <c r="BP13" i="2"/>
  <c r="BU13" i="2"/>
  <c r="BS13" i="2"/>
  <c r="BQ13" i="2"/>
  <c r="DR6" i="2"/>
  <c r="DP6" i="2"/>
  <c r="DR14" i="2"/>
  <c r="DP14" i="2"/>
  <c r="IE16" i="2"/>
  <c r="AR16" i="2"/>
  <c r="IE3" i="2"/>
  <c r="AR3" i="2"/>
  <c r="IE9" i="2"/>
  <c r="AR9" i="2"/>
  <c r="IE24" i="2"/>
  <c r="AR24" i="2"/>
  <c r="IE5" i="2"/>
  <c r="AR5" i="2"/>
  <c r="IE23" i="2"/>
  <c r="AR23" i="2"/>
  <c r="IE4" i="2"/>
  <c r="AR4" i="2"/>
  <c r="IE7" i="2"/>
  <c r="AR7" i="2"/>
  <c r="IE15" i="2"/>
  <c r="AR15" i="2"/>
  <c r="IE22" i="2"/>
  <c r="AR22" i="2"/>
  <c r="IE18" i="2"/>
  <c r="AR18" i="2"/>
  <c r="IE33" i="2"/>
  <c r="AR33" i="2"/>
  <c r="IE21" i="2"/>
  <c r="AR21" i="2"/>
  <c r="IE11" i="2"/>
  <c r="AR11" i="2"/>
  <c r="IE17" i="2"/>
  <c r="AR17" i="2"/>
  <c r="IE36" i="2"/>
  <c r="AR36" i="2"/>
  <c r="IE20" i="2"/>
  <c r="AR20" i="2"/>
  <c r="IE8" i="2"/>
  <c r="AR8" i="2"/>
  <c r="IE32" i="2"/>
  <c r="AR32" i="2"/>
  <c r="IE30" i="2"/>
  <c r="AR30" i="2"/>
  <c r="IE26" i="2"/>
  <c r="AR26" i="2"/>
  <c r="IE12" i="2"/>
  <c r="AR12" i="2"/>
  <c r="IE19" i="2"/>
  <c r="AR19" i="2"/>
  <c r="IE28" i="2"/>
  <c r="AR28" i="2"/>
  <c r="IE34" i="2"/>
  <c r="AR34" i="2"/>
  <c r="BU31" i="2"/>
  <c r="BU23" i="2"/>
  <c r="CE33" i="2"/>
  <c r="CH33" i="2"/>
  <c r="R33" i="2"/>
  <c r="BT6" i="2"/>
  <c r="BU6" i="2"/>
  <c r="BT35" i="2"/>
  <c r="BU35" i="2"/>
  <c r="BT14" i="2"/>
  <c r="BU14" i="2"/>
  <c r="BU29" i="2"/>
  <c r="BU33" i="2"/>
  <c r="BU2" i="2"/>
  <c r="BS27" i="2"/>
  <c r="BT27" i="2"/>
  <c r="BS10" i="2"/>
  <c r="BT10" i="2"/>
  <c r="BS31" i="2"/>
  <c r="BT31" i="2"/>
  <c r="BT23" i="2"/>
  <c r="BT29" i="2"/>
  <c r="BT33" i="2"/>
  <c r="BT2" i="2"/>
  <c r="BS23" i="2"/>
  <c r="BS29" i="2"/>
  <c r="BS33" i="2"/>
  <c r="BR14" i="2"/>
  <c r="BS14" i="2"/>
  <c r="BR6" i="2"/>
  <c r="BS6" i="2"/>
  <c r="BR35" i="2"/>
  <c r="BS35" i="2"/>
  <c r="BS2" i="2"/>
  <c r="BQ27" i="2"/>
  <c r="BR27" i="2"/>
  <c r="BQ10" i="2"/>
  <c r="BR10" i="2"/>
  <c r="BQ31" i="2"/>
  <c r="BR31" i="2"/>
  <c r="BR23" i="2"/>
  <c r="BR29" i="2"/>
  <c r="BR33" i="2"/>
  <c r="BR2" i="2"/>
  <c r="BP14" i="2"/>
  <c r="BQ14" i="2"/>
  <c r="BP6" i="2"/>
  <c r="BQ6" i="2"/>
  <c r="BP35" i="2"/>
  <c r="BQ35" i="2"/>
  <c r="BQ23" i="2"/>
  <c r="BQ29" i="2"/>
  <c r="BQ33" i="2"/>
  <c r="BQ2" i="2"/>
  <c r="BP10" i="2"/>
  <c r="BP31" i="2"/>
  <c r="AC23" i="2"/>
  <c r="BP23" i="2"/>
  <c r="AE29" i="2"/>
  <c r="BP29" i="2"/>
  <c r="AC33" i="2"/>
  <c r="BP33" i="2"/>
  <c r="BP27" i="2"/>
  <c r="BP2" i="2"/>
  <c r="L29" i="2"/>
  <c r="L33" i="2"/>
  <c r="DC33" i="2"/>
  <c r="R12" i="2"/>
  <c r="CH29" i="2"/>
  <c r="R29" i="2"/>
  <c r="AE31" i="2"/>
  <c r="AE27" i="2"/>
  <c r="L27" i="2"/>
  <c r="DC27" i="2"/>
  <c r="CF27" i="2"/>
  <c r="CH27" i="2"/>
  <c r="R27" i="2"/>
  <c r="DG27" i="2"/>
  <c r="AC27" i="2"/>
  <c r="AO27" i="2"/>
  <c r="DG31" i="2"/>
  <c r="L23" i="2"/>
  <c r="DC23" i="2"/>
  <c r="AC31" i="2"/>
  <c r="AW21" i="2"/>
  <c r="Q39" i="2"/>
  <c r="CH38" i="2"/>
  <c r="R38" i="2"/>
  <c r="Q38" i="2"/>
  <c r="Q26" i="2"/>
  <c r="BG26" i="2"/>
  <c r="R8" i="2"/>
  <c r="S8" i="2"/>
  <c r="BG23" i="2"/>
  <c r="L31" i="2"/>
  <c r="DC31" i="2"/>
  <c r="CF23" i="2"/>
  <c r="BG30" i="2"/>
  <c r="BG17" i="2"/>
  <c r="CE14" i="2"/>
  <c r="Q8" i="2"/>
  <c r="Q15" i="2"/>
  <c r="Q29" i="2"/>
  <c r="Q11" i="2"/>
  <c r="CH26" i="2"/>
  <c r="R26" i="2"/>
  <c r="Q21" i="2"/>
  <c r="AD21" i="2"/>
  <c r="GE16" i="2"/>
  <c r="BG16" i="2"/>
  <c r="GE20" i="2"/>
  <c r="AK105" i="2"/>
  <c r="GE15" i="2"/>
  <c r="BG41" i="2"/>
  <c r="AK112" i="2"/>
  <c r="AK50" i="2"/>
  <c r="AK46" i="2"/>
  <c r="AK44" i="2"/>
  <c r="AK25" i="2"/>
  <c r="AK108" i="2"/>
  <c r="AK47" i="2"/>
  <c r="AK107" i="2"/>
  <c r="AK37" i="2"/>
  <c r="AK113" i="2"/>
  <c r="AK45" i="2"/>
  <c r="AK106" i="2"/>
  <c r="AK51" i="2"/>
  <c r="AK111" i="2"/>
  <c r="AK109" i="2"/>
  <c r="AK110" i="2"/>
  <c r="CH25" i="2"/>
  <c r="R25" i="2"/>
  <c r="CH47" i="2"/>
  <c r="R47" i="2"/>
  <c r="Q9" i="2"/>
  <c r="AK114" i="2"/>
  <c r="AK52" i="2"/>
  <c r="AK115" i="2"/>
  <c r="AK49" i="2"/>
  <c r="AK53" i="2"/>
  <c r="CE48" i="2"/>
  <c r="R10" i="2"/>
  <c r="CH35" i="2"/>
  <c r="R35" i="2"/>
  <c r="Q28" i="2"/>
  <c r="Q3" i="2"/>
  <c r="CH48" i="2"/>
  <c r="R48" i="2"/>
  <c r="AC35" i="2"/>
  <c r="AO35" i="2"/>
  <c r="AE35" i="2"/>
  <c r="DG35" i="2"/>
  <c r="L35" i="2"/>
  <c r="DC35" i="2"/>
  <c r="AD26" i="2"/>
  <c r="AD16" i="2"/>
  <c r="AD5" i="2"/>
  <c r="AD11" i="2"/>
  <c r="Q41" i="2"/>
  <c r="CH30" i="2"/>
  <c r="R30" i="2"/>
  <c r="BG31" i="2"/>
  <c r="AD19" i="2"/>
  <c r="AD29" i="2"/>
  <c r="CH50" i="2"/>
  <c r="R50" i="2"/>
  <c r="CH22" i="2"/>
  <c r="R22" i="2"/>
  <c r="AD45" i="2"/>
  <c r="AD28" i="2"/>
  <c r="AW49" i="2"/>
  <c r="AD50" i="2"/>
  <c r="AD15" i="2"/>
  <c r="AD20" i="2"/>
  <c r="Q49" i="2"/>
  <c r="GE40" i="2"/>
  <c r="Q32" i="2"/>
  <c r="AD47" i="2"/>
  <c r="AD3" i="2"/>
  <c r="AD18" i="2"/>
  <c r="Q46" i="2"/>
  <c r="Q40" i="2"/>
  <c r="Q24" i="2"/>
  <c r="AD17" i="2"/>
  <c r="AD32" i="2"/>
  <c r="AD38" i="2"/>
  <c r="AD36" i="2"/>
  <c r="AD41" i="2"/>
  <c r="BG29" i="2"/>
  <c r="AW40" i="2"/>
  <c r="CE35" i="2"/>
  <c r="Q34" i="2"/>
  <c r="AW30" i="2"/>
  <c r="Q20" i="2"/>
  <c r="AD43" i="2"/>
  <c r="CF14" i="2"/>
  <c r="AD33" i="2"/>
  <c r="Q37" i="2"/>
  <c r="Q45" i="2"/>
  <c r="Q17" i="2"/>
  <c r="DG6" i="2"/>
  <c r="AE6" i="2"/>
  <c r="AC6" i="2"/>
  <c r="AE14" i="2"/>
  <c r="AC14" i="2"/>
  <c r="AO14" i="2"/>
  <c r="L14" i="2"/>
  <c r="DC14" i="2"/>
  <c r="DG14" i="2"/>
  <c r="AE13" i="2"/>
  <c r="AC13" i="2"/>
  <c r="DG13" i="2"/>
  <c r="AC48" i="2"/>
  <c r="L48" i="2"/>
  <c r="AE48" i="2"/>
  <c r="Q18" i="2"/>
  <c r="AD12" i="2"/>
  <c r="Q19" i="2"/>
  <c r="AD51" i="2"/>
  <c r="BG36" i="2"/>
  <c r="CH44" i="2"/>
  <c r="R44" i="2"/>
  <c r="AD46" i="2"/>
  <c r="AW29" i="2"/>
  <c r="AD7" i="2"/>
  <c r="Q42" i="2"/>
  <c r="AD42" i="2"/>
  <c r="AD34" i="2"/>
  <c r="AE10" i="2"/>
  <c r="DG10" i="2"/>
  <c r="AC10" i="2"/>
  <c r="AC2" i="2"/>
  <c r="AE2" i="2"/>
  <c r="AD25" i="2"/>
  <c r="AD24" i="2"/>
  <c r="AW5" i="2"/>
  <c r="AD44" i="2"/>
  <c r="AD39" i="2"/>
  <c r="AD37" i="2"/>
  <c r="AW36" i="2"/>
  <c r="AD4" i="2"/>
  <c r="Q36" i="2"/>
  <c r="CH28" i="2"/>
  <c r="R28" i="2"/>
  <c r="AD40" i="2"/>
  <c r="Q5" i="2"/>
  <c r="R3" i="2"/>
  <c r="T3" i="2"/>
  <c r="AD30" i="2"/>
  <c r="AD49" i="2"/>
  <c r="AD22" i="2"/>
  <c r="AD8" i="2"/>
  <c r="AD9" i="2"/>
  <c r="Q7" i="2"/>
  <c r="BG21" i="2"/>
  <c r="BG39" i="2"/>
  <c r="BG45" i="2"/>
  <c r="BG25" i="2"/>
  <c r="BG49" i="2"/>
  <c r="BG43" i="2"/>
  <c r="BG47" i="2"/>
  <c r="BG42" i="2"/>
  <c r="AW26" i="2"/>
  <c r="BG32" i="2"/>
  <c r="BG51" i="2"/>
  <c r="BG46" i="2"/>
  <c r="BG44" i="2"/>
  <c r="BG37" i="2"/>
  <c r="BG50" i="2"/>
  <c r="BG40" i="2"/>
  <c r="BG34" i="2"/>
  <c r="BG28" i="2"/>
  <c r="BG24" i="2"/>
  <c r="BG38" i="2"/>
  <c r="AW17" i="2"/>
  <c r="BG15" i="2"/>
  <c r="BG18" i="2"/>
  <c r="BG20" i="2"/>
  <c r="BG19" i="2"/>
  <c r="AW16" i="2"/>
  <c r="BG22" i="2"/>
  <c r="BG5" i="2"/>
  <c r="BG8" i="2"/>
  <c r="B26" i="5"/>
  <c r="B17" i="9"/>
  <c r="AL4" i="2"/>
  <c r="BG12" i="2"/>
  <c r="BG7" i="2"/>
  <c r="AW8" i="2"/>
  <c r="BG4" i="2"/>
  <c r="BG9" i="2"/>
  <c r="A3" i="2"/>
  <c r="BG3" i="2"/>
  <c r="BG11" i="2"/>
  <c r="IH7" i="2"/>
  <c r="II4" i="2"/>
  <c r="IH4" i="2"/>
  <c r="AF13" i="2"/>
  <c r="AG13" i="2"/>
  <c r="M9" i="2"/>
  <c r="N9" i="2"/>
  <c r="AG2" i="2"/>
  <c r="AF2" i="2"/>
  <c r="N7" i="2"/>
  <c r="M7" i="2"/>
  <c r="T12" i="2"/>
  <c r="S12" i="2"/>
  <c r="S3" i="2"/>
  <c r="T8" i="2"/>
  <c r="M5" i="2"/>
  <c r="N5" i="2"/>
  <c r="AO10" i="2"/>
  <c r="AF10" i="2"/>
  <c r="AG10" i="2"/>
  <c r="M12" i="2"/>
  <c r="N12" i="2"/>
  <c r="T4" i="2"/>
  <c r="S4" i="2"/>
  <c r="M3" i="2"/>
  <c r="N3" i="2"/>
  <c r="N11" i="2"/>
  <c r="M11" i="2"/>
  <c r="AO6" i="2"/>
  <c r="AF6" i="2"/>
  <c r="AG6" i="2"/>
  <c r="M8" i="2"/>
  <c r="N8" i="2"/>
  <c r="N4" i="2"/>
  <c r="M4" i="2"/>
  <c r="T10" i="2"/>
  <c r="S10" i="2"/>
  <c r="AP30" i="2"/>
  <c r="AP5" i="2"/>
  <c r="AP24" i="2"/>
  <c r="AP17" i="2"/>
  <c r="AP20" i="2"/>
  <c r="AP32" i="2"/>
  <c r="AP36" i="2"/>
  <c r="AP7" i="2"/>
  <c r="AP15" i="2"/>
  <c r="AP34" i="2"/>
  <c r="AP26" i="2"/>
  <c r="AP19" i="2"/>
  <c r="AP11" i="2"/>
  <c r="AP9" i="2"/>
  <c r="AP12" i="2"/>
  <c r="AP18" i="2"/>
  <c r="AP21" i="2"/>
  <c r="A7" i="1"/>
  <c r="A8" i="1"/>
  <c r="A9" i="1"/>
  <c r="A10" i="1"/>
  <c r="A11" i="1"/>
  <c r="A12" i="1"/>
  <c r="AO2" i="2"/>
  <c r="Q13" i="2"/>
  <c r="R13" i="2"/>
  <c r="S13" i="2"/>
  <c r="AO13" i="2"/>
  <c r="AR13" i="2"/>
  <c r="IE13" i="2"/>
  <c r="FC11" i="2"/>
  <c r="AO23" i="2"/>
  <c r="AW23" i="2"/>
  <c r="FC3" i="2"/>
  <c r="FC9" i="2"/>
  <c r="IE35" i="2"/>
  <c r="AR35" i="2"/>
  <c r="AD23" i="2"/>
  <c r="IE2" i="2"/>
  <c r="AR2" i="2"/>
  <c r="IE10" i="2"/>
  <c r="AR10" i="2"/>
  <c r="DG23" i="2"/>
  <c r="IE27" i="2"/>
  <c r="AR27" i="2"/>
  <c r="IE31" i="2"/>
  <c r="AR31" i="2"/>
  <c r="DC29" i="2"/>
  <c r="FC7" i="2"/>
  <c r="FC5" i="2"/>
  <c r="FC8" i="2"/>
  <c r="FC4" i="2"/>
  <c r="AO31" i="2"/>
  <c r="IE14" i="2"/>
  <c r="AR14" i="2"/>
  <c r="FC12" i="2"/>
  <c r="AO33" i="2"/>
  <c r="AW33" i="2"/>
  <c r="IE6" i="2"/>
  <c r="AR6" i="2"/>
  <c r="IE29" i="2"/>
  <c r="AR29" i="2"/>
  <c r="AP16" i="2"/>
  <c r="AP22" i="2"/>
  <c r="AP33" i="2"/>
  <c r="AP8" i="2"/>
  <c r="AP3" i="2"/>
  <c r="AP28" i="2"/>
  <c r="AP4" i="2"/>
  <c r="BG33" i="2"/>
  <c r="Q23" i="2"/>
  <c r="AD31" i="2"/>
  <c r="GE22" i="2"/>
  <c r="AP29" i="2"/>
  <c r="BG27" i="2"/>
  <c r="GE18" i="2"/>
  <c r="Q33" i="2"/>
  <c r="AD27" i="2"/>
  <c r="GE21" i="2"/>
  <c r="CH23" i="2"/>
  <c r="R23" i="2"/>
  <c r="BG14" i="2"/>
  <c r="Q4" i="2"/>
  <c r="AS43" i="2"/>
  <c r="AT43" i="2"/>
  <c r="AS42" i="2"/>
  <c r="AT42" i="2"/>
  <c r="AS41" i="2"/>
  <c r="AT41" i="2"/>
  <c r="GD40" i="2"/>
  <c r="AT40" i="2"/>
  <c r="AS40" i="2"/>
  <c r="AS39" i="2"/>
  <c r="AT39" i="2"/>
  <c r="AS38" i="2"/>
  <c r="AT38" i="2"/>
  <c r="GE19" i="2"/>
  <c r="AT5" i="2"/>
  <c r="AS5" i="2"/>
  <c r="AS27" i="2"/>
  <c r="AT3" i="2"/>
  <c r="AS3" i="2"/>
  <c r="AT20" i="2"/>
  <c r="AY20" i="2"/>
  <c r="AS20" i="2"/>
  <c r="AX20" i="2"/>
  <c r="AT8" i="2"/>
  <c r="AY8" i="2"/>
  <c r="AS8" i="2"/>
  <c r="AX8" i="2"/>
  <c r="AT19" i="2"/>
  <c r="AS19" i="2"/>
  <c r="AX19" i="2"/>
  <c r="R6" i="2"/>
  <c r="AT24" i="2"/>
  <c r="AS24" i="2"/>
  <c r="AT33" i="2"/>
  <c r="AS33" i="2"/>
  <c r="AT32" i="2"/>
  <c r="AS32" i="2"/>
  <c r="AT17" i="2"/>
  <c r="AY17" i="2"/>
  <c r="AS17" i="2"/>
  <c r="AX17" i="2"/>
  <c r="AT18" i="2"/>
  <c r="AS18" i="2"/>
  <c r="AX18" i="2"/>
  <c r="AT21" i="2"/>
  <c r="AY21" i="2"/>
  <c r="AS21" i="2"/>
  <c r="AX21" i="2"/>
  <c r="AT34" i="2"/>
  <c r="AS34" i="2"/>
  <c r="AT22" i="2"/>
  <c r="AY22" i="2"/>
  <c r="AS22" i="2"/>
  <c r="AX22" i="2"/>
  <c r="AT28" i="2"/>
  <c r="AY28" i="2"/>
  <c r="AS28" i="2"/>
  <c r="AT29" i="2"/>
  <c r="AY29" i="2"/>
  <c r="AS29" i="2"/>
  <c r="AX29" i="2"/>
  <c r="AT4" i="2"/>
  <c r="AS4" i="2"/>
  <c r="AT16" i="2"/>
  <c r="AY16" i="2"/>
  <c r="AS16" i="2"/>
  <c r="AX16" i="2"/>
  <c r="AT9" i="2"/>
  <c r="AS9" i="2"/>
  <c r="AT7" i="2"/>
  <c r="AS7" i="2"/>
  <c r="AT36" i="2"/>
  <c r="AY36" i="2"/>
  <c r="AS36" i="2"/>
  <c r="AX36" i="2"/>
  <c r="AT12" i="2"/>
  <c r="AS12" i="2"/>
  <c r="AT26" i="2"/>
  <c r="AY26" i="2"/>
  <c r="AS26" i="2"/>
  <c r="AX26" i="2"/>
  <c r="Q12" i="2"/>
  <c r="AT23" i="2"/>
  <c r="AT11" i="2"/>
  <c r="AS11" i="2"/>
  <c r="AT15" i="2"/>
  <c r="AY15" i="2"/>
  <c r="AS15" i="2"/>
  <c r="AX15" i="2"/>
  <c r="AT30" i="2"/>
  <c r="AY30" i="2"/>
  <c r="AS30" i="2"/>
  <c r="AX30" i="2"/>
  <c r="Q16" i="2"/>
  <c r="GD26" i="2"/>
  <c r="Q14" i="2"/>
  <c r="GE12" i="2"/>
  <c r="GE11" i="2"/>
  <c r="GE44" i="2"/>
  <c r="GE29" i="2"/>
  <c r="Q48" i="2"/>
  <c r="GE3" i="2"/>
  <c r="GE50" i="2"/>
  <c r="GE32" i="2"/>
  <c r="GE25" i="2"/>
  <c r="Q30" i="2"/>
  <c r="FC31" i="2"/>
  <c r="Q10" i="2"/>
  <c r="AD14" i="2"/>
  <c r="FC19" i="2"/>
  <c r="FC16" i="2"/>
  <c r="FC33" i="2"/>
  <c r="FC37" i="2"/>
  <c r="FC18" i="2"/>
  <c r="FC27" i="2"/>
  <c r="GE5" i="2"/>
  <c r="GE41" i="2"/>
  <c r="GE47" i="2"/>
  <c r="GE49" i="2"/>
  <c r="GE46" i="2"/>
  <c r="GE7" i="2"/>
  <c r="GE45" i="2"/>
  <c r="GE42" i="2"/>
  <c r="GE34" i="2"/>
  <c r="GE38" i="2"/>
  <c r="FC34" i="2"/>
  <c r="AD2" i="2"/>
  <c r="GE33" i="2"/>
  <c r="FC20" i="2"/>
  <c r="FC28" i="2"/>
  <c r="FC41" i="2"/>
  <c r="FC47" i="2"/>
  <c r="AD48" i="2"/>
  <c r="AW6" i="2"/>
  <c r="FC15" i="2"/>
  <c r="FC42" i="2"/>
  <c r="FC30" i="2"/>
  <c r="FC49" i="2"/>
  <c r="GE36" i="2"/>
  <c r="FC32" i="2"/>
  <c r="FC17" i="2"/>
  <c r="AD10" i="2"/>
  <c r="FC25" i="2"/>
  <c r="GE26" i="2"/>
  <c r="AD6" i="2"/>
  <c r="AX40" i="2"/>
  <c r="AY40" i="2"/>
  <c r="FC40" i="2"/>
  <c r="Q50" i="2"/>
  <c r="FC51" i="2"/>
  <c r="FC44" i="2"/>
  <c r="AD35" i="2"/>
  <c r="GE8" i="2"/>
  <c r="GE43" i="2"/>
  <c r="Q44" i="2"/>
  <c r="FC22" i="2"/>
  <c r="FC50" i="2"/>
  <c r="FC43" i="2"/>
  <c r="GE4" i="2"/>
  <c r="GE51" i="2"/>
  <c r="GE24" i="2"/>
  <c r="GE14" i="2"/>
  <c r="GE27" i="2"/>
  <c r="GE37" i="2"/>
  <c r="GE28" i="2"/>
  <c r="GE39" i="2"/>
  <c r="Q27" i="2"/>
  <c r="GD49" i="2"/>
  <c r="FC46" i="2"/>
  <c r="FC36" i="2"/>
  <c r="FC29" i="2"/>
  <c r="GE17" i="2"/>
  <c r="FC23" i="2"/>
  <c r="AD13" i="2"/>
  <c r="CH14" i="2"/>
  <c r="R14" i="2"/>
  <c r="FC45" i="2"/>
  <c r="Q35" i="2"/>
  <c r="GE23" i="2"/>
  <c r="FC24" i="2"/>
  <c r="FC26" i="2"/>
  <c r="Q22" i="2"/>
  <c r="GE30" i="2"/>
  <c r="FC38" i="2"/>
  <c r="FC39" i="2"/>
  <c r="AX49" i="2"/>
  <c r="AY49" i="2"/>
  <c r="AW51" i="2"/>
  <c r="AW42" i="2"/>
  <c r="AW50" i="2"/>
  <c r="GD45" i="2"/>
  <c r="BG35" i="2"/>
  <c r="AW41" i="2"/>
  <c r="AW24" i="2"/>
  <c r="AW37" i="2"/>
  <c r="AW47" i="2"/>
  <c r="GD25" i="2"/>
  <c r="GD47" i="2"/>
  <c r="AY25" i="2"/>
  <c r="AX25" i="2"/>
  <c r="GD37" i="2"/>
  <c r="AW31" i="2"/>
  <c r="AW27" i="2"/>
  <c r="AW32" i="2"/>
  <c r="AX39" i="2"/>
  <c r="AW43" i="2"/>
  <c r="AW25" i="2"/>
  <c r="AW38" i="2"/>
  <c r="AW39" i="2"/>
  <c r="GD44" i="2"/>
  <c r="GD46" i="2"/>
  <c r="BG48" i="2"/>
  <c r="GD51" i="2"/>
  <c r="AY45" i="2"/>
  <c r="AX45" i="2"/>
  <c r="AW45" i="2"/>
  <c r="AW44" i="2"/>
  <c r="AY44" i="2"/>
  <c r="GD50" i="2"/>
  <c r="AW28" i="2"/>
  <c r="AX28" i="2"/>
  <c r="AW34" i="2"/>
  <c r="AY46" i="2"/>
  <c r="AW46" i="2"/>
  <c r="AX46" i="2"/>
  <c r="BG6" i="2"/>
  <c r="AY18" i="2"/>
  <c r="AW18" i="2"/>
  <c r="AW15" i="2"/>
  <c r="AW20" i="2"/>
  <c r="AW19" i="2"/>
  <c r="AY19" i="2"/>
  <c r="AW22" i="2"/>
  <c r="AW14" i="2"/>
  <c r="BG13" i="2"/>
  <c r="BG10" i="2"/>
  <c r="AW7" i="2"/>
  <c r="AW12" i="2"/>
  <c r="R2" i="2"/>
  <c r="S2" i="2"/>
  <c r="AW9" i="2"/>
  <c r="AW10" i="2"/>
  <c r="DL12" i="2"/>
  <c r="AW11" i="2"/>
  <c r="AW3" i="2"/>
  <c r="BG2" i="2"/>
  <c r="A4" i="2"/>
  <c r="AW4" i="2"/>
  <c r="AL5" i="2"/>
  <c r="M10" i="2"/>
  <c r="N10" i="2"/>
  <c r="M2" i="2"/>
  <c r="N2" i="2"/>
  <c r="N6" i="2"/>
  <c r="M6" i="2"/>
  <c r="T2" i="2"/>
  <c r="M13" i="2"/>
  <c r="N13" i="2"/>
  <c r="Q6" i="2"/>
  <c r="S6" i="2"/>
  <c r="T6" i="2"/>
  <c r="T13" i="2"/>
  <c r="DM9" i="2"/>
  <c r="DN9" i="2"/>
  <c r="GD8" i="2"/>
  <c r="DL8" i="2"/>
  <c r="AY23" i="2"/>
  <c r="AP27" i="2"/>
  <c r="AP10" i="2"/>
  <c r="AP23" i="2"/>
  <c r="AP6" i="2"/>
  <c r="AP35" i="2"/>
  <c r="AP31" i="2"/>
  <c r="GH17" i="2"/>
  <c r="GH22" i="2"/>
  <c r="AX33" i="2"/>
  <c r="A13" i="1"/>
  <c r="AP13" i="2"/>
  <c r="FC13" i="2"/>
  <c r="AS13" i="2"/>
  <c r="AT13" i="2"/>
  <c r="AP14" i="2"/>
  <c r="AS23" i="2"/>
  <c r="AX23" i="2"/>
  <c r="AY33" i="2"/>
  <c r="AT27" i="2"/>
  <c r="DN7" i="2"/>
  <c r="DM7" i="2"/>
  <c r="DM3" i="2"/>
  <c r="DN3" i="2"/>
  <c r="DM26" i="2"/>
  <c r="DN11" i="2"/>
  <c r="DM11" i="2"/>
  <c r="AT31" i="2"/>
  <c r="DL31" i="2"/>
  <c r="DN12" i="2"/>
  <c r="DM12" i="2"/>
  <c r="DN16" i="2"/>
  <c r="FC10" i="2"/>
  <c r="DM8" i="2"/>
  <c r="DN8" i="2"/>
  <c r="FC2" i="2"/>
  <c r="FC6" i="2"/>
  <c r="DN27" i="2"/>
  <c r="DM27" i="2"/>
  <c r="DN4" i="2"/>
  <c r="DM4" i="2"/>
  <c r="AP2" i="2"/>
  <c r="AS31" i="2"/>
  <c r="AX31" i="2"/>
  <c r="GD16" i="2"/>
  <c r="GD43" i="2"/>
  <c r="GD42" i="2"/>
  <c r="GD41" i="2"/>
  <c r="GD39" i="2"/>
  <c r="GD38" i="2"/>
  <c r="GD5" i="2"/>
  <c r="GD23" i="2"/>
  <c r="GE31" i="2"/>
  <c r="AT14" i="2"/>
  <c r="AS14" i="2"/>
  <c r="DL7" i="2"/>
  <c r="AT6" i="2"/>
  <c r="AY6" i="2"/>
  <c r="AS6" i="2"/>
  <c r="AX6" i="2"/>
  <c r="AT35" i="2"/>
  <c r="AS35" i="2"/>
  <c r="AT2" i="2"/>
  <c r="AS2" i="2"/>
  <c r="DN21" i="2"/>
  <c r="DM21" i="2"/>
  <c r="AT10" i="2"/>
  <c r="AS10" i="2"/>
  <c r="DL5" i="2"/>
  <c r="DN36" i="2"/>
  <c r="DN17" i="2"/>
  <c r="DN32" i="2"/>
  <c r="DM15" i="2"/>
  <c r="DM20" i="2"/>
  <c r="DN20" i="2"/>
  <c r="DM34" i="2"/>
  <c r="DN34" i="2"/>
  <c r="DN19" i="2"/>
  <c r="DM19" i="2"/>
  <c r="GD14" i="2"/>
  <c r="GD6" i="2"/>
  <c r="GD7" i="2"/>
  <c r="GD3" i="2"/>
  <c r="GD11" i="2"/>
  <c r="GD27" i="2"/>
  <c r="GD24" i="2"/>
  <c r="GD32" i="2"/>
  <c r="GD15" i="2"/>
  <c r="GD22" i="2"/>
  <c r="GD19" i="2"/>
  <c r="GD34" i="2"/>
  <c r="GD31" i="2"/>
  <c r="GD36" i="2"/>
  <c r="GD33" i="2"/>
  <c r="GD29" i="2"/>
  <c r="GD12" i="2"/>
  <c r="GD4" i="2"/>
  <c r="GD18" i="2"/>
  <c r="GD20" i="2"/>
  <c r="GD28" i="2"/>
  <c r="GD30" i="2"/>
  <c r="GD10" i="2"/>
  <c r="GD17" i="2"/>
  <c r="GD21" i="2"/>
  <c r="GE10" i="2"/>
  <c r="GE35" i="2"/>
  <c r="GE13" i="2"/>
  <c r="DN38" i="2"/>
  <c r="DM38" i="2"/>
  <c r="DL38" i="2"/>
  <c r="DM24" i="2"/>
  <c r="DN24" i="2"/>
  <c r="DL24" i="2"/>
  <c r="DN29" i="2"/>
  <c r="DM29" i="2"/>
  <c r="DL29" i="2"/>
  <c r="DM5" i="2"/>
  <c r="DN5" i="2"/>
  <c r="DM50" i="2"/>
  <c r="DN50" i="2"/>
  <c r="DL50" i="2"/>
  <c r="DN51" i="2"/>
  <c r="DM51" i="2"/>
  <c r="DL51" i="2"/>
  <c r="FC48" i="2"/>
  <c r="DN25" i="2"/>
  <c r="DM25" i="2"/>
  <c r="DL25" i="2"/>
  <c r="DM42" i="2"/>
  <c r="DN42" i="2"/>
  <c r="DL42" i="2"/>
  <c r="DN26" i="2"/>
  <c r="DL26" i="2"/>
  <c r="DN45" i="2"/>
  <c r="DM45" i="2"/>
  <c r="DL45" i="2"/>
  <c r="DM23" i="2"/>
  <c r="DN23" i="2"/>
  <c r="DL23" i="2"/>
  <c r="DM36" i="2"/>
  <c r="DL36" i="2"/>
  <c r="DM17" i="2"/>
  <c r="DL17" i="2"/>
  <c r="DL27" i="2"/>
  <c r="DN33" i="2"/>
  <c r="DM33" i="2"/>
  <c r="DL33" i="2"/>
  <c r="DM16" i="2"/>
  <c r="DL16" i="2"/>
  <c r="DL19" i="2"/>
  <c r="GE6" i="2"/>
  <c r="GE48" i="2"/>
  <c r="DM39" i="2"/>
  <c r="DN39" i="2"/>
  <c r="DL39" i="2"/>
  <c r="DN22" i="2"/>
  <c r="DM22" i="2"/>
  <c r="DL22" i="2"/>
  <c r="DM40" i="2"/>
  <c r="DN40" i="2"/>
  <c r="DL40" i="2"/>
  <c r="DM32" i="2"/>
  <c r="DL32" i="2"/>
  <c r="DN49" i="2"/>
  <c r="DM49" i="2"/>
  <c r="DL49" i="2"/>
  <c r="DN30" i="2"/>
  <c r="DM30" i="2"/>
  <c r="DL30" i="2"/>
  <c r="DN41" i="2"/>
  <c r="DM41" i="2"/>
  <c r="DL41" i="2"/>
  <c r="DL14" i="2"/>
  <c r="FC14" i="2"/>
  <c r="DN37" i="2"/>
  <c r="DM37" i="2"/>
  <c r="DL37" i="2"/>
  <c r="DN46" i="2"/>
  <c r="DM46" i="2"/>
  <c r="DL46" i="2"/>
  <c r="DN43" i="2"/>
  <c r="DM43" i="2"/>
  <c r="DL43" i="2"/>
  <c r="DM44" i="2"/>
  <c r="DN44" i="2"/>
  <c r="DL44" i="2"/>
  <c r="DN15" i="2"/>
  <c r="DL15" i="2"/>
  <c r="DM47" i="2"/>
  <c r="DN47" i="2"/>
  <c r="DL47" i="2"/>
  <c r="DM28" i="2"/>
  <c r="DN28" i="2"/>
  <c r="DL28" i="2"/>
  <c r="DL20" i="2"/>
  <c r="DL34" i="2"/>
  <c r="FC35" i="2"/>
  <c r="DN18" i="2"/>
  <c r="DM18" i="2"/>
  <c r="DL18" i="2"/>
  <c r="Q2" i="2"/>
  <c r="AY9" i="2"/>
  <c r="AX12" i="2"/>
  <c r="AY7" i="2"/>
  <c r="AX3" i="2"/>
  <c r="AX9" i="2"/>
  <c r="AX7" i="2"/>
  <c r="AY4" i="2"/>
  <c r="AX5" i="2"/>
  <c r="AX37" i="2"/>
  <c r="AX38" i="2"/>
  <c r="AX41" i="2"/>
  <c r="AX34" i="2"/>
  <c r="AY24" i="2"/>
  <c r="AX42" i="2"/>
  <c r="AY3" i="2"/>
  <c r="AX43" i="2"/>
  <c r="AX27" i="2"/>
  <c r="AY47" i="2"/>
  <c r="AX50" i="2"/>
  <c r="AY51" i="2"/>
  <c r="AX4" i="2"/>
  <c r="AX11" i="2"/>
  <c r="AY5" i="2"/>
  <c r="AY37" i="2"/>
  <c r="AY38" i="2"/>
  <c r="AY34" i="2"/>
  <c r="AX32" i="2"/>
  <c r="AY31" i="2"/>
  <c r="AX44" i="2"/>
  <c r="AX47" i="2"/>
  <c r="AY39" i="2"/>
  <c r="AX24" i="2"/>
  <c r="AY42" i="2"/>
  <c r="AY12" i="2"/>
  <c r="AY11" i="2"/>
  <c r="AY41" i="2"/>
  <c r="AY43" i="2"/>
  <c r="AY32" i="2"/>
  <c r="AY27" i="2"/>
  <c r="AY50" i="2"/>
  <c r="AX51" i="2"/>
  <c r="DL21" i="2"/>
  <c r="AY48" i="2"/>
  <c r="GD48" i="2"/>
  <c r="AW35" i="2"/>
  <c r="AW48" i="2"/>
  <c r="FO13" i="2"/>
  <c r="FO12" i="2"/>
  <c r="AW13" i="2"/>
  <c r="A5" i="2"/>
  <c r="DL3" i="2"/>
  <c r="DL4" i="2"/>
  <c r="DL11" i="2"/>
  <c r="AM34" i="8"/>
  <c r="II7" i="2"/>
  <c r="DL9" i="2"/>
  <c r="AL6" i="2"/>
  <c r="AW2" i="2"/>
  <c r="EV45" i="2"/>
  <c r="EV48" i="2"/>
  <c r="EV47" i="2"/>
  <c r="EV46" i="2"/>
  <c r="EV107" i="2"/>
  <c r="EV49" i="2"/>
  <c r="EV52" i="2"/>
  <c r="EV43" i="2"/>
  <c r="EV38" i="2"/>
  <c r="EV30" i="2"/>
  <c r="EV23" i="2"/>
  <c r="EV16" i="2"/>
  <c r="EV21" i="2"/>
  <c r="EV7" i="2"/>
  <c r="EV5" i="2"/>
  <c r="EV171" i="2"/>
  <c r="EV135" i="2"/>
  <c r="EV178" i="2"/>
  <c r="EV118" i="2"/>
  <c r="EV54" i="2"/>
  <c r="EV141" i="2"/>
  <c r="EV196" i="2"/>
  <c r="EV116" i="2"/>
  <c r="EV191" i="2"/>
  <c r="EV123" i="2"/>
  <c r="EV198" i="2"/>
  <c r="EV138" i="2"/>
  <c r="EV58" i="2"/>
  <c r="EV161" i="2"/>
  <c r="EV93" i="2"/>
  <c r="EV168" i="2"/>
  <c r="EV100" i="2"/>
  <c r="EV60" i="2"/>
  <c r="EV127" i="2"/>
  <c r="EV75" i="2"/>
  <c r="EV146" i="2"/>
  <c r="EV62" i="2"/>
  <c r="EV149" i="2"/>
  <c r="EV69" i="2"/>
  <c r="EV156" i="2"/>
  <c r="EV104" i="2"/>
  <c r="EV199" i="2"/>
  <c r="EV131" i="2"/>
  <c r="EV55" i="2"/>
  <c r="EV150" i="2"/>
  <c r="EV66" i="2"/>
  <c r="EV137" i="2"/>
  <c r="EV65" i="2"/>
  <c r="EV136" i="2"/>
  <c r="EV53" i="2"/>
  <c r="EV112" i="2"/>
  <c r="EV51" i="2"/>
  <c r="EV28" i="2"/>
  <c r="EV110" i="2"/>
  <c r="EV22" i="2"/>
  <c r="EV115" i="2"/>
  <c r="EV29" i="2"/>
  <c r="EV42" i="2"/>
  <c r="EV37" i="2"/>
  <c r="EV105" i="2"/>
  <c r="EV15" i="2"/>
  <c r="EV18" i="2"/>
  <c r="EV12" i="2"/>
  <c r="EV10" i="2"/>
  <c r="EV187" i="2"/>
  <c r="EV151" i="2"/>
  <c r="EV194" i="2"/>
  <c r="EV122" i="2"/>
  <c r="EV70" i="2"/>
  <c r="EV165" i="2"/>
  <c r="EV77" i="2"/>
  <c r="EV132" i="2"/>
  <c r="EV200" i="2"/>
  <c r="EV139" i="2"/>
  <c r="EV63" i="2"/>
  <c r="EV158" i="2"/>
  <c r="EV78" i="2"/>
  <c r="EV169" i="2"/>
  <c r="EV117" i="2"/>
  <c r="EV184" i="2"/>
  <c r="EV128" i="2"/>
  <c r="EV76" i="2"/>
  <c r="EV143" i="2"/>
  <c r="EV95" i="2"/>
  <c r="EV166" i="2"/>
  <c r="EV74" i="2"/>
  <c r="EV157" i="2"/>
  <c r="EV81" i="2"/>
  <c r="EV172" i="2"/>
  <c r="EV124" i="2"/>
  <c r="EV56" i="2"/>
  <c r="EV147" i="2"/>
  <c r="EV71" i="2"/>
  <c r="EV162" i="2"/>
  <c r="EV82" i="2"/>
  <c r="EV153" i="2"/>
  <c r="EV85" i="2"/>
  <c r="EV160" i="2"/>
  <c r="EV68" i="2"/>
  <c r="IS6" i="2"/>
  <c r="IS9" i="2"/>
  <c r="EV108" i="2"/>
  <c r="EV40" i="2"/>
  <c r="EV39" i="2"/>
  <c r="EV31" i="2"/>
  <c r="EV114" i="2"/>
  <c r="EV111" i="2"/>
  <c r="EV44" i="2"/>
  <c r="EV32" i="2"/>
  <c r="EV27" i="2"/>
  <c r="EV26" i="2"/>
  <c r="EV25" i="2"/>
  <c r="EV17" i="2"/>
  <c r="EV13" i="2"/>
  <c r="EV11" i="2"/>
  <c r="EV9" i="2"/>
  <c r="EV163" i="2"/>
  <c r="EV87" i="2"/>
  <c r="EV154" i="2"/>
  <c r="EV102" i="2"/>
  <c r="EV193" i="2"/>
  <c r="EV121" i="2"/>
  <c r="EV180" i="2"/>
  <c r="EV96" i="2"/>
  <c r="EV175" i="2"/>
  <c r="EV91" i="2"/>
  <c r="EV182" i="2"/>
  <c r="EV126" i="2"/>
  <c r="EV189" i="2"/>
  <c r="EV145" i="2"/>
  <c r="EV73" i="2"/>
  <c r="EV152" i="2"/>
  <c r="EV84" i="2"/>
  <c r="EV195" i="2"/>
  <c r="EV119" i="2"/>
  <c r="EV59" i="2"/>
  <c r="EV130" i="2"/>
  <c r="EV201" i="2"/>
  <c r="EV129" i="2"/>
  <c r="EV61" i="2"/>
  <c r="EV148" i="2"/>
  <c r="EV88" i="2"/>
  <c r="EV183" i="2"/>
  <c r="EV99" i="2"/>
  <c r="EV190" i="2"/>
  <c r="EV134" i="2"/>
  <c r="EV197" i="2"/>
  <c r="EV125" i="2"/>
  <c r="EV192" i="2"/>
  <c r="EV120" i="2"/>
  <c r="DM13" i="2"/>
  <c r="DN13" i="2"/>
  <c r="EV113" i="2"/>
  <c r="EV33" i="2"/>
  <c r="EV35" i="2"/>
  <c r="EV34" i="2"/>
  <c r="EV24" i="2"/>
  <c r="EV106" i="2"/>
  <c r="EV36" i="2"/>
  <c r="EV50" i="2"/>
  <c r="EV41" i="2"/>
  <c r="EV109" i="2"/>
  <c r="EV19" i="2"/>
  <c r="EV20" i="2"/>
  <c r="EV8" i="2"/>
  <c r="EV4" i="2"/>
  <c r="EV3" i="2"/>
  <c r="EV159" i="2"/>
  <c r="EV67" i="2"/>
  <c r="EV142" i="2"/>
  <c r="EV86" i="2"/>
  <c r="EV185" i="2"/>
  <c r="EV89" i="2"/>
  <c r="EV164" i="2"/>
  <c r="EV64" i="2"/>
  <c r="EV155" i="2"/>
  <c r="EV79" i="2"/>
  <c r="EV170" i="2"/>
  <c r="EV90" i="2"/>
  <c r="EV173" i="2"/>
  <c r="EV133" i="2"/>
  <c r="EV57" i="2"/>
  <c r="EV144" i="2"/>
  <c r="EV80" i="2"/>
  <c r="EV179" i="2"/>
  <c r="EV103" i="2"/>
  <c r="EV186" i="2"/>
  <c r="EV94" i="2"/>
  <c r="EV177" i="2"/>
  <c r="EV97" i="2"/>
  <c r="EV188" i="2"/>
  <c r="EV140" i="2"/>
  <c r="EV72" i="2"/>
  <c r="EV167" i="2"/>
  <c r="EV83" i="2"/>
  <c r="EV174" i="2"/>
  <c r="EV98" i="2"/>
  <c r="EV181" i="2"/>
  <c r="EV101" i="2"/>
  <c r="EV176" i="2"/>
  <c r="EV92" i="2"/>
  <c r="GD13" i="2"/>
  <c r="EA53" i="2"/>
  <c r="EA112" i="2"/>
  <c r="EA51" i="2"/>
  <c r="EA28" i="2"/>
  <c r="EA110" i="2"/>
  <c r="EA22" i="2"/>
  <c r="EA115" i="2"/>
  <c r="EA29" i="2"/>
  <c r="EA42" i="2"/>
  <c r="EA37" i="2"/>
  <c r="EA105" i="2"/>
  <c r="EA15" i="2"/>
  <c r="EA18" i="2"/>
  <c r="EA12" i="2"/>
  <c r="EA10" i="2"/>
  <c r="EA187" i="2"/>
  <c r="EA151" i="2"/>
  <c r="EA194" i="2"/>
  <c r="EA122" i="2"/>
  <c r="EA70" i="2"/>
  <c r="EA165" i="2"/>
  <c r="EA77" i="2"/>
  <c r="EA132" i="2"/>
  <c r="EA200" i="2"/>
  <c r="EA139" i="2"/>
  <c r="EA63" i="2"/>
  <c r="EA158" i="2"/>
  <c r="EA78" i="2"/>
  <c r="EA169" i="2"/>
  <c r="EA117" i="2"/>
  <c r="EA184" i="2"/>
  <c r="EA128" i="2"/>
  <c r="EA76" i="2"/>
  <c r="EA143" i="2"/>
  <c r="EA95" i="2"/>
  <c r="EA166" i="2"/>
  <c r="EA74" i="2"/>
  <c r="EA157" i="2"/>
  <c r="EA81" i="2"/>
  <c r="EA172" i="2"/>
  <c r="EA124" i="2"/>
  <c r="EA56" i="2"/>
  <c r="EA147" i="2"/>
  <c r="EA71" i="2"/>
  <c r="EA162" i="2"/>
  <c r="EA82" i="2"/>
  <c r="EA153" i="2"/>
  <c r="EA85" i="2"/>
  <c r="EA160" i="2"/>
  <c r="EA68" i="2"/>
  <c r="EA45" i="2"/>
  <c r="EA48" i="2"/>
  <c r="EA47" i="2"/>
  <c r="EA46" i="2"/>
  <c r="EA107" i="2"/>
  <c r="EA49" i="2"/>
  <c r="EA52" i="2"/>
  <c r="EA43" i="2"/>
  <c r="EA38" i="2"/>
  <c r="EA30" i="2"/>
  <c r="EA23" i="2"/>
  <c r="EA16" i="2"/>
  <c r="EA21" i="2"/>
  <c r="EA7" i="2"/>
  <c r="EA5" i="2"/>
  <c r="EA171" i="2"/>
  <c r="EA135" i="2"/>
  <c r="EA178" i="2"/>
  <c r="EA118" i="2"/>
  <c r="EA54" i="2"/>
  <c r="EA141" i="2"/>
  <c r="EA196" i="2"/>
  <c r="EA116" i="2"/>
  <c r="EA191" i="2"/>
  <c r="EA123" i="2"/>
  <c r="EA198" i="2"/>
  <c r="EA138" i="2"/>
  <c r="EA58" i="2"/>
  <c r="EA161" i="2"/>
  <c r="EA93" i="2"/>
  <c r="EA168" i="2"/>
  <c r="EA100" i="2"/>
  <c r="EA60" i="2"/>
  <c r="EA127" i="2"/>
  <c r="EA75" i="2"/>
  <c r="EA146" i="2"/>
  <c r="EA62" i="2"/>
  <c r="EA149" i="2"/>
  <c r="EA69" i="2"/>
  <c r="EA156" i="2"/>
  <c r="EA104" i="2"/>
  <c r="EA199" i="2"/>
  <c r="EA131" i="2"/>
  <c r="EA55" i="2"/>
  <c r="EA150" i="2"/>
  <c r="EA66" i="2"/>
  <c r="EA137" i="2"/>
  <c r="EA65" i="2"/>
  <c r="EA136" i="2"/>
  <c r="EA108" i="2"/>
  <c r="EA40" i="2"/>
  <c r="EA39" i="2"/>
  <c r="EA31" i="2"/>
  <c r="EA114" i="2"/>
  <c r="EA111" i="2"/>
  <c r="EA44" i="2"/>
  <c r="EA32" i="2"/>
  <c r="EA27" i="2"/>
  <c r="EA26" i="2"/>
  <c r="EA25" i="2"/>
  <c r="EA17" i="2"/>
  <c r="EA13" i="2"/>
  <c r="EA11" i="2"/>
  <c r="EA9" i="2"/>
  <c r="EA163" i="2"/>
  <c r="EA87" i="2"/>
  <c r="EA154" i="2"/>
  <c r="EA102" i="2"/>
  <c r="EA193" i="2"/>
  <c r="EA121" i="2"/>
  <c r="EA180" i="2"/>
  <c r="EA96" i="2"/>
  <c r="EA175" i="2"/>
  <c r="EA91" i="2"/>
  <c r="EA182" i="2"/>
  <c r="EA126" i="2"/>
  <c r="EA189" i="2"/>
  <c r="EA145" i="2"/>
  <c r="EA73" i="2"/>
  <c r="EA152" i="2"/>
  <c r="EA84" i="2"/>
  <c r="EA195" i="2"/>
  <c r="EA119" i="2"/>
  <c r="EA59" i="2"/>
  <c r="EA130" i="2"/>
  <c r="EA201" i="2"/>
  <c r="EA129" i="2"/>
  <c r="EA61" i="2"/>
  <c r="EA148" i="2"/>
  <c r="EA88" i="2"/>
  <c r="EA183" i="2"/>
  <c r="EA99" i="2"/>
  <c r="EA190" i="2"/>
  <c r="EA134" i="2"/>
  <c r="EA197" i="2"/>
  <c r="EA125" i="2"/>
  <c r="EA192" i="2"/>
  <c r="EA120" i="2"/>
  <c r="EA113" i="2"/>
  <c r="EA33" i="2"/>
  <c r="EA35" i="2"/>
  <c r="EA34" i="2"/>
  <c r="EA24" i="2"/>
  <c r="EA106" i="2"/>
  <c r="EA36" i="2"/>
  <c r="EA50" i="2"/>
  <c r="EA41" i="2"/>
  <c r="EA109" i="2"/>
  <c r="EA19" i="2"/>
  <c r="EA20" i="2"/>
  <c r="EA8" i="2"/>
  <c r="EA4" i="2"/>
  <c r="EA3" i="2"/>
  <c r="EA159" i="2"/>
  <c r="EA67" i="2"/>
  <c r="EA142" i="2"/>
  <c r="EA86" i="2"/>
  <c r="EA185" i="2"/>
  <c r="EA89" i="2"/>
  <c r="EA164" i="2"/>
  <c r="EA64" i="2"/>
  <c r="EA155" i="2"/>
  <c r="EA79" i="2"/>
  <c r="EA170" i="2"/>
  <c r="EA90" i="2"/>
  <c r="EA173" i="2"/>
  <c r="EA133" i="2"/>
  <c r="EA57" i="2"/>
  <c r="EA144" i="2"/>
  <c r="EA80" i="2"/>
  <c r="EA179" i="2"/>
  <c r="EA103" i="2"/>
  <c r="EA186" i="2"/>
  <c r="EA94" i="2"/>
  <c r="EA177" i="2"/>
  <c r="EA97" i="2"/>
  <c r="EA188" i="2"/>
  <c r="EA140" i="2"/>
  <c r="EA72" i="2"/>
  <c r="EA167" i="2"/>
  <c r="EA83" i="2"/>
  <c r="EA174" i="2"/>
  <c r="EA98" i="2"/>
  <c r="EA181" i="2"/>
  <c r="EA101" i="2"/>
  <c r="EA176" i="2"/>
  <c r="EA92" i="2"/>
  <c r="ER45" i="2"/>
  <c r="EB45" i="2"/>
  <c r="ES45" i="2"/>
  <c r="EU45" i="2"/>
  <c r="ER113" i="2"/>
  <c r="EB113" i="2"/>
  <c r="ES113" i="2"/>
  <c r="EU113" i="2"/>
  <c r="EB48" i="2"/>
  <c r="ES48" i="2"/>
  <c r="EU48" i="2"/>
  <c r="ER48" i="2"/>
  <c r="ER33" i="2"/>
  <c r="EB33" i="2"/>
  <c r="ES33" i="2"/>
  <c r="ER47" i="2"/>
  <c r="EB47" i="2"/>
  <c r="ES47" i="2"/>
  <c r="EU47" i="2"/>
  <c r="EB35" i="2"/>
  <c r="ES35" i="2"/>
  <c r="ER35" i="2"/>
  <c r="EB46" i="2"/>
  <c r="ES46" i="2"/>
  <c r="EU46" i="2"/>
  <c r="ER46" i="2"/>
  <c r="EB34" i="2"/>
  <c r="ES34" i="2"/>
  <c r="ER34" i="2"/>
  <c r="EB107" i="2"/>
  <c r="ER107" i="2"/>
  <c r="ES107" i="2"/>
  <c r="EU107" i="2"/>
  <c r="ES24" i="2"/>
  <c r="ER24" i="2"/>
  <c r="EB24" i="2"/>
  <c r="EB49" i="2"/>
  <c r="ES49" i="2"/>
  <c r="EU49" i="2"/>
  <c r="ER49" i="2"/>
  <c r="EB106" i="2"/>
  <c r="ES106" i="2"/>
  <c r="EU106" i="2"/>
  <c r="ER106" i="2"/>
  <c r="EB52" i="2"/>
  <c r="ER52" i="2"/>
  <c r="ES52" i="2"/>
  <c r="EU52" i="2"/>
  <c r="EB36" i="2"/>
  <c r="ER36" i="2"/>
  <c r="ES36" i="2"/>
  <c r="EB43" i="2"/>
  <c r="ES43" i="2"/>
  <c r="EU43" i="2"/>
  <c r="ER43" i="2"/>
  <c r="ES50" i="2"/>
  <c r="EU50" i="2"/>
  <c r="ER50" i="2"/>
  <c r="EB50" i="2"/>
  <c r="EB38" i="2"/>
  <c r="ES38" i="2"/>
  <c r="EU38" i="2"/>
  <c r="ER38" i="2"/>
  <c r="EB41" i="2"/>
  <c r="ES41" i="2"/>
  <c r="EU41" i="2"/>
  <c r="ER41" i="2"/>
  <c r="ES30" i="2"/>
  <c r="ER30" i="2"/>
  <c r="EB30" i="2"/>
  <c r="EB109" i="2"/>
  <c r="ES109" i="2"/>
  <c r="EU109" i="2"/>
  <c r="ER109" i="2"/>
  <c r="EB23" i="2"/>
  <c r="ES23" i="2"/>
  <c r="ER23" i="2"/>
  <c r="ES19" i="2"/>
  <c r="ER19" i="2"/>
  <c r="EB19" i="2"/>
  <c r="EB16" i="2"/>
  <c r="ES16" i="2"/>
  <c r="ER16" i="2"/>
  <c r="ER20" i="2"/>
  <c r="ES20" i="2"/>
  <c r="EB20" i="2"/>
  <c r="EB21" i="2"/>
  <c r="ES21" i="2"/>
  <c r="ER21" i="2"/>
  <c r="ER8" i="2"/>
  <c r="EB8" i="2"/>
  <c r="ES8" i="2"/>
  <c r="ER7" i="2"/>
  <c r="EB7" i="2"/>
  <c r="ES7" i="2"/>
  <c r="EB4" i="2"/>
  <c r="ES4" i="2"/>
  <c r="ER4" i="2"/>
  <c r="ES5" i="2"/>
  <c r="ER5" i="2"/>
  <c r="EB5" i="2"/>
  <c r="ER3" i="2"/>
  <c r="EB3" i="2"/>
  <c r="ES3" i="2"/>
  <c r="ER171" i="2"/>
  <c r="ES171" i="2"/>
  <c r="EU171" i="2"/>
  <c r="EB171" i="2"/>
  <c r="ER159" i="2"/>
  <c r="EB159" i="2"/>
  <c r="ES159" i="2"/>
  <c r="EU159" i="2"/>
  <c r="EB135" i="2"/>
  <c r="ES135" i="2"/>
  <c r="EU135" i="2"/>
  <c r="ER135" i="2"/>
  <c r="EB67" i="2"/>
  <c r="ES67" i="2"/>
  <c r="EU67" i="2"/>
  <c r="ER67" i="2"/>
  <c r="EB178" i="2"/>
  <c r="ER178" i="2"/>
  <c r="ES178" i="2"/>
  <c r="EU178" i="2"/>
  <c r="ER142" i="2"/>
  <c r="EB142" i="2"/>
  <c r="ES142" i="2"/>
  <c r="EU142" i="2"/>
  <c r="ER118" i="2"/>
  <c r="ES118" i="2"/>
  <c r="EU118" i="2"/>
  <c r="EB118" i="2"/>
  <c r="EB86" i="2"/>
  <c r="ES86" i="2"/>
  <c r="EU86" i="2"/>
  <c r="ER86" i="2"/>
  <c r="ES54" i="2"/>
  <c r="EU54" i="2"/>
  <c r="ER54" i="2"/>
  <c r="EB54" i="2"/>
  <c r="ES185" i="2"/>
  <c r="EU185" i="2"/>
  <c r="ER185" i="2"/>
  <c r="EB185" i="2"/>
  <c r="EB141" i="2"/>
  <c r="ES141" i="2"/>
  <c r="EU141" i="2"/>
  <c r="ER141" i="2"/>
  <c r="EB89" i="2"/>
  <c r="ES89" i="2"/>
  <c r="EU89" i="2"/>
  <c r="ER89" i="2"/>
  <c r="EB196" i="2"/>
  <c r="ES196" i="2"/>
  <c r="EU196" i="2"/>
  <c r="ER196" i="2"/>
  <c r="ER164" i="2"/>
  <c r="EB164" i="2"/>
  <c r="ES164" i="2"/>
  <c r="EU164" i="2"/>
  <c r="EB116" i="2"/>
  <c r="ES116" i="2"/>
  <c r="EU116" i="2"/>
  <c r="ER116" i="2"/>
  <c r="EB64" i="2"/>
  <c r="ES64" i="2"/>
  <c r="EU64" i="2"/>
  <c r="ER64" i="2"/>
  <c r="EB191" i="2"/>
  <c r="ES191" i="2"/>
  <c r="EU191" i="2"/>
  <c r="ER191" i="2"/>
  <c r="EB155" i="2"/>
  <c r="ES155" i="2"/>
  <c r="EU155" i="2"/>
  <c r="ER155" i="2"/>
  <c r="ER123" i="2"/>
  <c r="ES123" i="2"/>
  <c r="EU123" i="2"/>
  <c r="EB123" i="2"/>
  <c r="ES79" i="2"/>
  <c r="EU79" i="2"/>
  <c r="ER79" i="2"/>
  <c r="EB79" i="2"/>
  <c r="ER198" i="2"/>
  <c r="EB198" i="2"/>
  <c r="ES198" i="2"/>
  <c r="EU198" i="2"/>
  <c r="ES170" i="2"/>
  <c r="EU170" i="2"/>
  <c r="EB170" i="2"/>
  <c r="ER170" i="2"/>
  <c r="EB138" i="2"/>
  <c r="ES138" i="2"/>
  <c r="EU138" i="2"/>
  <c r="ER138" i="2"/>
  <c r="EB90" i="2"/>
  <c r="ES90" i="2"/>
  <c r="EU90" i="2"/>
  <c r="ER90" i="2"/>
  <c r="EB58" i="2"/>
  <c r="ES58" i="2"/>
  <c r="EU58" i="2"/>
  <c r="ER58" i="2"/>
  <c r="ES173" i="2"/>
  <c r="EU173" i="2"/>
  <c r="ER173" i="2"/>
  <c r="EB173" i="2"/>
  <c r="ES161" i="2"/>
  <c r="EU161" i="2"/>
  <c r="ER161" i="2"/>
  <c r="EB161" i="2"/>
  <c r="ES133" i="2"/>
  <c r="EU133" i="2"/>
  <c r="ER133" i="2"/>
  <c r="EB133" i="2"/>
  <c r="EB93" i="2"/>
  <c r="ES93" i="2"/>
  <c r="EU93" i="2"/>
  <c r="ER93" i="2"/>
  <c r="EB57" i="2"/>
  <c r="ES57" i="2"/>
  <c r="EU57" i="2"/>
  <c r="ER57" i="2"/>
  <c r="EB168" i="2"/>
  <c r="ES168" i="2"/>
  <c r="EU168" i="2"/>
  <c r="ER168" i="2"/>
  <c r="EB144" i="2"/>
  <c r="ES144" i="2"/>
  <c r="EU144" i="2"/>
  <c r="ER144" i="2"/>
  <c r="ES100" i="2"/>
  <c r="EU100" i="2"/>
  <c r="ER100" i="2"/>
  <c r="EB100" i="2"/>
  <c r="ES80" i="2"/>
  <c r="EU80" i="2"/>
  <c r="ER80" i="2"/>
  <c r="EB80" i="2"/>
  <c r="EB60" i="2"/>
  <c r="ER60" i="2"/>
  <c r="ES60" i="2"/>
  <c r="EU60" i="2"/>
  <c r="EB179" i="2"/>
  <c r="ES179" i="2"/>
  <c r="EU179" i="2"/>
  <c r="ER179" i="2"/>
  <c r="EB127" i="2"/>
  <c r="ES127" i="2"/>
  <c r="EU127" i="2"/>
  <c r="ER127" i="2"/>
  <c r="ES103" i="2"/>
  <c r="EU103" i="2"/>
  <c r="EB103" i="2"/>
  <c r="ER103" i="2"/>
  <c r="EB75" i="2"/>
  <c r="ES75" i="2"/>
  <c r="EU75" i="2"/>
  <c r="ER75" i="2"/>
  <c r="EB186" i="2"/>
  <c r="ES186" i="2"/>
  <c r="EU186" i="2"/>
  <c r="ER186" i="2"/>
  <c r="EB146" i="2"/>
  <c r="ES146" i="2"/>
  <c r="EU146" i="2"/>
  <c r="ER146" i="2"/>
  <c r="EB94" i="2"/>
  <c r="ES94" i="2"/>
  <c r="EU94" i="2"/>
  <c r="ER94" i="2"/>
  <c r="ES62" i="2"/>
  <c r="EU62" i="2"/>
  <c r="ER62" i="2"/>
  <c r="EB62" i="2"/>
  <c r="ES177" i="2"/>
  <c r="EU177" i="2"/>
  <c r="ER177" i="2"/>
  <c r="EB177" i="2"/>
  <c r="ES149" i="2"/>
  <c r="EU149" i="2"/>
  <c r="EB149" i="2"/>
  <c r="ER149" i="2"/>
  <c r="EB97" i="2"/>
  <c r="ES97" i="2"/>
  <c r="EU97" i="2"/>
  <c r="ER97" i="2"/>
  <c r="ER69" i="2"/>
  <c r="EB69" i="2"/>
  <c r="ES69" i="2"/>
  <c r="EU69" i="2"/>
  <c r="EB188" i="2"/>
  <c r="ER188" i="2"/>
  <c r="ES188" i="2"/>
  <c r="EU188" i="2"/>
  <c r="EB156" i="2"/>
  <c r="ES156" i="2"/>
  <c r="EU156" i="2"/>
  <c r="ER156" i="2"/>
  <c r="ES140" i="2"/>
  <c r="EU140" i="2"/>
  <c r="EB140" i="2"/>
  <c r="ER140" i="2"/>
  <c r="EB104" i="2"/>
  <c r="ES104" i="2"/>
  <c r="EU104" i="2"/>
  <c r="ER104" i="2"/>
  <c r="EB72" i="2"/>
  <c r="ES72" i="2"/>
  <c r="EU72" i="2"/>
  <c r="ER72" i="2"/>
  <c r="EB199" i="2"/>
  <c r="ES199" i="2"/>
  <c r="EU199" i="2"/>
  <c r="ER199" i="2"/>
  <c r="ES167" i="2"/>
  <c r="EU167" i="2"/>
  <c r="ER167" i="2"/>
  <c r="EB167" i="2"/>
  <c r="EB131" i="2"/>
  <c r="ES131" i="2"/>
  <c r="EU131" i="2"/>
  <c r="ER131" i="2"/>
  <c r="EB83" i="2"/>
  <c r="ES83" i="2"/>
  <c r="EU83" i="2"/>
  <c r="ER83" i="2"/>
  <c r="ES55" i="2"/>
  <c r="EU55" i="2"/>
  <c r="ER55" i="2"/>
  <c r="EB55" i="2"/>
  <c r="EB174" i="2"/>
  <c r="ES174" i="2"/>
  <c r="EU174" i="2"/>
  <c r="ER174" i="2"/>
  <c r="ES150" i="2"/>
  <c r="EU150" i="2"/>
  <c r="EB150" i="2"/>
  <c r="ER150" i="2"/>
  <c r="ER98" i="2"/>
  <c r="EB98" i="2"/>
  <c r="ES98" i="2"/>
  <c r="EU98" i="2"/>
  <c r="ES66" i="2"/>
  <c r="EU66" i="2"/>
  <c r="ER66" i="2"/>
  <c r="EB66" i="2"/>
  <c r="ES181" i="2"/>
  <c r="EU181" i="2"/>
  <c r="EB181" i="2"/>
  <c r="ER181" i="2"/>
  <c r="EB137" i="2"/>
  <c r="ER137" i="2"/>
  <c r="ES137" i="2"/>
  <c r="EU137" i="2"/>
  <c r="ES101" i="2"/>
  <c r="EU101" i="2"/>
  <c r="ER101" i="2"/>
  <c r="EB101" i="2"/>
  <c r="EB65" i="2"/>
  <c r="ES65" i="2"/>
  <c r="EU65" i="2"/>
  <c r="ER65" i="2"/>
  <c r="EB176" i="2"/>
  <c r="ER176" i="2"/>
  <c r="ES176" i="2"/>
  <c r="EU176" i="2"/>
  <c r="ER136" i="2"/>
  <c r="EB136" i="2"/>
  <c r="ES136" i="2"/>
  <c r="EU136" i="2"/>
  <c r="ES92" i="2"/>
  <c r="EU92" i="2"/>
  <c r="ER92" i="2"/>
  <c r="EB92" i="2"/>
  <c r="EB53" i="2"/>
  <c r="ES53" i="2"/>
  <c r="EU53" i="2"/>
  <c r="ER53" i="2"/>
  <c r="EB108" i="2"/>
  <c r="ER108" i="2"/>
  <c r="ES108" i="2"/>
  <c r="EU108" i="2"/>
  <c r="ES112" i="2"/>
  <c r="EU112" i="2"/>
  <c r="ER112" i="2"/>
  <c r="EB112" i="2"/>
  <c r="ES40" i="2"/>
  <c r="EU40" i="2"/>
  <c r="ER40" i="2"/>
  <c r="EB40" i="2"/>
  <c r="ES51" i="2"/>
  <c r="EU51" i="2"/>
  <c r="ER51" i="2"/>
  <c r="EB51" i="2"/>
  <c r="ES39" i="2"/>
  <c r="EU39" i="2"/>
  <c r="ER39" i="2"/>
  <c r="EB39" i="2"/>
  <c r="ER28" i="2"/>
  <c r="ES28" i="2"/>
  <c r="EB28" i="2"/>
  <c r="EB31" i="2"/>
  <c r="ES31" i="2"/>
  <c r="ER31" i="2"/>
  <c r="EB110" i="2"/>
  <c r="ES110" i="2"/>
  <c r="EU110" i="2"/>
  <c r="ER110" i="2"/>
  <c r="EB114" i="2"/>
  <c r="ES114" i="2"/>
  <c r="EU114" i="2"/>
  <c r="ER114" i="2"/>
  <c r="ER22" i="2"/>
  <c r="EB22" i="2"/>
  <c r="ES22" i="2"/>
  <c r="EB111" i="2"/>
  <c r="ES111" i="2"/>
  <c r="EU111" i="2"/>
  <c r="ER111" i="2"/>
  <c r="ER115" i="2"/>
  <c r="EB115" i="2"/>
  <c r="ES115" i="2"/>
  <c r="EU115" i="2"/>
  <c r="EB44" i="2"/>
  <c r="ER44" i="2"/>
  <c r="ES44" i="2"/>
  <c r="EU44" i="2"/>
  <c r="ER29" i="2"/>
  <c r="EB29" i="2"/>
  <c r="ES29" i="2"/>
  <c r="ER32" i="2"/>
  <c r="ES32" i="2"/>
  <c r="EB32" i="2"/>
  <c r="EB42" i="2"/>
  <c r="ES42" i="2"/>
  <c r="EU42" i="2"/>
  <c r="ER42" i="2"/>
  <c r="ER27" i="2"/>
  <c r="EB27" i="2"/>
  <c r="ES27" i="2"/>
  <c r="ER37" i="2"/>
  <c r="EB37" i="2"/>
  <c r="ES37" i="2"/>
  <c r="EU37" i="2"/>
  <c r="EB26" i="2"/>
  <c r="ES26" i="2"/>
  <c r="ER26" i="2"/>
  <c r="ER105" i="2"/>
  <c r="EB105" i="2"/>
  <c r="ES105" i="2"/>
  <c r="EU105" i="2"/>
  <c r="ER25" i="2"/>
  <c r="EB25" i="2"/>
  <c r="ES25" i="2"/>
  <c r="EU25" i="2"/>
  <c r="ER15" i="2"/>
  <c r="EB15" i="2"/>
  <c r="ES15" i="2"/>
  <c r="ER17" i="2"/>
  <c r="EB17" i="2"/>
  <c r="ES17" i="2"/>
  <c r="EB18" i="2"/>
  <c r="ES18" i="2"/>
  <c r="ER18" i="2"/>
  <c r="EB13" i="2"/>
  <c r="ES13" i="2"/>
  <c r="EU13" i="2"/>
  <c r="ER13" i="2"/>
  <c r="ES12" i="2"/>
  <c r="ER12" i="2"/>
  <c r="EB12" i="2"/>
  <c r="ES11" i="2"/>
  <c r="ER11" i="2"/>
  <c r="EB11" i="2"/>
  <c r="EB10" i="2"/>
  <c r="ES10" i="2"/>
  <c r="ER10" i="2"/>
  <c r="ES9" i="2"/>
  <c r="ER9" i="2"/>
  <c r="EB9" i="2"/>
  <c r="EB187" i="2"/>
  <c r="ES187" i="2"/>
  <c r="EU187" i="2"/>
  <c r="ER187" i="2"/>
  <c r="ES163" i="2"/>
  <c r="EU163" i="2"/>
  <c r="ER163" i="2"/>
  <c r="EB163" i="2"/>
  <c r="ES151" i="2"/>
  <c r="EU151" i="2"/>
  <c r="ER151" i="2"/>
  <c r="EB151" i="2"/>
  <c r="EB87" i="2"/>
  <c r="ER87" i="2"/>
  <c r="ES87" i="2"/>
  <c r="EU87" i="2"/>
  <c r="ES194" i="2"/>
  <c r="EU194" i="2"/>
  <c r="ER194" i="2"/>
  <c r="EB194" i="2"/>
  <c r="EB154" i="2"/>
  <c r="ES154" i="2"/>
  <c r="EU154" i="2"/>
  <c r="ER154" i="2"/>
  <c r="EB122" i="2"/>
  <c r="ES122" i="2"/>
  <c r="EU122" i="2"/>
  <c r="ER122" i="2"/>
  <c r="EB102" i="2"/>
  <c r="ES102" i="2"/>
  <c r="EU102" i="2"/>
  <c r="ER102" i="2"/>
  <c r="ER70" i="2"/>
  <c r="ES70" i="2"/>
  <c r="EU70" i="2"/>
  <c r="EB70" i="2"/>
  <c r="EB193" i="2"/>
  <c r="ER193" i="2"/>
  <c r="ES193" i="2"/>
  <c r="EU193" i="2"/>
  <c r="EB165" i="2"/>
  <c r="ES165" i="2"/>
  <c r="EU165" i="2"/>
  <c r="ER165" i="2"/>
  <c r="ER121" i="2"/>
  <c r="ES121" i="2"/>
  <c r="EU121" i="2"/>
  <c r="EB121" i="2"/>
  <c r="ES77" i="2"/>
  <c r="EU77" i="2"/>
  <c r="ER77" i="2"/>
  <c r="EB77" i="2"/>
  <c r="EB180" i="2"/>
  <c r="ES180" i="2"/>
  <c r="EU180" i="2"/>
  <c r="ER180" i="2"/>
  <c r="EB132" i="2"/>
  <c r="ES132" i="2"/>
  <c r="EU132" i="2"/>
  <c r="ER132" i="2"/>
  <c r="ES96" i="2"/>
  <c r="EU96" i="2"/>
  <c r="ER96" i="2"/>
  <c r="EB96" i="2"/>
  <c r="EB200" i="2"/>
  <c r="ES200" i="2"/>
  <c r="EU200" i="2"/>
  <c r="ER200" i="2"/>
  <c r="ER175" i="2"/>
  <c r="EB175" i="2"/>
  <c r="ES175" i="2"/>
  <c r="EU175" i="2"/>
  <c r="ER139" i="2"/>
  <c r="ES139" i="2"/>
  <c r="EU139" i="2"/>
  <c r="EB139" i="2"/>
  <c r="EB91" i="2"/>
  <c r="ER91" i="2"/>
  <c r="ES91" i="2"/>
  <c r="EU91" i="2"/>
  <c r="ER63" i="2"/>
  <c r="EB63" i="2"/>
  <c r="ES63" i="2"/>
  <c r="EU63" i="2"/>
  <c r="ES182" i="2"/>
  <c r="EU182" i="2"/>
  <c r="ER182" i="2"/>
  <c r="EB182" i="2"/>
  <c r="ER158" i="2"/>
  <c r="EB158" i="2"/>
  <c r="ES158" i="2"/>
  <c r="EU158" i="2"/>
  <c r="EB126" i="2"/>
  <c r="ES126" i="2"/>
  <c r="EU126" i="2"/>
  <c r="ER126" i="2"/>
  <c r="EB78" i="2"/>
  <c r="ES78" i="2"/>
  <c r="EU78" i="2"/>
  <c r="ER78" i="2"/>
  <c r="EB189" i="2"/>
  <c r="ES189" i="2"/>
  <c r="EU189" i="2"/>
  <c r="ER189" i="2"/>
  <c r="EB169" i="2"/>
  <c r="ES169" i="2"/>
  <c r="EU169" i="2"/>
  <c r="ER169" i="2"/>
  <c r="ES145" i="2"/>
  <c r="EU145" i="2"/>
  <c r="ER145" i="2"/>
  <c r="EB145" i="2"/>
  <c r="ER117" i="2"/>
  <c r="EB117" i="2"/>
  <c r="ES117" i="2"/>
  <c r="EU117" i="2"/>
  <c r="ER73" i="2"/>
  <c r="ES73" i="2"/>
  <c r="EU73" i="2"/>
  <c r="EB73" i="2"/>
  <c r="EB184" i="2"/>
  <c r="ES184" i="2"/>
  <c r="EU184" i="2"/>
  <c r="ER184" i="2"/>
  <c r="ER152" i="2"/>
  <c r="ES152" i="2"/>
  <c r="EU152" i="2"/>
  <c r="EB152" i="2"/>
  <c r="EB128" i="2"/>
  <c r="ES128" i="2"/>
  <c r="EU128" i="2"/>
  <c r="ER128" i="2"/>
  <c r="ER84" i="2"/>
  <c r="EB84" i="2"/>
  <c r="ES84" i="2"/>
  <c r="EU84" i="2"/>
  <c r="EB76" i="2"/>
  <c r="ER76" i="2"/>
  <c r="ES76" i="2"/>
  <c r="EU76" i="2"/>
  <c r="EB195" i="2"/>
  <c r="ES195" i="2"/>
  <c r="EU195" i="2"/>
  <c r="ER195" i="2"/>
  <c r="EB143" i="2"/>
  <c r="ES143" i="2"/>
  <c r="EU143" i="2"/>
  <c r="ER143" i="2"/>
  <c r="ER119" i="2"/>
  <c r="ES119" i="2"/>
  <c r="EU119" i="2"/>
  <c r="EB119" i="2"/>
  <c r="ES95" i="2"/>
  <c r="EU95" i="2"/>
  <c r="ER95" i="2"/>
  <c r="EB95" i="2"/>
  <c r="ER59" i="2"/>
  <c r="EB59" i="2"/>
  <c r="ES59" i="2"/>
  <c r="EU59" i="2"/>
  <c r="ES166" i="2"/>
  <c r="EU166" i="2"/>
  <c r="ER166" i="2"/>
  <c r="EB166" i="2"/>
  <c r="EB130" i="2"/>
  <c r="ES130" i="2"/>
  <c r="EU130" i="2"/>
  <c r="ER130" i="2"/>
  <c r="ER74" i="2"/>
  <c r="EB74" i="2"/>
  <c r="ES74" i="2"/>
  <c r="EU74" i="2"/>
  <c r="EB201" i="2"/>
  <c r="ES201" i="2"/>
  <c r="EU201" i="2"/>
  <c r="ER201" i="2"/>
  <c r="EB157" i="2"/>
  <c r="ES157" i="2"/>
  <c r="EU157" i="2"/>
  <c r="ER157" i="2"/>
  <c r="ER129" i="2"/>
  <c r="EB129" i="2"/>
  <c r="ES129" i="2"/>
  <c r="EU129" i="2"/>
  <c r="EB81" i="2"/>
  <c r="ES81" i="2"/>
  <c r="EU81" i="2"/>
  <c r="ER81" i="2"/>
  <c r="EB61" i="2"/>
  <c r="ES61" i="2"/>
  <c r="EU61" i="2"/>
  <c r="ER61" i="2"/>
  <c r="EB172" i="2"/>
  <c r="ES172" i="2"/>
  <c r="EU172" i="2"/>
  <c r="ER172" i="2"/>
  <c r="EB148" i="2"/>
  <c r="ES148" i="2"/>
  <c r="EU148" i="2"/>
  <c r="ER148" i="2"/>
  <c r="EB124" i="2"/>
  <c r="ER124" i="2"/>
  <c r="ES124" i="2"/>
  <c r="EU124" i="2"/>
  <c r="ES88" i="2"/>
  <c r="EU88" i="2"/>
  <c r="ER88" i="2"/>
  <c r="EB88" i="2"/>
  <c r="ES56" i="2"/>
  <c r="EU56" i="2"/>
  <c r="ER56" i="2"/>
  <c r="EB56" i="2"/>
  <c r="ER183" i="2"/>
  <c r="EB183" i="2"/>
  <c r="ES183" i="2"/>
  <c r="EU183" i="2"/>
  <c r="EB147" i="2"/>
  <c r="ES147" i="2"/>
  <c r="EU147" i="2"/>
  <c r="ER147" i="2"/>
  <c r="ER99" i="2"/>
  <c r="EB99" i="2"/>
  <c r="ES99" i="2"/>
  <c r="EU99" i="2"/>
  <c r="EB71" i="2"/>
  <c r="ES71" i="2"/>
  <c r="EU71" i="2"/>
  <c r="ER71" i="2"/>
  <c r="ES190" i="2"/>
  <c r="EU190" i="2"/>
  <c r="ER190" i="2"/>
  <c r="EB190" i="2"/>
  <c r="EB162" i="2"/>
  <c r="ES162" i="2"/>
  <c r="EU162" i="2"/>
  <c r="ER162" i="2"/>
  <c r="EB134" i="2"/>
  <c r="ES134" i="2"/>
  <c r="EU134" i="2"/>
  <c r="ER134" i="2"/>
  <c r="EB82" i="2"/>
  <c r="ER82" i="2"/>
  <c r="ES82" i="2"/>
  <c r="EU82" i="2"/>
  <c r="EB197" i="2"/>
  <c r="ES197" i="2"/>
  <c r="EU197" i="2"/>
  <c r="ER197" i="2"/>
  <c r="ER153" i="2"/>
  <c r="EB153" i="2"/>
  <c r="ES153" i="2"/>
  <c r="EU153" i="2"/>
  <c r="EB125" i="2"/>
  <c r="ES125" i="2"/>
  <c r="EU125" i="2"/>
  <c r="ER125" i="2"/>
  <c r="EB85" i="2"/>
  <c r="ES85" i="2"/>
  <c r="EU85" i="2"/>
  <c r="ER85" i="2"/>
  <c r="EB192" i="2"/>
  <c r="ES192" i="2"/>
  <c r="EU192" i="2"/>
  <c r="ER192" i="2"/>
  <c r="EB160" i="2"/>
  <c r="ES160" i="2"/>
  <c r="EU160" i="2"/>
  <c r="ER160" i="2"/>
  <c r="EB120" i="2"/>
  <c r="ES120" i="2"/>
  <c r="EU120" i="2"/>
  <c r="ER120" i="2"/>
  <c r="EB68" i="2"/>
  <c r="ER68" i="2"/>
  <c r="ES68" i="2"/>
  <c r="EU68" i="2"/>
  <c r="DM10" i="2"/>
  <c r="DN10" i="2"/>
  <c r="DN31" i="2"/>
  <c r="DM31" i="2"/>
  <c r="DM6" i="2"/>
  <c r="DN6" i="2"/>
  <c r="HQ20" i="2"/>
  <c r="DN35" i="2"/>
  <c r="DN14" i="2"/>
  <c r="DM14" i="2"/>
  <c r="GD35" i="2"/>
  <c r="GD2" i="2"/>
  <c r="DL6" i="2"/>
  <c r="DM35" i="2"/>
  <c r="DL35" i="2"/>
  <c r="DM48" i="2"/>
  <c r="DN48" i="2"/>
  <c r="DL48" i="2"/>
  <c r="HQ51" i="2"/>
  <c r="AX2" i="2"/>
  <c r="AY2" i="2"/>
  <c r="AX13" i="2"/>
  <c r="AY14" i="2"/>
  <c r="AX35" i="2"/>
  <c r="AY10" i="2"/>
  <c r="AX48" i="2"/>
  <c r="AY13" i="2"/>
  <c r="AX14" i="2"/>
  <c r="AX10" i="2"/>
  <c r="AY35" i="2"/>
  <c r="HQ41" i="2"/>
  <c r="HP41" i="2"/>
  <c r="HQ37" i="2"/>
  <c r="HQ42" i="2"/>
  <c r="HP42" i="2"/>
  <c r="HQ43" i="2"/>
  <c r="HQ49" i="2"/>
  <c r="HQ22" i="2"/>
  <c r="HP51" i="2"/>
  <c r="HQ27" i="2"/>
  <c r="HP27" i="2"/>
  <c r="HQ47" i="2"/>
  <c r="HP47" i="2"/>
  <c r="HQ50" i="2"/>
  <c r="HP50" i="2"/>
  <c r="HQ52" i="2"/>
  <c r="HP52" i="2"/>
  <c r="HQ53" i="2"/>
  <c r="HP53" i="2"/>
  <c r="HQ36" i="2"/>
  <c r="HP36" i="2"/>
  <c r="HQ29" i="2"/>
  <c r="HP29" i="2"/>
  <c r="HQ33" i="2"/>
  <c r="HP33" i="2"/>
  <c r="HQ30" i="2"/>
  <c r="HP30" i="2"/>
  <c r="HQ23" i="2"/>
  <c r="HQ26" i="2"/>
  <c r="HP26" i="2"/>
  <c r="HQ31" i="2"/>
  <c r="HQ40" i="2"/>
  <c r="HP40" i="2"/>
  <c r="HP49" i="2"/>
  <c r="HP22" i="2"/>
  <c r="HQ38" i="2"/>
  <c r="HP38" i="2"/>
  <c r="HQ28" i="2"/>
  <c r="HQ25" i="2"/>
  <c r="HP25" i="2"/>
  <c r="HQ32" i="2"/>
  <c r="HP32" i="2"/>
  <c r="HQ48" i="2"/>
  <c r="HQ46" i="2"/>
  <c r="HP46" i="2"/>
  <c r="HQ45" i="2"/>
  <c r="HQ35" i="2"/>
  <c r="HQ24" i="2"/>
  <c r="HP37" i="2"/>
  <c r="HP43" i="2"/>
  <c r="HQ34" i="2"/>
  <c r="HQ44" i="2"/>
  <c r="HP44" i="2"/>
  <c r="HQ39" i="2"/>
  <c r="HQ108" i="2"/>
  <c r="HP108" i="2"/>
  <c r="HQ115" i="2"/>
  <c r="HP115" i="2"/>
  <c r="HQ107" i="2"/>
  <c r="HP107" i="2"/>
  <c r="HQ110" i="2"/>
  <c r="HP110" i="2"/>
  <c r="HQ109" i="2"/>
  <c r="HP109" i="2"/>
  <c r="HQ106" i="2"/>
  <c r="HP106" i="2"/>
  <c r="HQ105" i="2"/>
  <c r="HP105" i="2"/>
  <c r="HQ112" i="2"/>
  <c r="HP112" i="2"/>
  <c r="HQ111" i="2"/>
  <c r="HP111" i="2"/>
  <c r="HQ113" i="2"/>
  <c r="HP113" i="2"/>
  <c r="HQ114" i="2"/>
  <c r="HP114" i="2"/>
  <c r="DL10" i="2"/>
  <c r="DX196" i="2"/>
  <c r="DX194" i="2"/>
  <c r="DX198" i="2"/>
  <c r="DX200" i="2"/>
  <c r="DX190" i="2"/>
  <c r="DX179" i="2"/>
  <c r="DX187" i="2"/>
  <c r="DX171" i="2"/>
  <c r="DX149" i="2"/>
  <c r="DX165" i="2"/>
  <c r="DX185" i="2"/>
  <c r="DX181" i="2"/>
  <c r="DX159" i="2"/>
  <c r="DX195" i="2"/>
  <c r="DX180" i="2"/>
  <c r="DX178" i="2"/>
  <c r="DX172" i="2"/>
  <c r="DX164" i="2"/>
  <c r="DX150" i="2"/>
  <c r="DX129" i="2"/>
  <c r="DX114" i="2"/>
  <c r="DX119" i="2"/>
  <c r="DX102" i="2"/>
  <c r="DX118" i="2"/>
  <c r="DX110" i="2"/>
  <c r="DX106" i="2"/>
  <c r="DX89" i="2"/>
  <c r="DX97" i="2"/>
  <c r="DX92" i="2"/>
  <c r="DX90" i="2"/>
  <c r="DX83" i="2"/>
  <c r="DX175" i="2"/>
  <c r="DX163" i="2"/>
  <c r="DX155" i="2"/>
  <c r="DX177" i="2"/>
  <c r="DX161" i="2"/>
  <c r="DX157" i="2"/>
  <c r="DX197" i="2"/>
  <c r="DX191" i="2"/>
  <c r="DX188" i="2"/>
  <c r="DX182" i="2"/>
  <c r="DX174" i="2"/>
  <c r="DX166" i="2"/>
  <c r="DX158" i="2"/>
  <c r="DX152" i="2"/>
  <c r="DX139" i="2"/>
  <c r="DX126" i="2"/>
  <c r="DX141" i="2"/>
  <c r="DX128" i="2"/>
  <c r="DX146" i="2"/>
  <c r="DX142" i="2"/>
  <c r="DX125" i="2"/>
  <c r="DX124" i="2"/>
  <c r="DX137" i="2"/>
  <c r="DX133" i="2"/>
  <c r="DX120" i="2"/>
  <c r="DX112" i="2"/>
  <c r="DX153" i="2"/>
  <c r="DX173" i="2"/>
  <c r="DX147" i="2"/>
  <c r="DX183" i="2"/>
  <c r="DX199" i="2"/>
  <c r="DX184" i="2"/>
  <c r="DX167" i="2"/>
  <c r="DX176" i="2"/>
  <c r="DX168" i="2"/>
  <c r="DX160" i="2"/>
  <c r="DX154" i="2"/>
  <c r="DX143" i="2"/>
  <c r="DX127" i="2"/>
  <c r="DX122" i="2"/>
  <c r="DX138" i="2"/>
  <c r="DX136" i="2"/>
  <c r="DX134" i="2"/>
  <c r="DX132" i="2"/>
  <c r="DX130" i="2"/>
  <c r="DX117" i="2"/>
  <c r="DX115" i="2"/>
  <c r="DX123" i="2"/>
  <c r="DX108" i="2"/>
  <c r="DX107" i="2"/>
  <c r="DX93" i="2"/>
  <c r="DX86" i="2"/>
  <c r="DX80" i="2"/>
  <c r="DX192" i="2"/>
  <c r="DX151" i="2"/>
  <c r="DX169" i="2"/>
  <c r="DX201" i="2"/>
  <c r="DX193" i="2"/>
  <c r="DX189" i="2"/>
  <c r="DX186" i="2"/>
  <c r="DX170" i="2"/>
  <c r="DX162" i="2"/>
  <c r="DX156" i="2"/>
  <c r="DX148" i="2"/>
  <c r="DX145" i="2"/>
  <c r="DX121" i="2"/>
  <c r="DX104" i="2"/>
  <c r="DX144" i="2"/>
  <c r="DX140" i="2"/>
  <c r="DX116" i="2"/>
  <c r="DX113" i="2"/>
  <c r="DX135" i="2"/>
  <c r="DX131" i="2"/>
  <c r="DX111" i="2"/>
  <c r="DX100" i="2"/>
  <c r="DX87" i="2"/>
  <c r="DX91" i="2"/>
  <c r="DX105" i="2"/>
  <c r="DX101" i="2"/>
  <c r="DX95" i="2"/>
  <c r="DX81" i="2"/>
  <c r="DX96" i="2"/>
  <c r="DX99" i="2"/>
  <c r="DX78" i="2"/>
  <c r="DX71" i="2"/>
  <c r="DX79" i="2"/>
  <c r="DX75" i="2"/>
  <c r="DX67" i="2"/>
  <c r="DX65" i="2"/>
  <c r="DX56" i="2"/>
  <c r="DX103" i="2"/>
  <c r="DX94" i="2"/>
  <c r="DX84" i="2"/>
  <c r="DX72" i="2"/>
  <c r="DX68" i="2"/>
  <c r="DX58" i="2"/>
  <c r="DX60" i="2"/>
  <c r="DX69" i="2"/>
  <c r="DX61" i="2"/>
  <c r="DX59" i="2"/>
  <c r="DX55" i="2"/>
  <c r="DX85" i="2"/>
  <c r="DX98" i="2"/>
  <c r="DX82" i="2"/>
  <c r="DX70" i="2"/>
  <c r="DX76" i="2"/>
  <c r="DX74" i="2"/>
  <c r="DX77" i="2"/>
  <c r="DX73" i="2"/>
  <c r="DX64" i="2"/>
  <c r="DX54" i="2"/>
  <c r="DX63" i="2"/>
  <c r="DX109" i="2"/>
  <c r="DX88" i="2"/>
  <c r="DX62" i="2"/>
  <c r="DX52" i="2"/>
  <c r="DX66" i="2"/>
  <c r="DX57" i="2"/>
  <c r="DX53" i="2"/>
  <c r="HQ19" i="2"/>
  <c r="HP19" i="2"/>
  <c r="HQ5" i="2"/>
  <c r="HP5" i="2"/>
  <c r="HQ12" i="2"/>
  <c r="HP12" i="2"/>
  <c r="HQ16" i="2"/>
  <c r="HP16" i="2"/>
  <c r="HQ9" i="2"/>
  <c r="HP9" i="2"/>
  <c r="HQ13" i="2"/>
  <c r="HQ10" i="2"/>
  <c r="HP10" i="2"/>
  <c r="HQ18" i="2"/>
  <c r="HP18" i="2"/>
  <c r="HQ17" i="2"/>
  <c r="HQ7" i="2"/>
  <c r="HQ4" i="2"/>
  <c r="HP4" i="2"/>
  <c r="HQ14" i="2"/>
  <c r="HP17" i="2"/>
  <c r="HP20" i="2"/>
  <c r="HQ3" i="2"/>
  <c r="HP3" i="2"/>
  <c r="HQ2" i="2"/>
  <c r="HQ6" i="2"/>
  <c r="HP6" i="2"/>
  <c r="HQ11" i="2"/>
  <c r="HQ8" i="2"/>
  <c r="HP8" i="2"/>
  <c r="HQ21" i="2"/>
  <c r="HP21" i="2"/>
  <c r="HQ15" i="2"/>
  <c r="DX10" i="2"/>
  <c r="DX43" i="2"/>
  <c r="DX29" i="2"/>
  <c r="DX33" i="2"/>
  <c r="DX12" i="2"/>
  <c r="DX48" i="2"/>
  <c r="DX45" i="2"/>
  <c r="DX38" i="2"/>
  <c r="DX32" i="2"/>
  <c r="DX27" i="2"/>
  <c r="DX34" i="2"/>
  <c r="DX13" i="2"/>
  <c r="DX49" i="2"/>
  <c r="DX36" i="2"/>
  <c r="DX24" i="2"/>
  <c r="DX31" i="2"/>
  <c r="DX30" i="2"/>
  <c r="DX17" i="2"/>
  <c r="DX18" i="2"/>
  <c r="DX41" i="2"/>
  <c r="DX47" i="2"/>
  <c r="DX39" i="2"/>
  <c r="DX28" i="2"/>
  <c r="DX16" i="2"/>
  <c r="DX22" i="2"/>
  <c r="DX35" i="2"/>
  <c r="DX50" i="2"/>
  <c r="DX9" i="2"/>
  <c r="DX19" i="2"/>
  <c r="DX37" i="2"/>
  <c r="DX42" i="2"/>
  <c r="DX44" i="2"/>
  <c r="DX51" i="2"/>
  <c r="DX25" i="2"/>
  <c r="DX15" i="2"/>
  <c r="DX4" i="2"/>
  <c r="DX21" i="2"/>
  <c r="DX20" i="2"/>
  <c r="DX40" i="2"/>
  <c r="DX23" i="2"/>
  <c r="DX5" i="2"/>
  <c r="DX26" i="2"/>
  <c r="DX46" i="2"/>
  <c r="DX11" i="2"/>
  <c r="DX8" i="2"/>
  <c r="DL13" i="2"/>
  <c r="DX7" i="2"/>
  <c r="DX3" i="2"/>
  <c r="HP13" i="2"/>
  <c r="AL7" i="2"/>
  <c r="GI3" i="2"/>
  <c r="GI8" i="2"/>
  <c r="GI5" i="2"/>
  <c r="A6" i="2"/>
  <c r="EY17" i="2"/>
  <c r="DL2" i="2"/>
  <c r="EV14" i="2"/>
  <c r="EA14" i="2"/>
  <c r="EB6" i="2"/>
  <c r="EB2" i="2"/>
  <c r="AU13" i="8"/>
  <c r="IM13" i="2"/>
  <c r="B30" i="5"/>
  <c r="HP2" i="2"/>
  <c r="EB14" i="2"/>
  <c r="AU17" i="8"/>
  <c r="IM17" i="2"/>
  <c r="AU8" i="8"/>
  <c r="IM8" i="2"/>
  <c r="AU12" i="8"/>
  <c r="IM12" i="2"/>
  <c r="AU11" i="8"/>
  <c r="IM11" i="2"/>
  <c r="AU9" i="8"/>
  <c r="IM9" i="2"/>
  <c r="AU18" i="8"/>
  <c r="IM18" i="2"/>
  <c r="AU4" i="8"/>
  <c r="IM4" i="2"/>
  <c r="AU21" i="8"/>
  <c r="IM21" i="2"/>
  <c r="AU22" i="8"/>
  <c r="IM22" i="2"/>
  <c r="AU36" i="8"/>
  <c r="IM36" i="2"/>
  <c r="AU26" i="8"/>
  <c r="IM26" i="2"/>
  <c r="AU34" i="8"/>
  <c r="IM34" i="2"/>
  <c r="AU32" i="8"/>
  <c r="IM32" i="2"/>
  <c r="AU7" i="8"/>
  <c r="IM7" i="2"/>
  <c r="AU19" i="8"/>
  <c r="IM19" i="2"/>
  <c r="AU30" i="8"/>
  <c r="IM30" i="2"/>
  <c r="AU29" i="8"/>
  <c r="IM29" i="2"/>
  <c r="AU28" i="8"/>
  <c r="IM28" i="2"/>
  <c r="AU24" i="8"/>
  <c r="IM24" i="2"/>
  <c r="AU3" i="8"/>
  <c r="IM3" i="2"/>
  <c r="AU5" i="8"/>
  <c r="IM5" i="2"/>
  <c r="AU16" i="8"/>
  <c r="IM16" i="2"/>
  <c r="AU23" i="8"/>
  <c r="IM23" i="2"/>
  <c r="AU2" i="8"/>
  <c r="IM2" i="2"/>
  <c r="AU14" i="8"/>
  <c r="IM14" i="2"/>
  <c r="AU27" i="8"/>
  <c r="IM27" i="2"/>
  <c r="AU33" i="8"/>
  <c r="IM33" i="2"/>
  <c r="AU10" i="8"/>
  <c r="IM10" i="2"/>
  <c r="AU20" i="8"/>
  <c r="IM20" i="2"/>
  <c r="AU15" i="8"/>
  <c r="IM15" i="2"/>
  <c r="AU35" i="8"/>
  <c r="IM35" i="2"/>
  <c r="AU6" i="8"/>
  <c r="IM6" i="2"/>
  <c r="AU31" i="8"/>
  <c r="IM31" i="2"/>
  <c r="DW7" i="2"/>
  <c r="DY7" i="2"/>
  <c r="DU10" i="2"/>
  <c r="JI40" i="2"/>
  <c r="JJ40" i="2"/>
  <c r="JI44" i="2"/>
  <c r="JJ44" i="2"/>
  <c r="JI48" i="2"/>
  <c r="JJ48" i="2"/>
  <c r="JI52" i="2"/>
  <c r="JJ52" i="2"/>
  <c r="JI25" i="2"/>
  <c r="JJ25" i="2"/>
  <c r="JI37" i="2"/>
  <c r="JJ37" i="2"/>
  <c r="JI41" i="2"/>
  <c r="JJ41" i="2"/>
  <c r="JI45" i="2"/>
  <c r="JJ45" i="2"/>
  <c r="JI49" i="2"/>
  <c r="JJ49" i="2"/>
  <c r="JI53" i="2"/>
  <c r="JJ53" i="2"/>
  <c r="JI38" i="2"/>
  <c r="JJ38" i="2"/>
  <c r="JI42" i="2"/>
  <c r="JJ42" i="2"/>
  <c r="JI46" i="2"/>
  <c r="JJ46" i="2"/>
  <c r="JI50" i="2"/>
  <c r="JJ50" i="2"/>
  <c r="JI39" i="2"/>
  <c r="JJ39" i="2"/>
  <c r="JI43" i="2"/>
  <c r="JJ43" i="2"/>
  <c r="JI47" i="2"/>
  <c r="JJ47" i="2"/>
  <c r="JI51" i="2"/>
  <c r="JJ51" i="2"/>
  <c r="JI107" i="2"/>
  <c r="JJ107" i="2"/>
  <c r="JI111" i="2"/>
  <c r="JJ111" i="2"/>
  <c r="JI105" i="2"/>
  <c r="JJ105" i="2"/>
  <c r="JI106" i="2"/>
  <c r="JJ106" i="2"/>
  <c r="JI114" i="2"/>
  <c r="JJ114" i="2"/>
  <c r="JI115" i="2"/>
  <c r="JJ115" i="2"/>
  <c r="JI109" i="2"/>
  <c r="JJ109" i="2"/>
  <c r="JI110" i="2"/>
  <c r="JJ110" i="2"/>
  <c r="JI112" i="2"/>
  <c r="JJ112" i="2"/>
  <c r="JI108" i="2"/>
  <c r="JJ108" i="2"/>
  <c r="JI113" i="2"/>
  <c r="JJ113" i="2"/>
  <c r="HS51" i="2"/>
  <c r="HS34" i="2"/>
  <c r="HS24" i="2"/>
  <c r="HS28" i="2"/>
  <c r="HP24" i="2"/>
  <c r="HS31" i="2"/>
  <c r="HP31" i="2"/>
  <c r="HS29" i="2"/>
  <c r="HS53" i="2"/>
  <c r="HP48" i="2"/>
  <c r="HS27" i="2"/>
  <c r="HS43" i="2"/>
  <c r="HS35" i="2"/>
  <c r="HS48" i="2"/>
  <c r="HS38" i="2"/>
  <c r="HP35" i="2"/>
  <c r="HS26" i="2"/>
  <c r="HS30" i="2"/>
  <c r="HS36" i="2"/>
  <c r="HS52" i="2"/>
  <c r="HS50" i="2"/>
  <c r="HP34" i="2"/>
  <c r="HS42" i="2"/>
  <c r="HS39" i="2"/>
  <c r="HS45" i="2"/>
  <c r="HS32" i="2"/>
  <c r="HP28" i="2"/>
  <c r="HS23" i="2"/>
  <c r="HS33" i="2"/>
  <c r="HP39" i="2"/>
  <c r="HP45" i="2"/>
  <c r="HS22" i="2"/>
  <c r="HS37" i="2"/>
  <c r="HS44" i="2"/>
  <c r="HS46" i="2"/>
  <c r="HS25" i="2"/>
  <c r="HS40" i="2"/>
  <c r="HS47" i="2"/>
  <c r="HS49" i="2"/>
  <c r="HS41" i="2"/>
  <c r="HP23" i="2"/>
  <c r="HS110" i="2"/>
  <c r="HS114" i="2"/>
  <c r="HS111" i="2"/>
  <c r="HS105" i="2"/>
  <c r="HS107" i="2"/>
  <c r="HS112" i="2"/>
  <c r="HS106" i="2"/>
  <c r="HS115" i="2"/>
  <c r="HS113" i="2"/>
  <c r="HS109" i="2"/>
  <c r="HS108" i="2"/>
  <c r="EF66" i="2"/>
  <c r="DU66" i="2"/>
  <c r="EO66" i="2"/>
  <c r="EH66" i="2"/>
  <c r="ET66" i="2"/>
  <c r="EQ66" i="2"/>
  <c r="DV66" i="2"/>
  <c r="EL66" i="2"/>
  <c r="EE66" i="2"/>
  <c r="EN66" i="2"/>
  <c r="EG66" i="2"/>
  <c r="EI66" i="2"/>
  <c r="DY66" i="2"/>
  <c r="DW66" i="2"/>
  <c r="EM66" i="2"/>
  <c r="DY109" i="2"/>
  <c r="EE109" i="2"/>
  <c r="DV109" i="2"/>
  <c r="EO109" i="2"/>
  <c r="EL109" i="2"/>
  <c r="EM109" i="2"/>
  <c r="EF109" i="2"/>
  <c r="ET109" i="2"/>
  <c r="DW109" i="2"/>
  <c r="DU109" i="2"/>
  <c r="EN109" i="2"/>
  <c r="EG109" i="2"/>
  <c r="EH109" i="2"/>
  <c r="EI109" i="2"/>
  <c r="EQ109" i="2"/>
  <c r="DW73" i="2"/>
  <c r="EM73" i="2"/>
  <c r="DV73" i="2"/>
  <c r="EL73" i="2"/>
  <c r="EI73" i="2"/>
  <c r="EF73" i="2"/>
  <c r="DU73" i="2"/>
  <c r="EO73" i="2"/>
  <c r="EH73" i="2"/>
  <c r="ET73" i="2"/>
  <c r="EN73" i="2"/>
  <c r="EE73" i="2"/>
  <c r="EQ73" i="2"/>
  <c r="EG73" i="2"/>
  <c r="DY73" i="2"/>
  <c r="DV70" i="2"/>
  <c r="EL70" i="2"/>
  <c r="EO70" i="2"/>
  <c r="EM70" i="2"/>
  <c r="EI70" i="2"/>
  <c r="DU70" i="2"/>
  <c r="EQ70" i="2"/>
  <c r="EN70" i="2"/>
  <c r="EE70" i="2"/>
  <c r="ET70" i="2"/>
  <c r="DW70" i="2"/>
  <c r="DY70" i="2"/>
  <c r="EH70" i="2"/>
  <c r="EF70" i="2"/>
  <c r="EG70" i="2"/>
  <c r="EN55" i="2"/>
  <c r="EG55" i="2"/>
  <c r="EI55" i="2"/>
  <c r="EF55" i="2"/>
  <c r="ET55" i="2"/>
  <c r="EH55" i="2"/>
  <c r="EE55" i="2"/>
  <c r="EO55" i="2"/>
  <c r="EL55" i="2"/>
  <c r="EM55" i="2"/>
  <c r="DY55" i="2"/>
  <c r="DU55" i="2"/>
  <c r="DV55" i="2"/>
  <c r="DW55" i="2"/>
  <c r="EQ55" i="2"/>
  <c r="EH60" i="2"/>
  <c r="DW60" i="2"/>
  <c r="EF60" i="2"/>
  <c r="EQ60" i="2"/>
  <c r="EL60" i="2"/>
  <c r="DY60" i="2"/>
  <c r="DV60" i="2"/>
  <c r="EO60" i="2"/>
  <c r="EN60" i="2"/>
  <c r="DU60" i="2"/>
  <c r="EE60" i="2"/>
  <c r="ET60" i="2"/>
  <c r="EG60" i="2"/>
  <c r="EM60" i="2"/>
  <c r="EI60" i="2"/>
  <c r="EF84" i="2"/>
  <c r="DV84" i="2"/>
  <c r="EQ84" i="2"/>
  <c r="EM84" i="2"/>
  <c r="DU84" i="2"/>
  <c r="ET84" i="2"/>
  <c r="DW84" i="2"/>
  <c r="EN84" i="2"/>
  <c r="EG84" i="2"/>
  <c r="EI84" i="2"/>
  <c r="EE84" i="2"/>
  <c r="DY84" i="2"/>
  <c r="EL84" i="2"/>
  <c r="EH84" i="2"/>
  <c r="EO84" i="2"/>
  <c r="EH65" i="2"/>
  <c r="ET65" i="2"/>
  <c r="EQ65" i="2"/>
  <c r="EN65" i="2"/>
  <c r="EG65" i="2"/>
  <c r="DV65" i="2"/>
  <c r="EL65" i="2"/>
  <c r="EE65" i="2"/>
  <c r="DY65" i="2"/>
  <c r="EI65" i="2"/>
  <c r="EF65" i="2"/>
  <c r="DU65" i="2"/>
  <c r="EO65" i="2"/>
  <c r="DW65" i="2"/>
  <c r="EM65" i="2"/>
  <c r="EN71" i="2"/>
  <c r="EH71" i="2"/>
  <c r="EO71" i="2"/>
  <c r="EG71" i="2"/>
  <c r="DY71" i="2"/>
  <c r="EM71" i="2"/>
  <c r="DU71" i="2"/>
  <c r="EL71" i="2"/>
  <c r="EF71" i="2"/>
  <c r="DW71" i="2"/>
  <c r="DV71" i="2"/>
  <c r="EQ71" i="2"/>
  <c r="EI71" i="2"/>
  <c r="EE71" i="2"/>
  <c r="ET71" i="2"/>
  <c r="EN81" i="2"/>
  <c r="DU81" i="2"/>
  <c r="EQ81" i="2"/>
  <c r="DY81" i="2"/>
  <c r="EE81" i="2"/>
  <c r="ET81" i="2"/>
  <c r="DW81" i="2"/>
  <c r="EH81" i="2"/>
  <c r="EF81" i="2"/>
  <c r="EG81" i="2"/>
  <c r="DV81" i="2"/>
  <c r="EL81" i="2"/>
  <c r="EI81" i="2"/>
  <c r="EO81" i="2"/>
  <c r="EM81" i="2"/>
  <c r="EM91" i="2"/>
  <c r="EI91" i="2"/>
  <c r="EO91" i="2"/>
  <c r="EH91" i="2"/>
  <c r="ET91" i="2"/>
  <c r="DW91" i="2"/>
  <c r="DY91" i="2"/>
  <c r="EE91" i="2"/>
  <c r="DV91" i="2"/>
  <c r="EL91" i="2"/>
  <c r="EF91" i="2"/>
  <c r="EG91" i="2"/>
  <c r="DU91" i="2"/>
  <c r="EQ91" i="2"/>
  <c r="EN91" i="2"/>
  <c r="EF131" i="2"/>
  <c r="DU131" i="2"/>
  <c r="EO131" i="2"/>
  <c r="EH131" i="2"/>
  <c r="ET131" i="2"/>
  <c r="EQ131" i="2"/>
  <c r="DY131" i="2"/>
  <c r="DW131" i="2"/>
  <c r="EM131" i="2"/>
  <c r="EG131" i="2"/>
  <c r="DV131" i="2"/>
  <c r="EE131" i="2"/>
  <c r="EN131" i="2"/>
  <c r="EI131" i="2"/>
  <c r="EL131" i="2"/>
  <c r="DV140" i="2"/>
  <c r="EL140" i="2"/>
  <c r="EE140" i="2"/>
  <c r="ET140" i="2"/>
  <c r="EF140" i="2"/>
  <c r="EG140" i="2"/>
  <c r="DW140" i="2"/>
  <c r="EH140" i="2"/>
  <c r="EN140" i="2"/>
  <c r="EM140" i="2"/>
  <c r="EO140" i="2"/>
  <c r="EQ140" i="2"/>
  <c r="DY140" i="2"/>
  <c r="DU140" i="2"/>
  <c r="EI140" i="2"/>
  <c r="DY145" i="2"/>
  <c r="EH145" i="2"/>
  <c r="ET145" i="2"/>
  <c r="EQ145" i="2"/>
  <c r="DU145" i="2"/>
  <c r="DV145" i="2"/>
  <c r="EM145" i="2"/>
  <c r="EF145" i="2"/>
  <c r="DW145" i="2"/>
  <c r="EO145" i="2"/>
  <c r="EE145" i="2"/>
  <c r="EN145" i="2"/>
  <c r="EL145" i="2"/>
  <c r="EI145" i="2"/>
  <c r="EG145" i="2"/>
  <c r="DU170" i="2"/>
  <c r="EO170" i="2"/>
  <c r="EI170" i="2"/>
  <c r="EF170" i="2"/>
  <c r="DV170" i="2"/>
  <c r="EG170" i="2"/>
  <c r="EE170" i="2"/>
  <c r="EM170" i="2"/>
  <c r="EN170" i="2"/>
  <c r="EH170" i="2"/>
  <c r="DW170" i="2"/>
  <c r="EQ170" i="2"/>
  <c r="EL170" i="2"/>
  <c r="ET170" i="2"/>
  <c r="DY170" i="2"/>
  <c r="DY201" i="2"/>
  <c r="DW201" i="2"/>
  <c r="EM201" i="2"/>
  <c r="DU201" i="2"/>
  <c r="DV201" i="2"/>
  <c r="EQ201" i="2"/>
  <c r="EF201" i="2"/>
  <c r="ET201" i="2"/>
  <c r="EG201" i="2"/>
  <c r="EH201" i="2"/>
  <c r="EE201" i="2"/>
  <c r="EN201" i="2"/>
  <c r="EO201" i="2"/>
  <c r="EL201" i="2"/>
  <c r="EI201" i="2"/>
  <c r="DY80" i="2"/>
  <c r="ET80" i="2"/>
  <c r="EE80" i="2"/>
  <c r="DV80" i="2"/>
  <c r="EF80" i="2"/>
  <c r="EG80" i="2"/>
  <c r="EH80" i="2"/>
  <c r="EI80" i="2"/>
  <c r="EL80" i="2"/>
  <c r="EM80" i="2"/>
  <c r="EO80" i="2"/>
  <c r="EN80" i="2"/>
  <c r="EQ80" i="2"/>
  <c r="DU80" i="2"/>
  <c r="DW80" i="2"/>
  <c r="EH108" i="2"/>
  <c r="EG108" i="2"/>
  <c r="EF108" i="2"/>
  <c r="DV108" i="2"/>
  <c r="EL108" i="2"/>
  <c r="EM108" i="2"/>
  <c r="EI108" i="2"/>
  <c r="EO108" i="2"/>
  <c r="EN108" i="2"/>
  <c r="DU108" i="2"/>
  <c r="EQ108" i="2"/>
  <c r="DW108" i="2"/>
  <c r="DY108" i="2"/>
  <c r="EE108" i="2"/>
  <c r="ET108" i="2"/>
  <c r="EH130" i="2"/>
  <c r="ET130" i="2"/>
  <c r="EQ130" i="2"/>
  <c r="EN130" i="2"/>
  <c r="EG130" i="2"/>
  <c r="DV130" i="2"/>
  <c r="EL130" i="2"/>
  <c r="EI130" i="2"/>
  <c r="EF130" i="2"/>
  <c r="DU130" i="2"/>
  <c r="EO130" i="2"/>
  <c r="DW130" i="2"/>
  <c r="EM130" i="2"/>
  <c r="EE130" i="2"/>
  <c r="DY130" i="2"/>
  <c r="EF138" i="2"/>
  <c r="DY138" i="2"/>
  <c r="ET138" i="2"/>
  <c r="EH138" i="2"/>
  <c r="DU138" i="2"/>
  <c r="EO138" i="2"/>
  <c r="EQ138" i="2"/>
  <c r="EL138" i="2"/>
  <c r="EE138" i="2"/>
  <c r="EG138" i="2"/>
  <c r="EI138" i="2"/>
  <c r="DV138" i="2"/>
  <c r="DW138" i="2"/>
  <c r="EN138" i="2"/>
  <c r="EM138" i="2"/>
  <c r="EM154" i="2"/>
  <c r="EG154" i="2"/>
  <c r="EI154" i="2"/>
  <c r="EF154" i="2"/>
  <c r="DW154" i="2"/>
  <c r="EO154" i="2"/>
  <c r="ET154" i="2"/>
  <c r="EN154" i="2"/>
  <c r="DV154" i="2"/>
  <c r="EE154" i="2"/>
  <c r="DU154" i="2"/>
  <c r="EH154" i="2"/>
  <c r="EQ154" i="2"/>
  <c r="EL154" i="2"/>
  <c r="DY154" i="2"/>
  <c r="EL167" i="2"/>
  <c r="EE167" i="2"/>
  <c r="DU167" i="2"/>
  <c r="EO167" i="2"/>
  <c r="EH167" i="2"/>
  <c r="DY167" i="2"/>
  <c r="EI167" i="2"/>
  <c r="DV167" i="2"/>
  <c r="EN167" i="2"/>
  <c r="EQ167" i="2"/>
  <c r="DW167" i="2"/>
  <c r="EG167" i="2"/>
  <c r="ET167" i="2"/>
  <c r="EM167" i="2"/>
  <c r="EF167" i="2"/>
  <c r="EF147" i="2"/>
  <c r="EE147" i="2"/>
  <c r="DY147" i="2"/>
  <c r="EI147" i="2"/>
  <c r="DU147" i="2"/>
  <c r="EO147" i="2"/>
  <c r="EL147" i="2"/>
  <c r="DW147" i="2"/>
  <c r="DV147" i="2"/>
  <c r="ET147" i="2"/>
  <c r="EN147" i="2"/>
  <c r="EM147" i="2"/>
  <c r="EH147" i="2"/>
  <c r="EQ147" i="2"/>
  <c r="EG147" i="2"/>
  <c r="DW120" i="2"/>
  <c r="EM120" i="2"/>
  <c r="EE120" i="2"/>
  <c r="DY120" i="2"/>
  <c r="DV120" i="2"/>
  <c r="EI120" i="2"/>
  <c r="EF120" i="2"/>
  <c r="DU120" i="2"/>
  <c r="EO120" i="2"/>
  <c r="EH120" i="2"/>
  <c r="EQ120" i="2"/>
  <c r="EL120" i="2"/>
  <c r="EN120" i="2"/>
  <c r="EG120" i="2"/>
  <c r="ET120" i="2"/>
  <c r="DW125" i="2"/>
  <c r="EM125" i="2"/>
  <c r="EL125" i="2"/>
  <c r="EH125" i="2"/>
  <c r="EO125" i="2"/>
  <c r="EI125" i="2"/>
  <c r="EG125" i="2"/>
  <c r="EF125" i="2"/>
  <c r="EE125" i="2"/>
  <c r="DY125" i="2"/>
  <c r="EQ125" i="2"/>
  <c r="EN125" i="2"/>
  <c r="DV125" i="2"/>
  <c r="ET125" i="2"/>
  <c r="DU125" i="2"/>
  <c r="DY141" i="2"/>
  <c r="EH141" i="2"/>
  <c r="ET141" i="2"/>
  <c r="EQ141" i="2"/>
  <c r="EO141" i="2"/>
  <c r="EF141" i="2"/>
  <c r="DV141" i="2"/>
  <c r="EL141" i="2"/>
  <c r="EE141" i="2"/>
  <c r="EG141" i="2"/>
  <c r="EI141" i="2"/>
  <c r="DU141" i="2"/>
  <c r="EN141" i="2"/>
  <c r="DW141" i="2"/>
  <c r="EM141" i="2"/>
  <c r="DU158" i="2"/>
  <c r="EO158" i="2"/>
  <c r="EH158" i="2"/>
  <c r="ET158" i="2"/>
  <c r="EQ158" i="2"/>
  <c r="EN158" i="2"/>
  <c r="DV158" i="2"/>
  <c r="EL158" i="2"/>
  <c r="EE158" i="2"/>
  <c r="DY158" i="2"/>
  <c r="EG158" i="2"/>
  <c r="EI158" i="2"/>
  <c r="EF158" i="2"/>
  <c r="DW158" i="2"/>
  <c r="EM158" i="2"/>
  <c r="DV188" i="2"/>
  <c r="EL188" i="2"/>
  <c r="EE188" i="2"/>
  <c r="DY188" i="2"/>
  <c r="EI188" i="2"/>
  <c r="EF188" i="2"/>
  <c r="DU188" i="2"/>
  <c r="EO188" i="2"/>
  <c r="DW188" i="2"/>
  <c r="EM188" i="2"/>
  <c r="EH188" i="2"/>
  <c r="ET188" i="2"/>
  <c r="EQ188" i="2"/>
  <c r="EN188" i="2"/>
  <c r="EG188" i="2"/>
  <c r="DW161" i="2"/>
  <c r="EM161" i="2"/>
  <c r="EG161" i="2"/>
  <c r="DY161" i="2"/>
  <c r="EE161" i="2"/>
  <c r="EI161" i="2"/>
  <c r="DV161" i="2"/>
  <c r="EL161" i="2"/>
  <c r="ET161" i="2"/>
  <c r="EO161" i="2"/>
  <c r="EF161" i="2"/>
  <c r="EQ161" i="2"/>
  <c r="EN161" i="2"/>
  <c r="DU161" i="2"/>
  <c r="EH161" i="2"/>
  <c r="EE175" i="2"/>
  <c r="DU175" i="2"/>
  <c r="EO175" i="2"/>
  <c r="EH175" i="2"/>
  <c r="DY175" i="2"/>
  <c r="EI175" i="2"/>
  <c r="DV175" i="2"/>
  <c r="EL175" i="2"/>
  <c r="EN175" i="2"/>
  <c r="DW175" i="2"/>
  <c r="EM175" i="2"/>
  <c r="EG175" i="2"/>
  <c r="ET175" i="2"/>
  <c r="EQ175" i="2"/>
  <c r="EF175" i="2"/>
  <c r="DW97" i="2"/>
  <c r="EM97" i="2"/>
  <c r="EH97" i="2"/>
  <c r="ET97" i="2"/>
  <c r="EQ97" i="2"/>
  <c r="EN97" i="2"/>
  <c r="EG97" i="2"/>
  <c r="DV97" i="2"/>
  <c r="EL97" i="2"/>
  <c r="EE97" i="2"/>
  <c r="DY97" i="2"/>
  <c r="EI97" i="2"/>
  <c r="EF97" i="2"/>
  <c r="DU97" i="2"/>
  <c r="EO97" i="2"/>
  <c r="DW118" i="2"/>
  <c r="EM118" i="2"/>
  <c r="DV118" i="2"/>
  <c r="EL118" i="2"/>
  <c r="EE118" i="2"/>
  <c r="EI118" i="2"/>
  <c r="EF118" i="2"/>
  <c r="DU118" i="2"/>
  <c r="EO118" i="2"/>
  <c r="ET118" i="2"/>
  <c r="EQ118" i="2"/>
  <c r="EG118" i="2"/>
  <c r="DY118" i="2"/>
  <c r="EH118" i="2"/>
  <c r="EN118" i="2"/>
  <c r="EE129" i="2"/>
  <c r="DV129" i="2"/>
  <c r="ET129" i="2"/>
  <c r="EQ129" i="2"/>
  <c r="EN129" i="2"/>
  <c r="DU129" i="2"/>
  <c r="DW129" i="2"/>
  <c r="EL129" i="2"/>
  <c r="EF129" i="2"/>
  <c r="EI129" i="2"/>
  <c r="DY129" i="2"/>
  <c r="EM129" i="2"/>
  <c r="EO129" i="2"/>
  <c r="EG129" i="2"/>
  <c r="EH129" i="2"/>
  <c r="DY178" i="2"/>
  <c r="DV178" i="2"/>
  <c r="EE178" i="2"/>
  <c r="DU178" i="2"/>
  <c r="EF178" i="2"/>
  <c r="EI178" i="2"/>
  <c r="DW178" i="2"/>
  <c r="EG178" i="2"/>
  <c r="EQ178" i="2"/>
  <c r="EM178" i="2"/>
  <c r="EN178" i="2"/>
  <c r="EO178" i="2"/>
  <c r="ET178" i="2"/>
  <c r="EL178" i="2"/>
  <c r="EH178" i="2"/>
  <c r="EN181" i="2"/>
  <c r="DU181" i="2"/>
  <c r="EQ181" i="2"/>
  <c r="EH181" i="2"/>
  <c r="EI181" i="2"/>
  <c r="ET181" i="2"/>
  <c r="EG181" i="2"/>
  <c r="EL181" i="2"/>
  <c r="EE181" i="2"/>
  <c r="EF181" i="2"/>
  <c r="EM181" i="2"/>
  <c r="DV181" i="2"/>
  <c r="DY181" i="2"/>
  <c r="EO181" i="2"/>
  <c r="DW181" i="2"/>
  <c r="DW171" i="2"/>
  <c r="EM171" i="2"/>
  <c r="EG171" i="2"/>
  <c r="ET171" i="2"/>
  <c r="EQ171" i="2"/>
  <c r="EF171" i="2"/>
  <c r="EE171" i="2"/>
  <c r="DU171" i="2"/>
  <c r="EO171" i="2"/>
  <c r="EH171" i="2"/>
  <c r="DY171" i="2"/>
  <c r="EI171" i="2"/>
  <c r="DV171" i="2"/>
  <c r="EL171" i="2"/>
  <c r="EN171" i="2"/>
  <c r="DV200" i="2"/>
  <c r="EF200" i="2"/>
  <c r="DY200" i="2"/>
  <c r="EN200" i="2"/>
  <c r="EM200" i="2"/>
  <c r="DW200" i="2"/>
  <c r="EO200" i="2"/>
  <c r="DU200" i="2"/>
  <c r="EI200" i="2"/>
  <c r="EL200" i="2"/>
  <c r="EE200" i="2"/>
  <c r="EH200" i="2"/>
  <c r="EG200" i="2"/>
  <c r="EQ200" i="2"/>
  <c r="ET200" i="2"/>
  <c r="EH52" i="2"/>
  <c r="ET52" i="2"/>
  <c r="EQ52" i="2"/>
  <c r="EN52" i="2"/>
  <c r="EG52" i="2"/>
  <c r="DV52" i="2"/>
  <c r="EL52" i="2"/>
  <c r="EE52" i="2"/>
  <c r="DY52" i="2"/>
  <c r="EI52" i="2"/>
  <c r="EF52" i="2"/>
  <c r="DU52" i="2"/>
  <c r="EO52" i="2"/>
  <c r="DW52" i="2"/>
  <c r="EM52" i="2"/>
  <c r="DW63" i="2"/>
  <c r="EM63" i="2"/>
  <c r="EL63" i="2"/>
  <c r="EH63" i="2"/>
  <c r="EO63" i="2"/>
  <c r="ET63" i="2"/>
  <c r="EQ63" i="2"/>
  <c r="EN63" i="2"/>
  <c r="DU63" i="2"/>
  <c r="EE63" i="2"/>
  <c r="DV63" i="2"/>
  <c r="DY63" i="2"/>
  <c r="EI63" i="2"/>
  <c r="EG63" i="2"/>
  <c r="EF63" i="2"/>
  <c r="DY77" i="2"/>
  <c r="ET77" i="2"/>
  <c r="DW77" i="2"/>
  <c r="EF77" i="2"/>
  <c r="DU77" i="2"/>
  <c r="EO77" i="2"/>
  <c r="EH77" i="2"/>
  <c r="EQ77" i="2"/>
  <c r="EM77" i="2"/>
  <c r="DV77" i="2"/>
  <c r="EL77" i="2"/>
  <c r="EE77" i="2"/>
  <c r="EN77" i="2"/>
  <c r="EG77" i="2"/>
  <c r="EI77" i="2"/>
  <c r="ET82" i="2"/>
  <c r="DW82" i="2"/>
  <c r="EN82" i="2"/>
  <c r="EG82" i="2"/>
  <c r="EI82" i="2"/>
  <c r="EE82" i="2"/>
  <c r="DY82" i="2"/>
  <c r="EL82" i="2"/>
  <c r="EH82" i="2"/>
  <c r="EO82" i="2"/>
  <c r="EF82" i="2"/>
  <c r="DV82" i="2"/>
  <c r="EQ82" i="2"/>
  <c r="EM82" i="2"/>
  <c r="DU82" i="2"/>
  <c r="EF59" i="2"/>
  <c r="DU59" i="2"/>
  <c r="EO59" i="2"/>
  <c r="EI59" i="2"/>
  <c r="DV59" i="2"/>
  <c r="DY59" i="2"/>
  <c r="ET59" i="2"/>
  <c r="EH59" i="2"/>
  <c r="EG59" i="2"/>
  <c r="EE59" i="2"/>
  <c r="EL59" i="2"/>
  <c r="EN59" i="2"/>
  <c r="EM59" i="2"/>
  <c r="DW59" i="2"/>
  <c r="EQ59" i="2"/>
  <c r="EI58" i="2"/>
  <c r="EF58" i="2"/>
  <c r="EH58" i="2"/>
  <c r="EE58" i="2"/>
  <c r="EG58" i="2"/>
  <c r="EN58" i="2"/>
  <c r="EL58" i="2"/>
  <c r="EM58" i="2"/>
  <c r="DV58" i="2"/>
  <c r="DW58" i="2"/>
  <c r="EQ58" i="2"/>
  <c r="EO58" i="2"/>
  <c r="ET58" i="2"/>
  <c r="DU58" i="2"/>
  <c r="DY58" i="2"/>
  <c r="DY94" i="2"/>
  <c r="DW94" i="2"/>
  <c r="EM94" i="2"/>
  <c r="EF94" i="2"/>
  <c r="DU94" i="2"/>
  <c r="EO94" i="2"/>
  <c r="EH94" i="2"/>
  <c r="ET94" i="2"/>
  <c r="EQ94" i="2"/>
  <c r="DV94" i="2"/>
  <c r="EL94" i="2"/>
  <c r="EE94" i="2"/>
  <c r="EN94" i="2"/>
  <c r="EG94" i="2"/>
  <c r="EI94" i="2"/>
  <c r="EN67" i="2"/>
  <c r="EG67" i="2"/>
  <c r="DW67" i="2"/>
  <c r="EE67" i="2"/>
  <c r="DY67" i="2"/>
  <c r="EM67" i="2"/>
  <c r="EH67" i="2"/>
  <c r="EF67" i="2"/>
  <c r="DU67" i="2"/>
  <c r="EO67" i="2"/>
  <c r="ET67" i="2"/>
  <c r="DV67" i="2"/>
  <c r="EL67" i="2"/>
  <c r="EI67" i="2"/>
  <c r="EQ67" i="2"/>
  <c r="DW78" i="2"/>
  <c r="EM78" i="2"/>
  <c r="EG78" i="2"/>
  <c r="EH78" i="2"/>
  <c r="ET78" i="2"/>
  <c r="EQ78" i="2"/>
  <c r="EN78" i="2"/>
  <c r="DU78" i="2"/>
  <c r="DV78" i="2"/>
  <c r="EL78" i="2"/>
  <c r="EE78" i="2"/>
  <c r="DY78" i="2"/>
  <c r="EI78" i="2"/>
  <c r="EF78" i="2"/>
  <c r="EO78" i="2"/>
  <c r="EH95" i="2"/>
  <c r="ET95" i="2"/>
  <c r="EQ95" i="2"/>
  <c r="EN95" i="2"/>
  <c r="EG95" i="2"/>
  <c r="DV95" i="2"/>
  <c r="EL95" i="2"/>
  <c r="EE95" i="2"/>
  <c r="DY95" i="2"/>
  <c r="EI95" i="2"/>
  <c r="EF95" i="2"/>
  <c r="DU95" i="2"/>
  <c r="EO95" i="2"/>
  <c r="DW95" i="2"/>
  <c r="EM95" i="2"/>
  <c r="EH87" i="2"/>
  <c r="ET87" i="2"/>
  <c r="EQ87" i="2"/>
  <c r="DY87" i="2"/>
  <c r="DW87" i="2"/>
  <c r="DV87" i="2"/>
  <c r="EN87" i="2"/>
  <c r="EE87" i="2"/>
  <c r="EL87" i="2"/>
  <c r="EG87" i="2"/>
  <c r="EF87" i="2"/>
  <c r="EO87" i="2"/>
  <c r="EM87" i="2"/>
  <c r="EI87" i="2"/>
  <c r="DU87" i="2"/>
  <c r="EN135" i="2"/>
  <c r="EG135" i="2"/>
  <c r="EI135" i="2"/>
  <c r="DV135" i="2"/>
  <c r="EL135" i="2"/>
  <c r="EE135" i="2"/>
  <c r="EF135" i="2"/>
  <c r="EO135" i="2"/>
  <c r="ET135" i="2"/>
  <c r="EM135" i="2"/>
  <c r="DU135" i="2"/>
  <c r="EH135" i="2"/>
  <c r="EQ135" i="2"/>
  <c r="DY135" i="2"/>
  <c r="DW135" i="2"/>
  <c r="DY144" i="2"/>
  <c r="ET144" i="2"/>
  <c r="EF144" i="2"/>
  <c r="EM144" i="2"/>
  <c r="EH144" i="2"/>
  <c r="EG144" i="2"/>
  <c r="EQ144" i="2"/>
  <c r="EL144" i="2"/>
  <c r="EN144" i="2"/>
  <c r="EO144" i="2"/>
  <c r="EE144" i="2"/>
  <c r="DV144" i="2"/>
  <c r="DU144" i="2"/>
  <c r="DW144" i="2"/>
  <c r="EI144" i="2"/>
  <c r="EG148" i="2"/>
  <c r="EI148" i="2"/>
  <c r="EF148" i="2"/>
  <c r="EO148" i="2"/>
  <c r="EL148" i="2"/>
  <c r="EM148" i="2"/>
  <c r="EN148" i="2"/>
  <c r="DU148" i="2"/>
  <c r="DV148" i="2"/>
  <c r="DW148" i="2"/>
  <c r="EQ148" i="2"/>
  <c r="ET148" i="2"/>
  <c r="DY148" i="2"/>
  <c r="EH148" i="2"/>
  <c r="EE148" i="2"/>
  <c r="ET186" i="2"/>
  <c r="DW186" i="2"/>
  <c r="EF186" i="2"/>
  <c r="EG186" i="2"/>
  <c r="EH186" i="2"/>
  <c r="DU186" i="2"/>
  <c r="EN186" i="2"/>
  <c r="EL186" i="2"/>
  <c r="EM186" i="2"/>
  <c r="EE186" i="2"/>
  <c r="EQ186" i="2"/>
  <c r="EI186" i="2"/>
  <c r="DY186" i="2"/>
  <c r="DV186" i="2"/>
  <c r="EO186" i="2"/>
  <c r="EE169" i="2"/>
  <c r="DU169" i="2"/>
  <c r="EO169" i="2"/>
  <c r="EH169" i="2"/>
  <c r="EM169" i="2"/>
  <c r="EL169" i="2"/>
  <c r="DW169" i="2"/>
  <c r="EQ169" i="2"/>
  <c r="DV169" i="2"/>
  <c r="DY169" i="2"/>
  <c r="ET169" i="2"/>
  <c r="EN169" i="2"/>
  <c r="EI169" i="2"/>
  <c r="EG169" i="2"/>
  <c r="EF169" i="2"/>
  <c r="EF86" i="2"/>
  <c r="DV86" i="2"/>
  <c r="EQ86" i="2"/>
  <c r="EM86" i="2"/>
  <c r="EH86" i="2"/>
  <c r="ET86" i="2"/>
  <c r="DU86" i="2"/>
  <c r="EN86" i="2"/>
  <c r="EG86" i="2"/>
  <c r="EI86" i="2"/>
  <c r="EO86" i="2"/>
  <c r="DY86" i="2"/>
  <c r="EL86" i="2"/>
  <c r="EE86" i="2"/>
  <c r="DW86" i="2"/>
  <c r="DW123" i="2"/>
  <c r="EM123" i="2"/>
  <c r="DV123" i="2"/>
  <c r="EF123" i="2"/>
  <c r="EG123" i="2"/>
  <c r="ET123" i="2"/>
  <c r="EQ123" i="2"/>
  <c r="EN123" i="2"/>
  <c r="EE123" i="2"/>
  <c r="EL123" i="2"/>
  <c r="DU123" i="2"/>
  <c r="EO123" i="2"/>
  <c r="EI123" i="2"/>
  <c r="DY123" i="2"/>
  <c r="EH123" i="2"/>
  <c r="EI132" i="2"/>
  <c r="EF132" i="2"/>
  <c r="DU132" i="2"/>
  <c r="EO132" i="2"/>
  <c r="EH132" i="2"/>
  <c r="ET132" i="2"/>
  <c r="DV132" i="2"/>
  <c r="EL132" i="2"/>
  <c r="EE132" i="2"/>
  <c r="DY132" i="2"/>
  <c r="DW132" i="2"/>
  <c r="EN132" i="2"/>
  <c r="EM132" i="2"/>
  <c r="EQ132" i="2"/>
  <c r="EG132" i="2"/>
  <c r="ET122" i="2"/>
  <c r="DW122" i="2"/>
  <c r="EM122" i="2"/>
  <c r="EG122" i="2"/>
  <c r="EN122" i="2"/>
  <c r="EQ122" i="2"/>
  <c r="EL122" i="2"/>
  <c r="DU122" i="2"/>
  <c r="DY122" i="2"/>
  <c r="EF122" i="2"/>
  <c r="EE122" i="2"/>
  <c r="EO122" i="2"/>
  <c r="EH122" i="2"/>
  <c r="EI122" i="2"/>
  <c r="DV122" i="2"/>
  <c r="EE160" i="2"/>
  <c r="DU160" i="2"/>
  <c r="EO160" i="2"/>
  <c r="EH160" i="2"/>
  <c r="ET160" i="2"/>
  <c r="EQ160" i="2"/>
  <c r="EN160" i="2"/>
  <c r="DV160" i="2"/>
  <c r="EL160" i="2"/>
  <c r="DY160" i="2"/>
  <c r="EI160" i="2"/>
  <c r="EM160" i="2"/>
  <c r="EG160" i="2"/>
  <c r="EF160" i="2"/>
  <c r="DW160" i="2"/>
  <c r="DU184" i="2"/>
  <c r="DY184" i="2"/>
  <c r="EL184" i="2"/>
  <c r="EH184" i="2"/>
  <c r="EO184" i="2"/>
  <c r="EF184" i="2"/>
  <c r="DV184" i="2"/>
  <c r="EQ184" i="2"/>
  <c r="EM184" i="2"/>
  <c r="EI184" i="2"/>
  <c r="DW184" i="2"/>
  <c r="EN184" i="2"/>
  <c r="EE184" i="2"/>
  <c r="ET184" i="2"/>
  <c r="EG184" i="2"/>
  <c r="DW173" i="2"/>
  <c r="EM173" i="2"/>
  <c r="EG173" i="2"/>
  <c r="DY173" i="2"/>
  <c r="EF173" i="2"/>
  <c r="EH173" i="2"/>
  <c r="EQ173" i="2"/>
  <c r="EO173" i="2"/>
  <c r="EN173" i="2"/>
  <c r="EL173" i="2"/>
  <c r="ET173" i="2"/>
  <c r="DU173" i="2"/>
  <c r="DV173" i="2"/>
  <c r="EE173" i="2"/>
  <c r="EI173" i="2"/>
  <c r="DV133" i="2"/>
  <c r="EL133" i="2"/>
  <c r="EE133" i="2"/>
  <c r="DY133" i="2"/>
  <c r="EF133" i="2"/>
  <c r="DU133" i="2"/>
  <c r="EO133" i="2"/>
  <c r="EH133" i="2"/>
  <c r="ET133" i="2"/>
  <c r="EQ133" i="2"/>
  <c r="EM133" i="2"/>
  <c r="EN133" i="2"/>
  <c r="EG133" i="2"/>
  <c r="DW133" i="2"/>
  <c r="EI133" i="2"/>
  <c r="EN142" i="2"/>
  <c r="EG142" i="2"/>
  <c r="DW142" i="2"/>
  <c r="EE142" i="2"/>
  <c r="EH142" i="2"/>
  <c r="ET142" i="2"/>
  <c r="EL142" i="2"/>
  <c r="EO142" i="2"/>
  <c r="EQ142" i="2"/>
  <c r="DV142" i="2"/>
  <c r="DY142" i="2"/>
  <c r="DU142" i="2"/>
  <c r="EI142" i="2"/>
  <c r="EF142" i="2"/>
  <c r="EM142" i="2"/>
  <c r="EG126" i="2"/>
  <c r="EE126" i="2"/>
  <c r="ET126" i="2"/>
  <c r="DW126" i="2"/>
  <c r="EI126" i="2"/>
  <c r="EF126" i="2"/>
  <c r="EH126" i="2"/>
  <c r="DU126" i="2"/>
  <c r="EO126" i="2"/>
  <c r="EN126" i="2"/>
  <c r="EL126" i="2"/>
  <c r="EM126" i="2"/>
  <c r="DY126" i="2"/>
  <c r="DV126" i="2"/>
  <c r="EQ126" i="2"/>
  <c r="EG166" i="2"/>
  <c r="ET166" i="2"/>
  <c r="EQ166" i="2"/>
  <c r="EN166" i="2"/>
  <c r="EE166" i="2"/>
  <c r="DY166" i="2"/>
  <c r="EH166" i="2"/>
  <c r="DU166" i="2"/>
  <c r="EO166" i="2"/>
  <c r="EI166" i="2"/>
  <c r="EF166" i="2"/>
  <c r="DV166" i="2"/>
  <c r="DW166" i="2"/>
  <c r="EM166" i="2"/>
  <c r="EL166" i="2"/>
  <c r="DV191" i="2"/>
  <c r="EL191" i="2"/>
  <c r="EE191" i="2"/>
  <c r="EN191" i="2"/>
  <c r="EG191" i="2"/>
  <c r="EI191" i="2"/>
  <c r="DY191" i="2"/>
  <c r="DW191" i="2"/>
  <c r="EM191" i="2"/>
  <c r="EF191" i="2"/>
  <c r="DU191" i="2"/>
  <c r="EO191" i="2"/>
  <c r="EH191" i="2"/>
  <c r="ET191" i="2"/>
  <c r="EQ191" i="2"/>
  <c r="EE177" i="2"/>
  <c r="DV177" i="2"/>
  <c r="EL177" i="2"/>
  <c r="EN177" i="2"/>
  <c r="ET177" i="2"/>
  <c r="EQ177" i="2"/>
  <c r="EH177" i="2"/>
  <c r="EF177" i="2"/>
  <c r="EI177" i="2"/>
  <c r="DU177" i="2"/>
  <c r="EM177" i="2"/>
  <c r="DY177" i="2"/>
  <c r="EG177" i="2"/>
  <c r="DW177" i="2"/>
  <c r="EO177" i="2"/>
  <c r="DV83" i="2"/>
  <c r="EL83" i="2"/>
  <c r="EI83" i="2"/>
  <c r="EO83" i="2"/>
  <c r="EM83" i="2"/>
  <c r="EN83" i="2"/>
  <c r="DU83" i="2"/>
  <c r="EQ83" i="2"/>
  <c r="DY83" i="2"/>
  <c r="EE83" i="2"/>
  <c r="ET83" i="2"/>
  <c r="DW83" i="2"/>
  <c r="EH83" i="2"/>
  <c r="EF83" i="2"/>
  <c r="EG83" i="2"/>
  <c r="DV89" i="2"/>
  <c r="EL89" i="2"/>
  <c r="EF89" i="2"/>
  <c r="EG89" i="2"/>
  <c r="DU89" i="2"/>
  <c r="EQ89" i="2"/>
  <c r="EN89" i="2"/>
  <c r="EH89" i="2"/>
  <c r="ET89" i="2"/>
  <c r="DW89" i="2"/>
  <c r="DY89" i="2"/>
  <c r="EE89" i="2"/>
  <c r="EM89" i="2"/>
  <c r="EI89" i="2"/>
  <c r="EO89" i="2"/>
  <c r="DY102" i="2"/>
  <c r="EH102" i="2"/>
  <c r="ET102" i="2"/>
  <c r="EQ102" i="2"/>
  <c r="EN102" i="2"/>
  <c r="DW102" i="2"/>
  <c r="EM102" i="2"/>
  <c r="EO102" i="2"/>
  <c r="DV102" i="2"/>
  <c r="EE102" i="2"/>
  <c r="EG102" i="2"/>
  <c r="EI102" i="2"/>
  <c r="EF102" i="2"/>
  <c r="EL102" i="2"/>
  <c r="DU102" i="2"/>
  <c r="DW150" i="2"/>
  <c r="EM150" i="2"/>
  <c r="EG150" i="2"/>
  <c r="EH150" i="2"/>
  <c r="EE150" i="2"/>
  <c r="EF150" i="2"/>
  <c r="EO150" i="2"/>
  <c r="EL150" i="2"/>
  <c r="EI150" i="2"/>
  <c r="EN150" i="2"/>
  <c r="DU150" i="2"/>
  <c r="DV150" i="2"/>
  <c r="EQ150" i="2"/>
  <c r="ET150" i="2"/>
  <c r="DY150" i="2"/>
  <c r="EN180" i="2"/>
  <c r="EG180" i="2"/>
  <c r="EI180" i="2"/>
  <c r="EE180" i="2"/>
  <c r="DY180" i="2"/>
  <c r="DV180" i="2"/>
  <c r="DW180" i="2"/>
  <c r="EO180" i="2"/>
  <c r="EF180" i="2"/>
  <c r="ET180" i="2"/>
  <c r="EH180" i="2"/>
  <c r="DU180" i="2"/>
  <c r="EL180" i="2"/>
  <c r="EM180" i="2"/>
  <c r="EQ180" i="2"/>
  <c r="EN185" i="2"/>
  <c r="DU185" i="2"/>
  <c r="EQ185" i="2"/>
  <c r="DY185" i="2"/>
  <c r="EE185" i="2"/>
  <c r="ET185" i="2"/>
  <c r="DW185" i="2"/>
  <c r="EH185" i="2"/>
  <c r="EF185" i="2"/>
  <c r="EG185" i="2"/>
  <c r="DV185" i="2"/>
  <c r="EL185" i="2"/>
  <c r="EI185" i="2"/>
  <c r="EO185" i="2"/>
  <c r="EM185" i="2"/>
  <c r="DY187" i="2"/>
  <c r="EE187" i="2"/>
  <c r="ET187" i="2"/>
  <c r="DW187" i="2"/>
  <c r="EH187" i="2"/>
  <c r="EF187" i="2"/>
  <c r="EG187" i="2"/>
  <c r="DV187" i="2"/>
  <c r="EL187" i="2"/>
  <c r="EI187" i="2"/>
  <c r="EO187" i="2"/>
  <c r="EM187" i="2"/>
  <c r="EN187" i="2"/>
  <c r="DU187" i="2"/>
  <c r="EQ187" i="2"/>
  <c r="DV198" i="2"/>
  <c r="EF198" i="2"/>
  <c r="DY198" i="2"/>
  <c r="EN198" i="2"/>
  <c r="EE198" i="2"/>
  <c r="EL198" i="2"/>
  <c r="EG198" i="2"/>
  <c r="EQ198" i="2"/>
  <c r="ET198" i="2"/>
  <c r="EH198" i="2"/>
  <c r="EM198" i="2"/>
  <c r="DW198" i="2"/>
  <c r="EO198" i="2"/>
  <c r="DU198" i="2"/>
  <c r="EI198" i="2"/>
  <c r="EF53" i="2"/>
  <c r="DU53" i="2"/>
  <c r="EO53" i="2"/>
  <c r="EH53" i="2"/>
  <c r="ET53" i="2"/>
  <c r="EQ53" i="2"/>
  <c r="DV53" i="2"/>
  <c r="EL53" i="2"/>
  <c r="EE53" i="2"/>
  <c r="EN53" i="2"/>
  <c r="EG53" i="2"/>
  <c r="EI53" i="2"/>
  <c r="DY53" i="2"/>
  <c r="DW53" i="2"/>
  <c r="EM53" i="2"/>
  <c r="EN62" i="2"/>
  <c r="EM62" i="2"/>
  <c r="DU62" i="2"/>
  <c r="EO62" i="2"/>
  <c r="ET62" i="2"/>
  <c r="EH62" i="2"/>
  <c r="DY62" i="2"/>
  <c r="EI62" i="2"/>
  <c r="DW62" i="2"/>
  <c r="DV62" i="2"/>
  <c r="EL62" i="2"/>
  <c r="EG62" i="2"/>
  <c r="EF62" i="2"/>
  <c r="EQ62" i="2"/>
  <c r="EE62" i="2"/>
  <c r="DW54" i="2"/>
  <c r="EM54" i="2"/>
  <c r="EI54" i="2"/>
  <c r="EF54" i="2"/>
  <c r="DU54" i="2"/>
  <c r="EO54" i="2"/>
  <c r="ET54" i="2"/>
  <c r="EN54" i="2"/>
  <c r="DV54" i="2"/>
  <c r="EE54" i="2"/>
  <c r="EH54" i="2"/>
  <c r="EQ54" i="2"/>
  <c r="EG54" i="2"/>
  <c r="EL54" i="2"/>
  <c r="DY54" i="2"/>
  <c r="DV74" i="2"/>
  <c r="EL74" i="2"/>
  <c r="EE74" i="2"/>
  <c r="DY74" i="2"/>
  <c r="EG74" i="2"/>
  <c r="ET74" i="2"/>
  <c r="EF74" i="2"/>
  <c r="EH74" i="2"/>
  <c r="EI74" i="2"/>
  <c r="EO74" i="2"/>
  <c r="EM74" i="2"/>
  <c r="EN74" i="2"/>
  <c r="DU74" i="2"/>
  <c r="DW74" i="2"/>
  <c r="EQ74" i="2"/>
  <c r="DV98" i="2"/>
  <c r="EL98" i="2"/>
  <c r="EE98" i="2"/>
  <c r="EN98" i="2"/>
  <c r="EG98" i="2"/>
  <c r="EI98" i="2"/>
  <c r="DY98" i="2"/>
  <c r="DW98" i="2"/>
  <c r="EM98" i="2"/>
  <c r="EF98" i="2"/>
  <c r="DU98" i="2"/>
  <c r="EO98" i="2"/>
  <c r="EH98" i="2"/>
  <c r="ET98" i="2"/>
  <c r="EQ98" i="2"/>
  <c r="EN61" i="2"/>
  <c r="EE61" i="2"/>
  <c r="EG61" i="2"/>
  <c r="DV61" i="2"/>
  <c r="DY61" i="2"/>
  <c r="DW61" i="2"/>
  <c r="EQ61" i="2"/>
  <c r="DU61" i="2"/>
  <c r="EL61" i="2"/>
  <c r="EF61" i="2"/>
  <c r="ET61" i="2"/>
  <c r="EO61" i="2"/>
  <c r="EI61" i="2"/>
  <c r="EM61" i="2"/>
  <c r="EH61" i="2"/>
  <c r="EI68" i="2"/>
  <c r="EN68" i="2"/>
  <c r="DW68" i="2"/>
  <c r="EM68" i="2"/>
  <c r="EO68" i="2"/>
  <c r="DY68" i="2"/>
  <c r="EH68" i="2"/>
  <c r="ET68" i="2"/>
  <c r="EQ68" i="2"/>
  <c r="EF68" i="2"/>
  <c r="DV68" i="2"/>
  <c r="EL68" i="2"/>
  <c r="EE68" i="2"/>
  <c r="DU68" i="2"/>
  <c r="EG68" i="2"/>
  <c r="DV103" i="2"/>
  <c r="EL103" i="2"/>
  <c r="DW103" i="2"/>
  <c r="EE103" i="2"/>
  <c r="EN103" i="2"/>
  <c r="EG103" i="2"/>
  <c r="EM103" i="2"/>
  <c r="EI103" i="2"/>
  <c r="DY103" i="2"/>
  <c r="ET103" i="2"/>
  <c r="EH103" i="2"/>
  <c r="EF103" i="2"/>
  <c r="DU103" i="2"/>
  <c r="EO103" i="2"/>
  <c r="EQ103" i="2"/>
  <c r="EI75" i="2"/>
  <c r="EF75" i="2"/>
  <c r="DU75" i="2"/>
  <c r="EO75" i="2"/>
  <c r="EH75" i="2"/>
  <c r="DW75" i="2"/>
  <c r="EM75" i="2"/>
  <c r="DV75" i="2"/>
  <c r="EL75" i="2"/>
  <c r="ET75" i="2"/>
  <c r="EQ75" i="2"/>
  <c r="EN75" i="2"/>
  <c r="EG75" i="2"/>
  <c r="EE75" i="2"/>
  <c r="DY75" i="2"/>
  <c r="DY99" i="2"/>
  <c r="DW99" i="2"/>
  <c r="EH99" i="2"/>
  <c r="EF99" i="2"/>
  <c r="DU99" i="2"/>
  <c r="EO99" i="2"/>
  <c r="EM99" i="2"/>
  <c r="DV99" i="2"/>
  <c r="EL99" i="2"/>
  <c r="EE99" i="2"/>
  <c r="ET99" i="2"/>
  <c r="EN99" i="2"/>
  <c r="EG99" i="2"/>
  <c r="EI99" i="2"/>
  <c r="EQ99" i="2"/>
  <c r="EN101" i="2"/>
  <c r="EG101" i="2"/>
  <c r="DW101" i="2"/>
  <c r="EE101" i="2"/>
  <c r="DY101" i="2"/>
  <c r="EM101" i="2"/>
  <c r="EH101" i="2"/>
  <c r="EF101" i="2"/>
  <c r="DU101" i="2"/>
  <c r="EO101" i="2"/>
  <c r="ET101" i="2"/>
  <c r="DV101" i="2"/>
  <c r="EL101" i="2"/>
  <c r="EI101" i="2"/>
  <c r="EQ101" i="2"/>
  <c r="EF100" i="2"/>
  <c r="DV100" i="2"/>
  <c r="EL100" i="2"/>
  <c r="EE100" i="2"/>
  <c r="EG100" i="2"/>
  <c r="DY100" i="2"/>
  <c r="EH100" i="2"/>
  <c r="ET100" i="2"/>
  <c r="EQ100" i="2"/>
  <c r="EO100" i="2"/>
  <c r="EN100" i="2"/>
  <c r="DW100" i="2"/>
  <c r="EI100" i="2"/>
  <c r="EM100" i="2"/>
  <c r="DU100" i="2"/>
  <c r="EF113" i="2"/>
  <c r="DU113" i="2"/>
  <c r="EO113" i="2"/>
  <c r="EH113" i="2"/>
  <c r="ET113" i="2"/>
  <c r="EQ113" i="2"/>
  <c r="DY113" i="2"/>
  <c r="DW113" i="2"/>
  <c r="EM113" i="2"/>
  <c r="EN113" i="2"/>
  <c r="EI113" i="2"/>
  <c r="EL113" i="2"/>
  <c r="EG113" i="2"/>
  <c r="DV113" i="2"/>
  <c r="EE113" i="2"/>
  <c r="DV104" i="2"/>
  <c r="EL104" i="2"/>
  <c r="EE104" i="2"/>
  <c r="DU104" i="2"/>
  <c r="EF104" i="2"/>
  <c r="DW104" i="2"/>
  <c r="EQ104" i="2"/>
  <c r="EN104" i="2"/>
  <c r="ET104" i="2"/>
  <c r="EG104" i="2"/>
  <c r="EH104" i="2"/>
  <c r="EI104" i="2"/>
  <c r="EO104" i="2"/>
  <c r="EM104" i="2"/>
  <c r="DY104" i="2"/>
  <c r="DU156" i="2"/>
  <c r="EO156" i="2"/>
  <c r="EH156" i="2"/>
  <c r="ET156" i="2"/>
  <c r="EQ156" i="2"/>
  <c r="EN156" i="2"/>
  <c r="EL156" i="2"/>
  <c r="EI156" i="2"/>
  <c r="DV156" i="2"/>
  <c r="EM156" i="2"/>
  <c r="DW156" i="2"/>
  <c r="DY156" i="2"/>
  <c r="EG156" i="2"/>
  <c r="EE156" i="2"/>
  <c r="EF156" i="2"/>
  <c r="DY189" i="2"/>
  <c r="DW189" i="2"/>
  <c r="EM189" i="2"/>
  <c r="EF189" i="2"/>
  <c r="ET189" i="2"/>
  <c r="EG189" i="2"/>
  <c r="EH189" i="2"/>
  <c r="EE189" i="2"/>
  <c r="EN189" i="2"/>
  <c r="EO189" i="2"/>
  <c r="EL189" i="2"/>
  <c r="EI189" i="2"/>
  <c r="DU189" i="2"/>
  <c r="DV189" i="2"/>
  <c r="EQ189" i="2"/>
  <c r="ET151" i="2"/>
  <c r="EQ151" i="2"/>
  <c r="EN151" i="2"/>
  <c r="EG151" i="2"/>
  <c r="EE151" i="2"/>
  <c r="DY151" i="2"/>
  <c r="EI151" i="2"/>
  <c r="EF151" i="2"/>
  <c r="DU151" i="2"/>
  <c r="EO151" i="2"/>
  <c r="EH151" i="2"/>
  <c r="DW151" i="2"/>
  <c r="EM151" i="2"/>
  <c r="DV151" i="2"/>
  <c r="EL151" i="2"/>
  <c r="EH93" i="2"/>
  <c r="ET93" i="2"/>
  <c r="EQ93" i="2"/>
  <c r="EN93" i="2"/>
  <c r="EG93" i="2"/>
  <c r="DV93" i="2"/>
  <c r="EL93" i="2"/>
  <c r="EE93" i="2"/>
  <c r="DY93" i="2"/>
  <c r="EI93" i="2"/>
  <c r="EF93" i="2"/>
  <c r="DU93" i="2"/>
  <c r="EO93" i="2"/>
  <c r="DW93" i="2"/>
  <c r="EM93" i="2"/>
  <c r="EN115" i="2"/>
  <c r="EG115" i="2"/>
  <c r="EI115" i="2"/>
  <c r="DY115" i="2"/>
  <c r="DW115" i="2"/>
  <c r="EM115" i="2"/>
  <c r="EF115" i="2"/>
  <c r="DU115" i="2"/>
  <c r="EO115" i="2"/>
  <c r="EH115" i="2"/>
  <c r="ET115" i="2"/>
  <c r="EQ115" i="2"/>
  <c r="DV115" i="2"/>
  <c r="EL115" i="2"/>
  <c r="EE115" i="2"/>
  <c r="EH134" i="2"/>
  <c r="ET134" i="2"/>
  <c r="EQ134" i="2"/>
  <c r="EN134" i="2"/>
  <c r="EG134" i="2"/>
  <c r="DW134" i="2"/>
  <c r="EM134" i="2"/>
  <c r="DV134" i="2"/>
  <c r="EE134" i="2"/>
  <c r="EI134" i="2"/>
  <c r="DU134" i="2"/>
  <c r="EL134" i="2"/>
  <c r="DY134" i="2"/>
  <c r="EF134" i="2"/>
  <c r="EO134" i="2"/>
  <c r="EF127" i="2"/>
  <c r="EE127" i="2"/>
  <c r="DV127" i="2"/>
  <c r="DY127" i="2"/>
  <c r="EI127" i="2"/>
  <c r="EG127" i="2"/>
  <c r="DW127" i="2"/>
  <c r="EO127" i="2"/>
  <c r="EL127" i="2"/>
  <c r="ET127" i="2"/>
  <c r="DU127" i="2"/>
  <c r="EM127" i="2"/>
  <c r="EH127" i="2"/>
  <c r="EQ127" i="2"/>
  <c r="EN127" i="2"/>
  <c r="DY168" i="2"/>
  <c r="EG168" i="2"/>
  <c r="ET168" i="2"/>
  <c r="EQ168" i="2"/>
  <c r="EN168" i="2"/>
  <c r="EL168" i="2"/>
  <c r="EE168" i="2"/>
  <c r="DU168" i="2"/>
  <c r="EI168" i="2"/>
  <c r="EH168" i="2"/>
  <c r="EM168" i="2"/>
  <c r="DV168" i="2"/>
  <c r="EO168" i="2"/>
  <c r="EF168" i="2"/>
  <c r="DW168" i="2"/>
  <c r="DV199" i="2"/>
  <c r="EL199" i="2"/>
  <c r="EE199" i="2"/>
  <c r="EN199" i="2"/>
  <c r="EG199" i="2"/>
  <c r="EI199" i="2"/>
  <c r="EO199" i="2"/>
  <c r="EM199" i="2"/>
  <c r="DU199" i="2"/>
  <c r="EH199" i="2"/>
  <c r="EQ199" i="2"/>
  <c r="DY199" i="2"/>
  <c r="DW199" i="2"/>
  <c r="EF199" i="2"/>
  <c r="ET199" i="2"/>
  <c r="EE153" i="2"/>
  <c r="DY153" i="2"/>
  <c r="EI153" i="2"/>
  <c r="EH153" i="2"/>
  <c r="EM153" i="2"/>
  <c r="EO153" i="2"/>
  <c r="EG153" i="2"/>
  <c r="EN153" i="2"/>
  <c r="DW153" i="2"/>
  <c r="EQ153" i="2"/>
  <c r="DU153" i="2"/>
  <c r="DV153" i="2"/>
  <c r="ET153" i="2"/>
  <c r="EF153" i="2"/>
  <c r="EL153" i="2"/>
  <c r="DY137" i="2"/>
  <c r="DW137" i="2"/>
  <c r="EM137" i="2"/>
  <c r="EN137" i="2"/>
  <c r="EG137" i="2"/>
  <c r="EI137" i="2"/>
  <c r="EL137" i="2"/>
  <c r="EF137" i="2"/>
  <c r="EO137" i="2"/>
  <c r="ET137" i="2"/>
  <c r="DV137" i="2"/>
  <c r="EE137" i="2"/>
  <c r="DU137" i="2"/>
  <c r="EH137" i="2"/>
  <c r="EQ137" i="2"/>
  <c r="EH146" i="2"/>
  <c r="EF146" i="2"/>
  <c r="ET146" i="2"/>
  <c r="DW146" i="2"/>
  <c r="EL146" i="2"/>
  <c r="EN146" i="2"/>
  <c r="EG146" i="2"/>
  <c r="EQ146" i="2"/>
  <c r="EM146" i="2"/>
  <c r="DV146" i="2"/>
  <c r="EE146" i="2"/>
  <c r="DY146" i="2"/>
  <c r="DU146" i="2"/>
  <c r="EO146" i="2"/>
  <c r="EI146" i="2"/>
  <c r="DY139" i="2"/>
  <c r="EH139" i="2"/>
  <c r="ET139" i="2"/>
  <c r="EQ139" i="2"/>
  <c r="DU139" i="2"/>
  <c r="EF139" i="2"/>
  <c r="DV139" i="2"/>
  <c r="EL139" i="2"/>
  <c r="EE139" i="2"/>
  <c r="EO139" i="2"/>
  <c r="EI139" i="2"/>
  <c r="EN139" i="2"/>
  <c r="DW139" i="2"/>
  <c r="EM139" i="2"/>
  <c r="EG139" i="2"/>
  <c r="DU174" i="2"/>
  <c r="EO174" i="2"/>
  <c r="EI174" i="2"/>
  <c r="EF174" i="2"/>
  <c r="DV174" i="2"/>
  <c r="DW174" i="2"/>
  <c r="EM174" i="2"/>
  <c r="EL174" i="2"/>
  <c r="EG174" i="2"/>
  <c r="ET174" i="2"/>
  <c r="EQ174" i="2"/>
  <c r="EN174" i="2"/>
  <c r="EE174" i="2"/>
  <c r="DY174" i="2"/>
  <c r="EH174" i="2"/>
  <c r="DY197" i="2"/>
  <c r="DW197" i="2"/>
  <c r="EM197" i="2"/>
  <c r="EF197" i="2"/>
  <c r="DU197" i="2"/>
  <c r="DV197" i="2"/>
  <c r="EL197" i="2"/>
  <c r="EE197" i="2"/>
  <c r="EN197" i="2"/>
  <c r="EG197" i="2"/>
  <c r="EI197" i="2"/>
  <c r="EO197" i="2"/>
  <c r="EH197" i="2"/>
  <c r="ET197" i="2"/>
  <c r="EQ197" i="2"/>
  <c r="DW155" i="2"/>
  <c r="EM155" i="2"/>
  <c r="DV155" i="2"/>
  <c r="EL155" i="2"/>
  <c r="EI155" i="2"/>
  <c r="EF155" i="2"/>
  <c r="DU155" i="2"/>
  <c r="EO155" i="2"/>
  <c r="EH155" i="2"/>
  <c r="EQ155" i="2"/>
  <c r="EG155" i="2"/>
  <c r="DY155" i="2"/>
  <c r="ET155" i="2"/>
  <c r="EN155" i="2"/>
  <c r="EE155" i="2"/>
  <c r="EI90" i="2"/>
  <c r="EE90" i="2"/>
  <c r="ET90" i="2"/>
  <c r="DW90" i="2"/>
  <c r="EN90" i="2"/>
  <c r="EO90" i="2"/>
  <c r="EG90" i="2"/>
  <c r="DY90" i="2"/>
  <c r="DU90" i="2"/>
  <c r="EL90" i="2"/>
  <c r="EH90" i="2"/>
  <c r="EF90" i="2"/>
  <c r="DV90" i="2"/>
  <c r="EQ90" i="2"/>
  <c r="EM90" i="2"/>
  <c r="DW106" i="2"/>
  <c r="DY106" i="2"/>
  <c r="EE106" i="2"/>
  <c r="ET106" i="2"/>
  <c r="DV106" i="2"/>
  <c r="EL106" i="2"/>
  <c r="EM106" i="2"/>
  <c r="EI106" i="2"/>
  <c r="EO106" i="2"/>
  <c r="EN106" i="2"/>
  <c r="DU106" i="2"/>
  <c r="EQ106" i="2"/>
  <c r="EH106" i="2"/>
  <c r="EF106" i="2"/>
  <c r="EG106" i="2"/>
  <c r="DV119" i="2"/>
  <c r="EL119" i="2"/>
  <c r="EE119" i="2"/>
  <c r="EF119" i="2"/>
  <c r="DU119" i="2"/>
  <c r="EO119" i="2"/>
  <c r="EH119" i="2"/>
  <c r="ET119" i="2"/>
  <c r="EQ119" i="2"/>
  <c r="EM119" i="2"/>
  <c r="EG119" i="2"/>
  <c r="DY119" i="2"/>
  <c r="DW119" i="2"/>
  <c r="EN119" i="2"/>
  <c r="EI119" i="2"/>
  <c r="DW164" i="2"/>
  <c r="EM164" i="2"/>
  <c r="DV164" i="2"/>
  <c r="EG164" i="2"/>
  <c r="EE164" i="2"/>
  <c r="EF164" i="2"/>
  <c r="EL164" i="2"/>
  <c r="EI164" i="2"/>
  <c r="EN164" i="2"/>
  <c r="EO164" i="2"/>
  <c r="EQ164" i="2"/>
  <c r="DU164" i="2"/>
  <c r="ET164" i="2"/>
  <c r="DY164" i="2"/>
  <c r="EH164" i="2"/>
  <c r="EF195" i="2"/>
  <c r="DU195" i="2"/>
  <c r="EO195" i="2"/>
  <c r="EH195" i="2"/>
  <c r="ET195" i="2"/>
  <c r="EQ195" i="2"/>
  <c r="DV195" i="2"/>
  <c r="EM195" i="2"/>
  <c r="DY195" i="2"/>
  <c r="DW195" i="2"/>
  <c r="EG195" i="2"/>
  <c r="EE195" i="2"/>
  <c r="EN195" i="2"/>
  <c r="EL195" i="2"/>
  <c r="EI195" i="2"/>
  <c r="EI165" i="2"/>
  <c r="DV165" i="2"/>
  <c r="EL165" i="2"/>
  <c r="DW165" i="2"/>
  <c r="EM165" i="2"/>
  <c r="EG165" i="2"/>
  <c r="DY165" i="2"/>
  <c r="ET165" i="2"/>
  <c r="EQ165" i="2"/>
  <c r="EN165" i="2"/>
  <c r="EE165" i="2"/>
  <c r="DU165" i="2"/>
  <c r="EO165" i="2"/>
  <c r="EH165" i="2"/>
  <c r="EF165" i="2"/>
  <c r="DW179" i="2"/>
  <c r="EM179" i="2"/>
  <c r="EG179" i="2"/>
  <c r="ET179" i="2"/>
  <c r="EQ179" i="2"/>
  <c r="EH179" i="2"/>
  <c r="DY179" i="2"/>
  <c r="EO179" i="2"/>
  <c r="EE179" i="2"/>
  <c r="DV179" i="2"/>
  <c r="EL179" i="2"/>
  <c r="DU179" i="2"/>
  <c r="EF179" i="2"/>
  <c r="EI179" i="2"/>
  <c r="EN179" i="2"/>
  <c r="DV194" i="2"/>
  <c r="DY194" i="2"/>
  <c r="EN194" i="2"/>
  <c r="EF194" i="2"/>
  <c r="EE194" i="2"/>
  <c r="EG194" i="2"/>
  <c r="EQ194" i="2"/>
  <c r="ET194" i="2"/>
  <c r="EM194" i="2"/>
  <c r="DW194" i="2"/>
  <c r="EL194" i="2"/>
  <c r="EO194" i="2"/>
  <c r="DU194" i="2"/>
  <c r="EI194" i="2"/>
  <c r="EH194" i="2"/>
  <c r="EN57" i="2"/>
  <c r="EG57" i="2"/>
  <c r="EI57" i="2"/>
  <c r="DY57" i="2"/>
  <c r="DW57" i="2"/>
  <c r="EM57" i="2"/>
  <c r="EF57" i="2"/>
  <c r="DU57" i="2"/>
  <c r="EO57" i="2"/>
  <c r="EH57" i="2"/>
  <c r="ET57" i="2"/>
  <c r="EQ57" i="2"/>
  <c r="DV57" i="2"/>
  <c r="EL57" i="2"/>
  <c r="EE57" i="2"/>
  <c r="DY88" i="2"/>
  <c r="DU88" i="2"/>
  <c r="EL88" i="2"/>
  <c r="EH88" i="2"/>
  <c r="EF88" i="2"/>
  <c r="DV88" i="2"/>
  <c r="EQ88" i="2"/>
  <c r="EM88" i="2"/>
  <c r="EI88" i="2"/>
  <c r="EE88" i="2"/>
  <c r="ET88" i="2"/>
  <c r="DW88" i="2"/>
  <c r="EN88" i="2"/>
  <c r="EO88" i="2"/>
  <c r="EG88" i="2"/>
  <c r="EF64" i="2"/>
  <c r="DV64" i="2"/>
  <c r="EL64" i="2"/>
  <c r="EE64" i="2"/>
  <c r="EG64" i="2"/>
  <c r="EI64" i="2"/>
  <c r="DU64" i="2"/>
  <c r="EN64" i="2"/>
  <c r="DW64" i="2"/>
  <c r="EM64" i="2"/>
  <c r="DY64" i="2"/>
  <c r="EO64" i="2"/>
  <c r="EH64" i="2"/>
  <c r="ET64" i="2"/>
  <c r="EQ64" i="2"/>
  <c r="EG76" i="2"/>
  <c r="EI76" i="2"/>
  <c r="EF76" i="2"/>
  <c r="DW76" i="2"/>
  <c r="EM76" i="2"/>
  <c r="DU76" i="2"/>
  <c r="EO76" i="2"/>
  <c r="EH76" i="2"/>
  <c r="ET76" i="2"/>
  <c r="EQ76" i="2"/>
  <c r="EN76" i="2"/>
  <c r="DV76" i="2"/>
  <c r="EL76" i="2"/>
  <c r="EE76" i="2"/>
  <c r="DY76" i="2"/>
  <c r="DY85" i="2"/>
  <c r="DU85" i="2"/>
  <c r="EQ85" i="2"/>
  <c r="EH85" i="2"/>
  <c r="ET85" i="2"/>
  <c r="DW85" i="2"/>
  <c r="EO85" i="2"/>
  <c r="DV85" i="2"/>
  <c r="EL85" i="2"/>
  <c r="EI85" i="2"/>
  <c r="EF85" i="2"/>
  <c r="EG85" i="2"/>
  <c r="EE85" i="2"/>
  <c r="EN85" i="2"/>
  <c r="EM85" i="2"/>
  <c r="EN69" i="2"/>
  <c r="EG69" i="2"/>
  <c r="EQ69" i="2"/>
  <c r="EM69" i="2"/>
  <c r="EL69" i="2"/>
  <c r="EO69" i="2"/>
  <c r="DW69" i="2"/>
  <c r="DV69" i="2"/>
  <c r="DY69" i="2"/>
  <c r="DU69" i="2"/>
  <c r="ET69" i="2"/>
  <c r="EF69" i="2"/>
  <c r="EE69" i="2"/>
  <c r="EH69" i="2"/>
  <c r="EI69" i="2"/>
  <c r="DV72" i="2"/>
  <c r="EO72" i="2"/>
  <c r="EH72" i="2"/>
  <c r="ET72" i="2"/>
  <c r="EQ72" i="2"/>
  <c r="EN72" i="2"/>
  <c r="DU72" i="2"/>
  <c r="EL72" i="2"/>
  <c r="EE72" i="2"/>
  <c r="DY72" i="2"/>
  <c r="EG72" i="2"/>
  <c r="EI72" i="2"/>
  <c r="EF72" i="2"/>
  <c r="DW72" i="2"/>
  <c r="EM72" i="2"/>
  <c r="EH56" i="2"/>
  <c r="ET56" i="2"/>
  <c r="EQ56" i="2"/>
  <c r="EN56" i="2"/>
  <c r="EG56" i="2"/>
  <c r="DV56" i="2"/>
  <c r="EL56" i="2"/>
  <c r="EE56" i="2"/>
  <c r="DY56" i="2"/>
  <c r="EI56" i="2"/>
  <c r="EF56" i="2"/>
  <c r="DU56" i="2"/>
  <c r="EO56" i="2"/>
  <c r="DW56" i="2"/>
  <c r="EM56" i="2"/>
  <c r="EF79" i="2"/>
  <c r="DU79" i="2"/>
  <c r="EH79" i="2"/>
  <c r="EG79" i="2"/>
  <c r="EQ79" i="2"/>
  <c r="DV79" i="2"/>
  <c r="EL79" i="2"/>
  <c r="DW79" i="2"/>
  <c r="EO79" i="2"/>
  <c r="EN79" i="2"/>
  <c r="EE79" i="2"/>
  <c r="ET79" i="2"/>
  <c r="DY79" i="2"/>
  <c r="EM79" i="2"/>
  <c r="EI79" i="2"/>
  <c r="EN96" i="2"/>
  <c r="EG96" i="2"/>
  <c r="EI96" i="2"/>
  <c r="DY96" i="2"/>
  <c r="DW96" i="2"/>
  <c r="EM96" i="2"/>
  <c r="EF96" i="2"/>
  <c r="DU96" i="2"/>
  <c r="EO96" i="2"/>
  <c r="EH96" i="2"/>
  <c r="ET96" i="2"/>
  <c r="EQ96" i="2"/>
  <c r="DV96" i="2"/>
  <c r="EL96" i="2"/>
  <c r="EE96" i="2"/>
  <c r="EN105" i="2"/>
  <c r="EG105" i="2"/>
  <c r="EH105" i="2"/>
  <c r="EQ105" i="2"/>
  <c r="DW105" i="2"/>
  <c r="DY105" i="2"/>
  <c r="EF105" i="2"/>
  <c r="DU105" i="2"/>
  <c r="EO105" i="2"/>
  <c r="ET105" i="2"/>
  <c r="EM105" i="2"/>
  <c r="EI105" i="2"/>
  <c r="EL105" i="2"/>
  <c r="DV105" i="2"/>
  <c r="EE105" i="2"/>
  <c r="EN111" i="2"/>
  <c r="EG111" i="2"/>
  <c r="EI111" i="2"/>
  <c r="DV111" i="2"/>
  <c r="EL111" i="2"/>
  <c r="EE111" i="2"/>
  <c r="DU111" i="2"/>
  <c r="EH111" i="2"/>
  <c r="EQ111" i="2"/>
  <c r="DY111" i="2"/>
  <c r="DW111" i="2"/>
  <c r="EF111" i="2"/>
  <c r="EO111" i="2"/>
  <c r="ET111" i="2"/>
  <c r="EM111" i="2"/>
  <c r="EH116" i="2"/>
  <c r="ET116" i="2"/>
  <c r="EQ116" i="2"/>
  <c r="DW116" i="2"/>
  <c r="EM116" i="2"/>
  <c r="EF116" i="2"/>
  <c r="EG116" i="2"/>
  <c r="DV116" i="2"/>
  <c r="EE116" i="2"/>
  <c r="EN116" i="2"/>
  <c r="EI116" i="2"/>
  <c r="EO116" i="2"/>
  <c r="EL116" i="2"/>
  <c r="DY116" i="2"/>
  <c r="DU116" i="2"/>
  <c r="EG121" i="2"/>
  <c r="EI121" i="2"/>
  <c r="DU121" i="2"/>
  <c r="DV121" i="2"/>
  <c r="DW121" i="2"/>
  <c r="EQ121" i="2"/>
  <c r="ET121" i="2"/>
  <c r="EF121" i="2"/>
  <c r="EH121" i="2"/>
  <c r="EE121" i="2"/>
  <c r="DY121" i="2"/>
  <c r="EO121" i="2"/>
  <c r="EL121" i="2"/>
  <c r="EM121" i="2"/>
  <c r="EN121" i="2"/>
  <c r="EG162" i="2"/>
  <c r="ET162" i="2"/>
  <c r="EQ162" i="2"/>
  <c r="EN162" i="2"/>
  <c r="EI162" i="2"/>
  <c r="EH162" i="2"/>
  <c r="EO162" i="2"/>
  <c r="EM162" i="2"/>
  <c r="DV162" i="2"/>
  <c r="DU162" i="2"/>
  <c r="DW162" i="2"/>
  <c r="DY162" i="2"/>
  <c r="EL162" i="2"/>
  <c r="EE162" i="2"/>
  <c r="EF162" i="2"/>
  <c r="DV193" i="2"/>
  <c r="EL193" i="2"/>
  <c r="EE193" i="2"/>
  <c r="DY193" i="2"/>
  <c r="DU193" i="2"/>
  <c r="DW193" i="2"/>
  <c r="EQ193" i="2"/>
  <c r="EF193" i="2"/>
  <c r="EG193" i="2"/>
  <c r="ET193" i="2"/>
  <c r="EN193" i="2"/>
  <c r="EH193" i="2"/>
  <c r="EI193" i="2"/>
  <c r="EO193" i="2"/>
  <c r="EM193" i="2"/>
  <c r="DW192" i="2"/>
  <c r="EM192" i="2"/>
  <c r="EH192" i="2"/>
  <c r="ET192" i="2"/>
  <c r="EQ192" i="2"/>
  <c r="EN192" i="2"/>
  <c r="EG192" i="2"/>
  <c r="DV192" i="2"/>
  <c r="EL192" i="2"/>
  <c r="EE192" i="2"/>
  <c r="DY192" i="2"/>
  <c r="EI192" i="2"/>
  <c r="EF192" i="2"/>
  <c r="DU192" i="2"/>
  <c r="EO192" i="2"/>
  <c r="EF107" i="2"/>
  <c r="DU107" i="2"/>
  <c r="EL107" i="2"/>
  <c r="EH107" i="2"/>
  <c r="EO107" i="2"/>
  <c r="DV107" i="2"/>
  <c r="EQ107" i="2"/>
  <c r="EM107" i="2"/>
  <c r="EN107" i="2"/>
  <c r="EE107" i="2"/>
  <c r="ET107" i="2"/>
  <c r="DW107" i="2"/>
  <c r="DY107" i="2"/>
  <c r="EG107" i="2"/>
  <c r="EI107" i="2"/>
  <c r="EF117" i="2"/>
  <c r="DU117" i="2"/>
  <c r="EO117" i="2"/>
  <c r="EH117" i="2"/>
  <c r="ET117" i="2"/>
  <c r="EQ117" i="2"/>
  <c r="DV117" i="2"/>
  <c r="EL117" i="2"/>
  <c r="EE117" i="2"/>
  <c r="EN117" i="2"/>
  <c r="EG117" i="2"/>
  <c r="EI117" i="2"/>
  <c r="DY117" i="2"/>
  <c r="DW117" i="2"/>
  <c r="EM117" i="2"/>
  <c r="EF136" i="2"/>
  <c r="DU136" i="2"/>
  <c r="EO136" i="2"/>
  <c r="DV136" i="2"/>
  <c r="EL136" i="2"/>
  <c r="EE136" i="2"/>
  <c r="DY136" i="2"/>
  <c r="EI136" i="2"/>
  <c r="EM136" i="2"/>
  <c r="EH136" i="2"/>
  <c r="EQ136" i="2"/>
  <c r="EG136" i="2"/>
  <c r="DW136" i="2"/>
  <c r="ET136" i="2"/>
  <c r="EN136" i="2"/>
  <c r="EE143" i="2"/>
  <c r="DY143" i="2"/>
  <c r="EH143" i="2"/>
  <c r="ET143" i="2"/>
  <c r="EQ143" i="2"/>
  <c r="EF143" i="2"/>
  <c r="DV143" i="2"/>
  <c r="EL143" i="2"/>
  <c r="DU143" i="2"/>
  <c r="EG143" i="2"/>
  <c r="EN143" i="2"/>
  <c r="DW143" i="2"/>
  <c r="EO143" i="2"/>
  <c r="EI143" i="2"/>
  <c r="EM143" i="2"/>
  <c r="EM176" i="2"/>
  <c r="DU176" i="2"/>
  <c r="EO176" i="2"/>
  <c r="EI176" i="2"/>
  <c r="EF176" i="2"/>
  <c r="EH176" i="2"/>
  <c r="DW176" i="2"/>
  <c r="DV176" i="2"/>
  <c r="EG176" i="2"/>
  <c r="DY176" i="2"/>
  <c r="ET176" i="2"/>
  <c r="EN176" i="2"/>
  <c r="EE176" i="2"/>
  <c r="EQ176" i="2"/>
  <c r="EL176" i="2"/>
  <c r="EN183" i="2"/>
  <c r="DV183" i="2"/>
  <c r="EL183" i="2"/>
  <c r="EI183" i="2"/>
  <c r="EO183" i="2"/>
  <c r="EM183" i="2"/>
  <c r="DU183" i="2"/>
  <c r="EQ183" i="2"/>
  <c r="EG183" i="2"/>
  <c r="ET183" i="2"/>
  <c r="DY183" i="2"/>
  <c r="EF183" i="2"/>
  <c r="EE183" i="2"/>
  <c r="DW183" i="2"/>
  <c r="EH183" i="2"/>
  <c r="DW112" i="2"/>
  <c r="EM112" i="2"/>
  <c r="DV112" i="2"/>
  <c r="EL112" i="2"/>
  <c r="EE112" i="2"/>
  <c r="DY112" i="2"/>
  <c r="EI112" i="2"/>
  <c r="EF112" i="2"/>
  <c r="DU112" i="2"/>
  <c r="EO112" i="2"/>
  <c r="EQ112" i="2"/>
  <c r="EN112" i="2"/>
  <c r="EH112" i="2"/>
  <c r="EG112" i="2"/>
  <c r="ET112" i="2"/>
  <c r="EE124" i="2"/>
  <c r="DU124" i="2"/>
  <c r="EO124" i="2"/>
  <c r="EL124" i="2"/>
  <c r="ET124" i="2"/>
  <c r="EQ124" i="2"/>
  <c r="EN124" i="2"/>
  <c r="DW124" i="2"/>
  <c r="EG124" i="2"/>
  <c r="DV124" i="2"/>
  <c r="EI124" i="2"/>
  <c r="DY124" i="2"/>
  <c r="EM124" i="2"/>
  <c r="EH124" i="2"/>
  <c r="EF124" i="2"/>
  <c r="EG128" i="2"/>
  <c r="ET128" i="2"/>
  <c r="DW128" i="2"/>
  <c r="DY128" i="2"/>
  <c r="EF128" i="2"/>
  <c r="EH128" i="2"/>
  <c r="EE128" i="2"/>
  <c r="DU128" i="2"/>
  <c r="EO128" i="2"/>
  <c r="EL128" i="2"/>
  <c r="EM128" i="2"/>
  <c r="EI128" i="2"/>
  <c r="DV128" i="2"/>
  <c r="EQ128" i="2"/>
  <c r="EN128" i="2"/>
  <c r="EG152" i="2"/>
  <c r="EI152" i="2"/>
  <c r="EF152" i="2"/>
  <c r="DW152" i="2"/>
  <c r="EM152" i="2"/>
  <c r="DU152" i="2"/>
  <c r="EO152" i="2"/>
  <c r="EH152" i="2"/>
  <c r="ET152" i="2"/>
  <c r="EQ152" i="2"/>
  <c r="EN152" i="2"/>
  <c r="DV152" i="2"/>
  <c r="EL152" i="2"/>
  <c r="EE152" i="2"/>
  <c r="DY152" i="2"/>
  <c r="ET182" i="2"/>
  <c r="DW182" i="2"/>
  <c r="EN182" i="2"/>
  <c r="EG182" i="2"/>
  <c r="EI182" i="2"/>
  <c r="EE182" i="2"/>
  <c r="DY182" i="2"/>
  <c r="EL182" i="2"/>
  <c r="EH182" i="2"/>
  <c r="EO182" i="2"/>
  <c r="EF182" i="2"/>
  <c r="DV182" i="2"/>
  <c r="EQ182" i="2"/>
  <c r="EM182" i="2"/>
  <c r="DU182" i="2"/>
  <c r="EE157" i="2"/>
  <c r="DY157" i="2"/>
  <c r="DW157" i="2"/>
  <c r="EM157" i="2"/>
  <c r="DV157" i="2"/>
  <c r="EL157" i="2"/>
  <c r="ET157" i="2"/>
  <c r="EQ157" i="2"/>
  <c r="EN157" i="2"/>
  <c r="EG157" i="2"/>
  <c r="EI157" i="2"/>
  <c r="EH157" i="2"/>
  <c r="EF157" i="2"/>
  <c r="DU157" i="2"/>
  <c r="EO157" i="2"/>
  <c r="EE163" i="2"/>
  <c r="DU163" i="2"/>
  <c r="EO163" i="2"/>
  <c r="EH163" i="2"/>
  <c r="DY163" i="2"/>
  <c r="EI163" i="2"/>
  <c r="DV163" i="2"/>
  <c r="EL163" i="2"/>
  <c r="EN163" i="2"/>
  <c r="DW163" i="2"/>
  <c r="EM163" i="2"/>
  <c r="EG163" i="2"/>
  <c r="ET163" i="2"/>
  <c r="EQ163" i="2"/>
  <c r="EF163" i="2"/>
  <c r="DY92" i="2"/>
  <c r="DW92" i="2"/>
  <c r="EM92" i="2"/>
  <c r="EF92" i="2"/>
  <c r="DU92" i="2"/>
  <c r="EO92" i="2"/>
  <c r="EH92" i="2"/>
  <c r="ET92" i="2"/>
  <c r="EQ92" i="2"/>
  <c r="DV92" i="2"/>
  <c r="EL92" i="2"/>
  <c r="EE92" i="2"/>
  <c r="EN92" i="2"/>
  <c r="EG92" i="2"/>
  <c r="EI92" i="2"/>
  <c r="DV110" i="2"/>
  <c r="EL110" i="2"/>
  <c r="EE110" i="2"/>
  <c r="DY110" i="2"/>
  <c r="DW110" i="2"/>
  <c r="EM110" i="2"/>
  <c r="EH110" i="2"/>
  <c r="ET110" i="2"/>
  <c r="EQ110" i="2"/>
  <c r="EN110" i="2"/>
  <c r="EG110" i="2"/>
  <c r="EF110" i="2"/>
  <c r="DU110" i="2"/>
  <c r="EO110" i="2"/>
  <c r="EI110" i="2"/>
  <c r="DV114" i="2"/>
  <c r="EL114" i="2"/>
  <c r="EE114" i="2"/>
  <c r="DY114" i="2"/>
  <c r="EH114" i="2"/>
  <c r="ET114" i="2"/>
  <c r="EQ114" i="2"/>
  <c r="EN114" i="2"/>
  <c r="EG114" i="2"/>
  <c r="DW114" i="2"/>
  <c r="EI114" i="2"/>
  <c r="DU114" i="2"/>
  <c r="EM114" i="2"/>
  <c r="EF114" i="2"/>
  <c r="EO114" i="2"/>
  <c r="EE172" i="2"/>
  <c r="DY172" i="2"/>
  <c r="ET172" i="2"/>
  <c r="EF172" i="2"/>
  <c r="DV172" i="2"/>
  <c r="EG172" i="2"/>
  <c r="EI172" i="2"/>
  <c r="EL172" i="2"/>
  <c r="EO172" i="2"/>
  <c r="EM172" i="2"/>
  <c r="EN172" i="2"/>
  <c r="DU172" i="2"/>
  <c r="DW172" i="2"/>
  <c r="EQ172" i="2"/>
  <c r="EH172" i="2"/>
  <c r="EI159" i="2"/>
  <c r="EF159" i="2"/>
  <c r="DU159" i="2"/>
  <c r="EO159" i="2"/>
  <c r="EH159" i="2"/>
  <c r="EM159" i="2"/>
  <c r="EN159" i="2"/>
  <c r="EL159" i="2"/>
  <c r="DW159" i="2"/>
  <c r="EQ159" i="2"/>
  <c r="DV159" i="2"/>
  <c r="ET159" i="2"/>
  <c r="DY159" i="2"/>
  <c r="EE159" i="2"/>
  <c r="EG159" i="2"/>
  <c r="ET149" i="2"/>
  <c r="EQ149" i="2"/>
  <c r="EN149" i="2"/>
  <c r="EG149" i="2"/>
  <c r="EE149" i="2"/>
  <c r="DY149" i="2"/>
  <c r="EI149" i="2"/>
  <c r="EF149" i="2"/>
  <c r="DU149" i="2"/>
  <c r="EO149" i="2"/>
  <c r="EH149" i="2"/>
  <c r="DW149" i="2"/>
  <c r="EM149" i="2"/>
  <c r="DV149" i="2"/>
  <c r="EL149" i="2"/>
  <c r="DV190" i="2"/>
  <c r="EL190" i="2"/>
  <c r="EE190" i="2"/>
  <c r="DY190" i="2"/>
  <c r="EI190" i="2"/>
  <c r="EF190" i="2"/>
  <c r="DU190" i="2"/>
  <c r="EO190" i="2"/>
  <c r="DW190" i="2"/>
  <c r="EM190" i="2"/>
  <c r="EH190" i="2"/>
  <c r="ET190" i="2"/>
  <c r="EQ190" i="2"/>
  <c r="EN190" i="2"/>
  <c r="EG190" i="2"/>
  <c r="DV196" i="2"/>
  <c r="DY196" i="2"/>
  <c r="EN196" i="2"/>
  <c r="EF196" i="2"/>
  <c r="EM196" i="2"/>
  <c r="DW196" i="2"/>
  <c r="EH196" i="2"/>
  <c r="EO196" i="2"/>
  <c r="DU196" i="2"/>
  <c r="EI196" i="2"/>
  <c r="EE196" i="2"/>
  <c r="EG196" i="2"/>
  <c r="EQ196" i="2"/>
  <c r="ET196" i="2"/>
  <c r="EL196" i="2"/>
  <c r="DW10" i="2"/>
  <c r="DY10" i="2"/>
  <c r="DV10" i="2"/>
  <c r="HS11" i="2"/>
  <c r="HS15" i="2"/>
  <c r="HS6" i="2"/>
  <c r="HS4" i="2"/>
  <c r="HS10" i="2"/>
  <c r="HS9" i="2"/>
  <c r="HS12" i="2"/>
  <c r="HS21" i="2"/>
  <c r="HP11" i="2"/>
  <c r="HS3" i="2"/>
  <c r="HS14" i="2"/>
  <c r="HS7" i="2"/>
  <c r="HS5" i="2"/>
  <c r="HS8" i="2"/>
  <c r="HS2" i="2"/>
  <c r="HS17" i="2"/>
  <c r="HS13" i="2"/>
  <c r="HP15" i="2"/>
  <c r="HS19" i="2"/>
  <c r="HP7" i="2"/>
  <c r="HS18" i="2"/>
  <c r="HS16" i="2"/>
  <c r="HP14" i="2"/>
  <c r="HS20" i="2"/>
  <c r="EQ46" i="2"/>
  <c r="EM46" i="2"/>
  <c r="EI46" i="2"/>
  <c r="EH46" i="2"/>
  <c r="DY46" i="2"/>
  <c r="DW46" i="2"/>
  <c r="EF46" i="2"/>
  <c r="DV46" i="2"/>
  <c r="EG46" i="2"/>
  <c r="EL46" i="2"/>
  <c r="DU46" i="2"/>
  <c r="EE46" i="2"/>
  <c r="EN46" i="2"/>
  <c r="ET46" i="2"/>
  <c r="EO46" i="2"/>
  <c r="EE40" i="2"/>
  <c r="EO40" i="2"/>
  <c r="EN40" i="2"/>
  <c r="DU40" i="2"/>
  <c r="EG40" i="2"/>
  <c r="EH40" i="2"/>
  <c r="ET40" i="2"/>
  <c r="EM40" i="2"/>
  <c r="EL40" i="2"/>
  <c r="EQ40" i="2"/>
  <c r="DV40" i="2"/>
  <c r="DW40" i="2"/>
  <c r="EI40" i="2"/>
  <c r="EF40" i="2"/>
  <c r="DY40" i="2"/>
  <c r="DW15" i="2"/>
  <c r="DY15" i="2"/>
  <c r="DV15" i="2"/>
  <c r="DU15" i="2"/>
  <c r="DU42" i="2"/>
  <c r="EI42" i="2"/>
  <c r="EG42" i="2"/>
  <c r="DW42" i="2"/>
  <c r="EN42" i="2"/>
  <c r="EF42" i="2"/>
  <c r="EM42" i="2"/>
  <c r="DV42" i="2"/>
  <c r="ET42" i="2"/>
  <c r="EL42" i="2"/>
  <c r="EH42" i="2"/>
  <c r="EE42" i="2"/>
  <c r="EO42" i="2"/>
  <c r="DY42" i="2"/>
  <c r="EQ42" i="2"/>
  <c r="EF9" i="2"/>
  <c r="DU9" i="2"/>
  <c r="EM9" i="2"/>
  <c r="EN9" i="2"/>
  <c r="DW9" i="2"/>
  <c r="DV9" i="2"/>
  <c r="DY9" i="2"/>
  <c r="EL9" i="2"/>
  <c r="EG9" i="2"/>
  <c r="EO9" i="2"/>
  <c r="EE9" i="2"/>
  <c r="EI9" i="2"/>
  <c r="EQ9" i="2"/>
  <c r="EH9" i="2"/>
  <c r="DU16" i="2"/>
  <c r="EF16" i="2"/>
  <c r="EQ16" i="2"/>
  <c r="EG16" i="2"/>
  <c r="EL16" i="2"/>
  <c r="DW16" i="2"/>
  <c r="EN16" i="2"/>
  <c r="EO16" i="2"/>
  <c r="DV16" i="2"/>
  <c r="EM16" i="2"/>
  <c r="DY16" i="2"/>
  <c r="EI16" i="2"/>
  <c r="EH16" i="2"/>
  <c r="EE16" i="2"/>
  <c r="DY41" i="2"/>
  <c r="EG41" i="2"/>
  <c r="DU41" i="2"/>
  <c r="EE41" i="2"/>
  <c r="DW41" i="2"/>
  <c r="DV41" i="2"/>
  <c r="EO41" i="2"/>
  <c r="EM41" i="2"/>
  <c r="EL41" i="2"/>
  <c r="EI41" i="2"/>
  <c r="EN41" i="2"/>
  <c r="ET41" i="2"/>
  <c r="EF41" i="2"/>
  <c r="EH41" i="2"/>
  <c r="EQ41" i="2"/>
  <c r="EO31" i="2"/>
  <c r="DW31" i="2"/>
  <c r="EL31" i="2"/>
  <c r="DU31" i="2"/>
  <c r="DY31" i="2"/>
  <c r="EE31" i="2"/>
  <c r="EN31" i="2"/>
  <c r="EH31" i="2"/>
  <c r="EM31" i="2"/>
  <c r="EI31" i="2"/>
  <c r="DV31" i="2"/>
  <c r="EG31" i="2"/>
  <c r="EF31" i="2"/>
  <c r="EQ31" i="2"/>
  <c r="EQ13" i="2"/>
  <c r="DV13" i="2"/>
  <c r="EI13" i="2"/>
  <c r="EE13" i="2"/>
  <c r="EN13" i="2"/>
  <c r="EG13" i="2"/>
  <c r="EH13" i="2"/>
  <c r="EL13" i="2"/>
  <c r="DU13" i="2"/>
  <c r="DY13" i="2"/>
  <c r="EO13" i="2"/>
  <c r="DW13" i="2"/>
  <c r="EM13" i="2"/>
  <c r="ET13" i="2"/>
  <c r="EF13" i="2"/>
  <c r="EF38" i="2"/>
  <c r="EG38" i="2"/>
  <c r="DW38" i="2"/>
  <c r="EQ38" i="2"/>
  <c r="EN38" i="2"/>
  <c r="EL38" i="2"/>
  <c r="EO38" i="2"/>
  <c r="EI38" i="2"/>
  <c r="EM38" i="2"/>
  <c r="ET38" i="2"/>
  <c r="DV38" i="2"/>
  <c r="EE38" i="2"/>
  <c r="DY38" i="2"/>
  <c r="DU38" i="2"/>
  <c r="EH38" i="2"/>
  <c r="EG33" i="2"/>
  <c r="EI33" i="2"/>
  <c r="DU33" i="2"/>
  <c r="EN33" i="2"/>
  <c r="EF33" i="2"/>
  <c r="EH33" i="2"/>
  <c r="DV33" i="2"/>
  <c r="EO33" i="2"/>
  <c r="EE33" i="2"/>
  <c r="DW33" i="2"/>
  <c r="EM33" i="2"/>
  <c r="EQ33" i="2"/>
  <c r="DY33" i="2"/>
  <c r="EL33" i="2"/>
  <c r="EE26" i="2"/>
  <c r="DY26" i="2"/>
  <c r="EG26" i="2"/>
  <c r="EO26" i="2"/>
  <c r="EH26" i="2"/>
  <c r="DU26" i="2"/>
  <c r="DW26" i="2"/>
  <c r="EM26" i="2"/>
  <c r="EI26" i="2"/>
  <c r="EQ26" i="2"/>
  <c r="EN26" i="2"/>
  <c r="EF26" i="2"/>
  <c r="DV26" i="2"/>
  <c r="EL26" i="2"/>
  <c r="EG20" i="2"/>
  <c r="EQ20" i="2"/>
  <c r="EM20" i="2"/>
  <c r="EH20" i="2"/>
  <c r="DU20" i="2"/>
  <c r="DY20" i="2"/>
  <c r="DW20" i="2"/>
  <c r="EF20" i="2"/>
  <c r="EN20" i="2"/>
  <c r="EE20" i="2"/>
  <c r="EL20" i="2"/>
  <c r="DV20" i="2"/>
  <c r="EO20" i="2"/>
  <c r="EI20" i="2"/>
  <c r="EO25" i="2"/>
  <c r="EG25" i="2"/>
  <c r="EQ25" i="2"/>
  <c r="DU25" i="2"/>
  <c r="EE25" i="2"/>
  <c r="DY25" i="2"/>
  <c r="EN25" i="2"/>
  <c r="DV25" i="2"/>
  <c r="EL25" i="2"/>
  <c r="ET25" i="2"/>
  <c r="DW25" i="2"/>
  <c r="EH25" i="2"/>
  <c r="EM25" i="2"/>
  <c r="EF25" i="2"/>
  <c r="EI25" i="2"/>
  <c r="DW14" i="2"/>
  <c r="DU14" i="2"/>
  <c r="DV14" i="2"/>
  <c r="DV50" i="2"/>
  <c r="EG50" i="2"/>
  <c r="EI50" i="2"/>
  <c r="EH50" i="2"/>
  <c r="EF50" i="2"/>
  <c r="EL50" i="2"/>
  <c r="ET50" i="2"/>
  <c r="EO50" i="2"/>
  <c r="EQ50" i="2"/>
  <c r="DU50" i="2"/>
  <c r="DW50" i="2"/>
  <c r="EN50" i="2"/>
  <c r="EM50" i="2"/>
  <c r="EE50" i="2"/>
  <c r="DY50" i="2"/>
  <c r="DV28" i="2"/>
  <c r="DY28" i="2"/>
  <c r="EN28" i="2"/>
  <c r="DU28" i="2"/>
  <c r="EF28" i="2"/>
  <c r="DW28" i="2"/>
  <c r="EQ28" i="2"/>
  <c r="EI28" i="2"/>
  <c r="EG28" i="2"/>
  <c r="EH28" i="2"/>
  <c r="EL28" i="2"/>
  <c r="EE28" i="2"/>
  <c r="EM28" i="2"/>
  <c r="EO28" i="2"/>
  <c r="EL18" i="2"/>
  <c r="DY18" i="2"/>
  <c r="EN18" i="2"/>
  <c r="EO18" i="2"/>
  <c r="DV18" i="2"/>
  <c r="DW18" i="2"/>
  <c r="DU18" i="2"/>
  <c r="EH18" i="2"/>
  <c r="EQ18" i="2"/>
  <c r="EE18" i="2"/>
  <c r="EF18" i="2"/>
  <c r="EI18" i="2"/>
  <c r="EM18" i="2"/>
  <c r="EG18" i="2"/>
  <c r="EO24" i="2"/>
  <c r="DY24" i="2"/>
  <c r="EQ24" i="2"/>
  <c r="EG24" i="2"/>
  <c r="EH24" i="2"/>
  <c r="EF24" i="2"/>
  <c r="DU24" i="2"/>
  <c r="DW24" i="2"/>
  <c r="EE24" i="2"/>
  <c r="DV24" i="2"/>
  <c r="EM24" i="2"/>
  <c r="EN24" i="2"/>
  <c r="EL24" i="2"/>
  <c r="EI24" i="2"/>
  <c r="EH34" i="2"/>
  <c r="EF34" i="2"/>
  <c r="DV34" i="2"/>
  <c r="EE34" i="2"/>
  <c r="DW34" i="2"/>
  <c r="EN34" i="2"/>
  <c r="EG34" i="2"/>
  <c r="EO34" i="2"/>
  <c r="EM34" i="2"/>
  <c r="DU34" i="2"/>
  <c r="EL34" i="2"/>
  <c r="EQ34" i="2"/>
  <c r="EI34" i="2"/>
  <c r="DY34" i="2"/>
  <c r="EF45" i="2"/>
  <c r="EG45" i="2"/>
  <c r="EL45" i="2"/>
  <c r="DV45" i="2"/>
  <c r="DW45" i="2"/>
  <c r="EN45" i="2"/>
  <c r="EM45" i="2"/>
  <c r="EO45" i="2"/>
  <c r="EQ45" i="2"/>
  <c r="EI45" i="2"/>
  <c r="DU45" i="2"/>
  <c r="DY45" i="2"/>
  <c r="EE45" i="2"/>
  <c r="EH45" i="2"/>
  <c r="ET45" i="2"/>
  <c r="EH29" i="2"/>
  <c r="EQ29" i="2"/>
  <c r="EG29" i="2"/>
  <c r="DY29" i="2"/>
  <c r="EO29" i="2"/>
  <c r="DU29" i="2"/>
  <c r="DW29" i="2"/>
  <c r="DV29" i="2"/>
  <c r="EL29" i="2"/>
  <c r="EF29" i="2"/>
  <c r="EN29" i="2"/>
  <c r="EE29" i="2"/>
  <c r="EM29" i="2"/>
  <c r="EI29" i="2"/>
  <c r="EF8" i="2"/>
  <c r="EG8" i="2"/>
  <c r="EQ8" i="2"/>
  <c r="EE8" i="2"/>
  <c r="DY8" i="2"/>
  <c r="EL8" i="2"/>
  <c r="EI8" i="2"/>
  <c r="DV8" i="2"/>
  <c r="DU8" i="2"/>
  <c r="EO8" i="2"/>
  <c r="EM8" i="2"/>
  <c r="DW8" i="2"/>
  <c r="EN8" i="2"/>
  <c r="EH8" i="2"/>
  <c r="EG5" i="2"/>
  <c r="EE5" i="2"/>
  <c r="EQ5" i="2"/>
  <c r="EM5" i="2"/>
  <c r="DY5" i="2"/>
  <c r="EI5" i="2"/>
  <c r="EO5" i="2"/>
  <c r="EL5" i="2"/>
  <c r="DW5" i="2"/>
  <c r="EH5" i="2"/>
  <c r="EN5" i="2"/>
  <c r="DU5" i="2"/>
  <c r="EF5" i="2"/>
  <c r="DV5" i="2"/>
  <c r="DW21" i="2"/>
  <c r="DU21" i="2"/>
  <c r="EQ21" i="2"/>
  <c r="DY21" i="2"/>
  <c r="EE21" i="2"/>
  <c r="EH21" i="2"/>
  <c r="EG21" i="2"/>
  <c r="DV21" i="2"/>
  <c r="EO21" i="2"/>
  <c r="EL21" i="2"/>
  <c r="EF21" i="2"/>
  <c r="EM21" i="2"/>
  <c r="EI21" i="2"/>
  <c r="EN21" i="2"/>
  <c r="EL51" i="2"/>
  <c r="EN51" i="2"/>
  <c r="DU51" i="2"/>
  <c r="EE51" i="2"/>
  <c r="ET51" i="2"/>
  <c r="EH51" i="2"/>
  <c r="DY51" i="2"/>
  <c r="EG51" i="2"/>
  <c r="DW51" i="2"/>
  <c r="EQ51" i="2"/>
  <c r="EO51" i="2"/>
  <c r="EI51" i="2"/>
  <c r="EM51" i="2"/>
  <c r="DV51" i="2"/>
  <c r="EF51" i="2"/>
  <c r="EQ37" i="2"/>
  <c r="EM37" i="2"/>
  <c r="EH37" i="2"/>
  <c r="EL37" i="2"/>
  <c r="DY37" i="2"/>
  <c r="EE37" i="2"/>
  <c r="EI37" i="2"/>
  <c r="DW37" i="2"/>
  <c r="EN37" i="2"/>
  <c r="EO37" i="2"/>
  <c r="DU37" i="2"/>
  <c r="ET37" i="2"/>
  <c r="DV37" i="2"/>
  <c r="EG37" i="2"/>
  <c r="EF37" i="2"/>
  <c r="DU35" i="2"/>
  <c r="DV35" i="2"/>
  <c r="EL35" i="2"/>
  <c r="EI35" i="2"/>
  <c r="EE35" i="2"/>
  <c r="DY35" i="2"/>
  <c r="EH35" i="2"/>
  <c r="EN35" i="2"/>
  <c r="DW35" i="2"/>
  <c r="EO35" i="2"/>
  <c r="EG35" i="2"/>
  <c r="EQ35" i="2"/>
  <c r="EM35" i="2"/>
  <c r="EF35" i="2"/>
  <c r="EQ39" i="2"/>
  <c r="EL39" i="2"/>
  <c r="ET39" i="2"/>
  <c r="EH39" i="2"/>
  <c r="EE39" i="2"/>
  <c r="EF39" i="2"/>
  <c r="EG39" i="2"/>
  <c r="EO39" i="2"/>
  <c r="EM39" i="2"/>
  <c r="EN39" i="2"/>
  <c r="DV39" i="2"/>
  <c r="DW39" i="2"/>
  <c r="DU39" i="2"/>
  <c r="DY39" i="2"/>
  <c r="EI39" i="2"/>
  <c r="EI17" i="2"/>
  <c r="EO17" i="2"/>
  <c r="EN17" i="2"/>
  <c r="EE17" i="2"/>
  <c r="EG17" i="2"/>
  <c r="DY17" i="2"/>
  <c r="EM17" i="2"/>
  <c r="EQ17" i="2"/>
  <c r="DV17" i="2"/>
  <c r="EL17" i="2"/>
  <c r="DW17" i="2"/>
  <c r="EF17" i="2"/>
  <c r="EH17" i="2"/>
  <c r="DU17" i="2"/>
  <c r="DY36" i="2"/>
  <c r="EL36" i="2"/>
  <c r="EO36" i="2"/>
  <c r="EH36" i="2"/>
  <c r="EE36" i="2"/>
  <c r="EI36" i="2"/>
  <c r="DU36" i="2"/>
  <c r="EN36" i="2"/>
  <c r="EM36" i="2"/>
  <c r="EQ36" i="2"/>
  <c r="DW36" i="2"/>
  <c r="EG36" i="2"/>
  <c r="EF36" i="2"/>
  <c r="DV36" i="2"/>
  <c r="EH27" i="2"/>
  <c r="EG27" i="2"/>
  <c r="EL27" i="2"/>
  <c r="EF27" i="2"/>
  <c r="DY27" i="2"/>
  <c r="EE27" i="2"/>
  <c r="EQ27" i="2"/>
  <c r="DW27" i="2"/>
  <c r="EM27" i="2"/>
  <c r="EN27" i="2"/>
  <c r="DU27" i="2"/>
  <c r="DV27" i="2"/>
  <c r="EO27" i="2"/>
  <c r="EI27" i="2"/>
  <c r="EL48" i="2"/>
  <c r="ET48" i="2"/>
  <c r="DV48" i="2"/>
  <c r="DU48" i="2"/>
  <c r="DY48" i="2"/>
  <c r="EO48" i="2"/>
  <c r="EH48" i="2"/>
  <c r="EI48" i="2"/>
  <c r="EM48" i="2"/>
  <c r="EG48" i="2"/>
  <c r="EN48" i="2"/>
  <c r="EF48" i="2"/>
  <c r="EQ48" i="2"/>
  <c r="DW48" i="2"/>
  <c r="EE48" i="2"/>
  <c r="DU43" i="2"/>
  <c r="EO43" i="2"/>
  <c r="ET43" i="2"/>
  <c r="DW43" i="2"/>
  <c r="EI43" i="2"/>
  <c r="EH43" i="2"/>
  <c r="EE43" i="2"/>
  <c r="EF43" i="2"/>
  <c r="EM43" i="2"/>
  <c r="EL43" i="2"/>
  <c r="DV43" i="2"/>
  <c r="DY43" i="2"/>
  <c r="EQ43" i="2"/>
  <c r="EN43" i="2"/>
  <c r="EG43" i="2"/>
  <c r="DW11" i="2"/>
  <c r="DY11" i="2"/>
  <c r="DU11" i="2"/>
  <c r="DV11" i="2"/>
  <c r="EE23" i="2"/>
  <c r="DU23" i="2"/>
  <c r="EF23" i="2"/>
  <c r="EQ23" i="2"/>
  <c r="EL23" i="2"/>
  <c r="DY23" i="2"/>
  <c r="EO23" i="2"/>
  <c r="DW23" i="2"/>
  <c r="EM23" i="2"/>
  <c r="EN23" i="2"/>
  <c r="DV23" i="2"/>
  <c r="EH23" i="2"/>
  <c r="EI23" i="2"/>
  <c r="EG23" i="2"/>
  <c r="EL4" i="2"/>
  <c r="EF4" i="2"/>
  <c r="DY4" i="2"/>
  <c r="EG4" i="2"/>
  <c r="EH4" i="2"/>
  <c r="EO4" i="2"/>
  <c r="EQ4" i="2"/>
  <c r="DV4" i="2"/>
  <c r="DU4" i="2"/>
  <c r="EN4" i="2"/>
  <c r="EE4" i="2"/>
  <c r="EM4" i="2"/>
  <c r="EI4" i="2"/>
  <c r="DW4" i="2"/>
  <c r="DU44" i="2"/>
  <c r="DW44" i="2"/>
  <c r="EQ44" i="2"/>
  <c r="EO44" i="2"/>
  <c r="EF44" i="2"/>
  <c r="EG44" i="2"/>
  <c r="ET44" i="2"/>
  <c r="DV44" i="2"/>
  <c r="EI44" i="2"/>
  <c r="EH44" i="2"/>
  <c r="EN44" i="2"/>
  <c r="EL44" i="2"/>
  <c r="EE44" i="2"/>
  <c r="DY44" i="2"/>
  <c r="EM44" i="2"/>
  <c r="DY19" i="2"/>
  <c r="EF19" i="2"/>
  <c r="EL19" i="2"/>
  <c r="EG19" i="2"/>
  <c r="EE19" i="2"/>
  <c r="EH19" i="2"/>
  <c r="DU19" i="2"/>
  <c r="DW19" i="2"/>
  <c r="EO19" i="2"/>
  <c r="EQ19" i="2"/>
  <c r="DV19" i="2"/>
  <c r="EM19" i="2"/>
  <c r="EI19" i="2"/>
  <c r="EN19" i="2"/>
  <c r="EI22" i="2"/>
  <c r="EL22" i="2"/>
  <c r="EE22" i="2"/>
  <c r="DY22" i="2"/>
  <c r="EO22" i="2"/>
  <c r="EH22" i="2"/>
  <c r="EQ22" i="2"/>
  <c r="DU22" i="2"/>
  <c r="EG22" i="2"/>
  <c r="EF22" i="2"/>
  <c r="DW22" i="2"/>
  <c r="EN22" i="2"/>
  <c r="EM22" i="2"/>
  <c r="DV22" i="2"/>
  <c r="EF47" i="2"/>
  <c r="EM47" i="2"/>
  <c r="DW47" i="2"/>
  <c r="EI47" i="2"/>
  <c r="EL47" i="2"/>
  <c r="DU47" i="2"/>
  <c r="EE47" i="2"/>
  <c r="DV47" i="2"/>
  <c r="EN47" i="2"/>
  <c r="EH47" i="2"/>
  <c r="DY47" i="2"/>
  <c r="EQ47" i="2"/>
  <c r="ET47" i="2"/>
  <c r="EO47" i="2"/>
  <c r="EG47" i="2"/>
  <c r="EQ30" i="2"/>
  <c r="DV30" i="2"/>
  <c r="EI30" i="2"/>
  <c r="EM30" i="2"/>
  <c r="EE30" i="2"/>
  <c r="EL30" i="2"/>
  <c r="DY30" i="2"/>
  <c r="EF30" i="2"/>
  <c r="DU30" i="2"/>
  <c r="EH30" i="2"/>
  <c r="DW30" i="2"/>
  <c r="EO30" i="2"/>
  <c r="EG30" i="2"/>
  <c r="EN30" i="2"/>
  <c r="EN49" i="2"/>
  <c r="DW49" i="2"/>
  <c r="EG49" i="2"/>
  <c r="EQ49" i="2"/>
  <c r="EE49" i="2"/>
  <c r="ET49" i="2"/>
  <c r="EO49" i="2"/>
  <c r="EM49" i="2"/>
  <c r="DU49" i="2"/>
  <c r="DV49" i="2"/>
  <c r="EH49" i="2"/>
  <c r="EF49" i="2"/>
  <c r="EI49" i="2"/>
  <c r="DY49" i="2"/>
  <c r="EL49" i="2"/>
  <c r="EH32" i="2"/>
  <c r="EL32" i="2"/>
  <c r="EI32" i="2"/>
  <c r="EO32" i="2"/>
  <c r="DV32" i="2"/>
  <c r="DU32" i="2"/>
  <c r="EF32" i="2"/>
  <c r="DY32" i="2"/>
  <c r="EE32" i="2"/>
  <c r="EQ32" i="2"/>
  <c r="EM32" i="2"/>
  <c r="EN32" i="2"/>
  <c r="EG32" i="2"/>
  <c r="DW32" i="2"/>
  <c r="DU12" i="2"/>
  <c r="EN12" i="2"/>
  <c r="EE12" i="2"/>
  <c r="DW12" i="2"/>
  <c r="EM12" i="2"/>
  <c r="EI12" i="2"/>
  <c r="EF12" i="2"/>
  <c r="EO12" i="2"/>
  <c r="DY12" i="2"/>
  <c r="EH12" i="2"/>
  <c r="DV12" i="2"/>
  <c r="EQ12" i="2"/>
  <c r="EG12" i="2"/>
  <c r="EL12" i="2"/>
  <c r="DV6" i="2"/>
  <c r="DU6" i="2"/>
  <c r="EG11" i="2"/>
  <c r="EM11" i="2"/>
  <c r="EO11" i="2"/>
  <c r="EF11" i="2"/>
  <c r="EL11" i="2"/>
  <c r="EE11" i="2"/>
  <c r="EF10" i="2"/>
  <c r="EE10" i="2"/>
  <c r="EM10" i="2"/>
  <c r="EL10" i="2"/>
  <c r="EG10" i="2"/>
  <c r="ET7" i="2"/>
  <c r="EG7" i="2"/>
  <c r="DU7" i="2"/>
  <c r="DV7" i="2"/>
  <c r="ET3" i="2"/>
  <c r="EF3" i="2"/>
  <c r="DW3" i="2"/>
  <c r="DY3" i="2"/>
  <c r="DV3" i="2"/>
  <c r="DU3" i="2"/>
  <c r="A8" i="2"/>
  <c r="EE7" i="2"/>
  <c r="DV2" i="2"/>
  <c r="DU2" i="2"/>
  <c r="EY18" i="2"/>
  <c r="EY20" i="2"/>
  <c r="EY21" i="2"/>
  <c r="EY19" i="2"/>
  <c r="A7" i="2"/>
  <c r="BG13" i="8"/>
  <c r="AV13" i="8"/>
  <c r="IL13" i="2"/>
  <c r="JH13" i="2"/>
  <c r="JI13" i="2"/>
  <c r="JJ13" i="2"/>
  <c r="B33" i="5"/>
  <c r="B34" i="5"/>
  <c r="B32" i="5"/>
  <c r="B31" i="5"/>
  <c r="JH2" i="2"/>
  <c r="BG2" i="8"/>
  <c r="AV2" i="8"/>
  <c r="IL2" i="2"/>
  <c r="JH3" i="2"/>
  <c r="JI3" i="2"/>
  <c r="JJ3" i="2"/>
  <c r="BG3" i="8"/>
  <c r="AV3" i="8"/>
  <c r="IL3" i="2"/>
  <c r="JH12" i="2"/>
  <c r="JI12" i="2"/>
  <c r="JJ12" i="2"/>
  <c r="BG12" i="8"/>
  <c r="AV12" i="8"/>
  <c r="IL12" i="2"/>
  <c r="JH32" i="2"/>
  <c r="JI32" i="2"/>
  <c r="JJ32" i="2"/>
  <c r="BG32" i="8"/>
  <c r="AV32" i="8"/>
  <c r="IL32" i="2"/>
  <c r="JH29" i="2"/>
  <c r="JI29" i="2"/>
  <c r="JJ29" i="2"/>
  <c r="BG29" i="8"/>
  <c r="AV29" i="8"/>
  <c r="IL29" i="2"/>
  <c r="JH24" i="2"/>
  <c r="JI24" i="2"/>
  <c r="JJ24" i="2"/>
  <c r="BG24" i="8"/>
  <c r="AV24" i="8"/>
  <c r="IL24" i="2"/>
  <c r="JH17" i="2"/>
  <c r="JI17" i="2"/>
  <c r="JJ17" i="2"/>
  <c r="BG17" i="8"/>
  <c r="AV17" i="8"/>
  <c r="IL17" i="2"/>
  <c r="JH15" i="2"/>
  <c r="JI15" i="2"/>
  <c r="JJ15" i="2"/>
  <c r="BG15" i="8"/>
  <c r="AV15" i="8"/>
  <c r="IL15" i="2"/>
  <c r="JH10" i="2"/>
  <c r="JI10" i="2"/>
  <c r="JJ10" i="2"/>
  <c r="BG10" i="8"/>
  <c r="AV10" i="8"/>
  <c r="IL10" i="2"/>
  <c r="JH6" i="2"/>
  <c r="JI6" i="2"/>
  <c r="JJ6" i="2"/>
  <c r="BG6" i="8"/>
  <c r="AV6" i="8"/>
  <c r="IL6" i="2"/>
  <c r="JH22" i="2"/>
  <c r="JI22" i="2"/>
  <c r="JJ22" i="2"/>
  <c r="BG22" i="8"/>
  <c r="AV22" i="8"/>
  <c r="IL22" i="2"/>
  <c r="JH4" i="2"/>
  <c r="JI4" i="2"/>
  <c r="JJ4" i="2"/>
  <c r="BG4" i="8"/>
  <c r="AV4" i="8"/>
  <c r="IL4" i="2"/>
  <c r="JH34" i="2"/>
  <c r="JI34" i="2"/>
  <c r="JJ34" i="2"/>
  <c r="BG34" i="8"/>
  <c r="AV34" i="8"/>
  <c r="IL34" i="2"/>
  <c r="JH26" i="2"/>
  <c r="JI26" i="2"/>
  <c r="JJ26" i="2"/>
  <c r="BG26" i="8"/>
  <c r="AV26" i="8"/>
  <c r="IL26" i="2"/>
  <c r="JH5" i="2"/>
  <c r="JI5" i="2"/>
  <c r="JJ5" i="2"/>
  <c r="BG5" i="8"/>
  <c r="AV5" i="8"/>
  <c r="IL5" i="2"/>
  <c r="JH36" i="2"/>
  <c r="JI36" i="2"/>
  <c r="JJ36" i="2"/>
  <c r="BG36" i="8"/>
  <c r="AV36" i="8"/>
  <c r="IL36" i="2"/>
  <c r="JH19" i="2"/>
  <c r="JI19" i="2"/>
  <c r="JJ19" i="2"/>
  <c r="BG19" i="8"/>
  <c r="AV19" i="8"/>
  <c r="IL19" i="2"/>
  <c r="JH16" i="2"/>
  <c r="JI16" i="2"/>
  <c r="JJ16" i="2"/>
  <c r="BG16" i="8"/>
  <c r="AV16" i="8"/>
  <c r="IL16" i="2"/>
  <c r="JH31" i="2"/>
  <c r="JI31" i="2"/>
  <c r="JJ31" i="2"/>
  <c r="BG31" i="8"/>
  <c r="AV31" i="8"/>
  <c r="IL31" i="2"/>
  <c r="JH8" i="2"/>
  <c r="JI8" i="2"/>
  <c r="JJ8" i="2"/>
  <c r="BG8" i="8"/>
  <c r="AV8" i="8"/>
  <c r="IL8" i="2"/>
  <c r="JH14" i="2"/>
  <c r="JI14" i="2"/>
  <c r="JJ14" i="2"/>
  <c r="BG14" i="8"/>
  <c r="AV14" i="8"/>
  <c r="IL14" i="2"/>
  <c r="JH27" i="2"/>
  <c r="JI27" i="2"/>
  <c r="JJ27" i="2"/>
  <c r="BG27" i="8"/>
  <c r="AV27" i="8"/>
  <c r="IL27" i="2"/>
  <c r="JH28" i="2"/>
  <c r="JI28" i="2"/>
  <c r="JJ28" i="2"/>
  <c r="BG28" i="8"/>
  <c r="AV28" i="8"/>
  <c r="IL28" i="2"/>
  <c r="JH33" i="2"/>
  <c r="JI33" i="2"/>
  <c r="JJ33" i="2"/>
  <c r="BG33" i="8"/>
  <c r="AV33" i="8"/>
  <c r="IL33" i="2"/>
  <c r="JH7" i="2"/>
  <c r="JI7" i="2"/>
  <c r="JJ7" i="2"/>
  <c r="BG7" i="8"/>
  <c r="AV7" i="8"/>
  <c r="IL7" i="2"/>
  <c r="JH20" i="2"/>
  <c r="JI20" i="2"/>
  <c r="JJ20" i="2"/>
  <c r="BG20" i="8"/>
  <c r="AV20" i="8"/>
  <c r="IL20" i="2"/>
  <c r="JH35" i="2"/>
  <c r="JI35" i="2"/>
  <c r="JJ35" i="2"/>
  <c r="BG35" i="8"/>
  <c r="AV35" i="8"/>
  <c r="IL35" i="2"/>
  <c r="JH23" i="2"/>
  <c r="JI23" i="2"/>
  <c r="JJ23" i="2"/>
  <c r="BG23" i="8"/>
  <c r="AV23" i="8"/>
  <c r="IL23" i="2"/>
  <c r="JH18" i="2"/>
  <c r="JI18" i="2"/>
  <c r="JJ18" i="2"/>
  <c r="BG18" i="8"/>
  <c r="AV18" i="8"/>
  <c r="IL18" i="2"/>
  <c r="JH9" i="2"/>
  <c r="JI9" i="2"/>
  <c r="JJ9" i="2"/>
  <c r="BG9" i="8"/>
  <c r="AV9" i="8"/>
  <c r="IL9" i="2"/>
  <c r="JH21" i="2"/>
  <c r="JI21" i="2"/>
  <c r="JJ21" i="2"/>
  <c r="BG21" i="8"/>
  <c r="AV21" i="8"/>
  <c r="IL21" i="2"/>
  <c r="JH11" i="2"/>
  <c r="JI11" i="2"/>
  <c r="JJ11" i="2"/>
  <c r="BG11" i="8"/>
  <c r="AV11" i="8"/>
  <c r="IL11" i="2"/>
  <c r="JH30" i="2"/>
  <c r="JI30" i="2"/>
  <c r="JJ30" i="2"/>
  <c r="BG30" i="8"/>
  <c r="AV30" i="8"/>
  <c r="IL30" i="2"/>
  <c r="P3" i="8"/>
  <c r="P4" i="8"/>
  <c r="EY25" i="2"/>
  <c r="EY26" i="2"/>
  <c r="DX14" i="2"/>
  <c r="ET11" i="2"/>
  <c r="ET5" i="2"/>
  <c r="EU5" i="2"/>
  <c r="ET8" i="2"/>
  <c r="EU8" i="2"/>
  <c r="ET12" i="2"/>
  <c r="EU12" i="2"/>
  <c r="ET4" i="2"/>
  <c r="EU4" i="2"/>
  <c r="ET9" i="2"/>
  <c r="EU9" i="2"/>
  <c r="ET32" i="2"/>
  <c r="EU32" i="2"/>
  <c r="ET30" i="2"/>
  <c r="EU30" i="2"/>
  <c r="ET22" i="2"/>
  <c r="EU22" i="2"/>
  <c r="ET19" i="2"/>
  <c r="EU19" i="2"/>
  <c r="ET23" i="2"/>
  <c r="EU23" i="2"/>
  <c r="ET27" i="2"/>
  <c r="EU27" i="2"/>
  <c r="ET36" i="2"/>
  <c r="EU36" i="2"/>
  <c r="ET17" i="2"/>
  <c r="EU17" i="2"/>
  <c r="ET35" i="2"/>
  <c r="EU35" i="2"/>
  <c r="ET21" i="2"/>
  <c r="EU21" i="2"/>
  <c r="ET29" i="2"/>
  <c r="EU29" i="2"/>
  <c r="ET34" i="2"/>
  <c r="EU34" i="2"/>
  <c r="ET24" i="2"/>
  <c r="EU24" i="2"/>
  <c r="ET18" i="2"/>
  <c r="EU18" i="2"/>
  <c r="ET28" i="2"/>
  <c r="EU28" i="2"/>
  <c r="ET20" i="2"/>
  <c r="EU20" i="2"/>
  <c r="ET26" i="2"/>
  <c r="EU26" i="2"/>
  <c r="ET33" i="2"/>
  <c r="EU33" i="2"/>
  <c r="ET31" i="2"/>
  <c r="EU31" i="2"/>
  <c r="ET16" i="2"/>
  <c r="EU16" i="2"/>
  <c r="ET10" i="2"/>
  <c r="A9" i="2"/>
  <c r="AL8" i="2"/>
  <c r="HR44" i="2"/>
  <c r="HR42" i="2"/>
  <c r="HR53" i="2"/>
  <c r="HR22" i="2"/>
  <c r="HR37" i="2"/>
  <c r="HR45" i="2"/>
  <c r="HL13" i="2"/>
  <c r="IN13" i="2"/>
  <c r="HL41" i="2"/>
  <c r="IN41" i="2"/>
  <c r="HL27" i="2"/>
  <c r="IN27" i="2"/>
  <c r="HL25" i="2"/>
  <c r="IN25" i="2"/>
  <c r="HL14" i="2"/>
  <c r="IN14" i="2"/>
  <c r="HL50" i="2"/>
  <c r="IN50" i="2"/>
  <c r="HL43" i="2"/>
  <c r="IN43" i="2"/>
  <c r="HL24" i="2"/>
  <c r="IN24" i="2"/>
  <c r="HL19" i="2"/>
  <c r="IN19" i="2"/>
  <c r="HL15" i="2"/>
  <c r="IN15" i="2"/>
  <c r="HL20" i="2"/>
  <c r="IN20" i="2"/>
  <c r="HR51" i="2"/>
  <c r="HR24" i="2"/>
  <c r="HR46" i="2"/>
  <c r="HR23" i="2"/>
  <c r="HR27" i="2"/>
  <c r="HR29" i="2"/>
  <c r="HR38" i="2"/>
  <c r="HR39" i="2"/>
  <c r="HR49" i="2"/>
  <c r="HR43" i="2"/>
  <c r="HL48" i="2"/>
  <c r="IN48" i="2"/>
  <c r="HL32" i="2"/>
  <c r="IN32" i="2"/>
  <c r="HL46" i="2"/>
  <c r="IN46" i="2"/>
  <c r="HL51" i="2"/>
  <c r="IN51" i="2"/>
  <c r="IN37" i="2"/>
  <c r="HL37" i="2"/>
  <c r="HL47" i="2"/>
  <c r="IN47" i="2"/>
  <c r="HL44" i="2"/>
  <c r="IN44" i="2"/>
  <c r="HL22" i="2"/>
  <c r="IN22" i="2"/>
  <c r="HL21" i="2"/>
  <c r="IN21" i="2"/>
  <c r="HL26" i="2"/>
  <c r="IN26" i="2"/>
  <c r="HR30" i="2"/>
  <c r="HR32" i="2"/>
  <c r="HR36" i="2"/>
  <c r="HR52" i="2"/>
  <c r="HR34" i="2"/>
  <c r="HR48" i="2"/>
  <c r="HR31" i="2"/>
  <c r="HR47" i="2"/>
  <c r="HR33" i="2"/>
  <c r="HR28" i="2"/>
  <c r="HR35" i="2"/>
  <c r="HL34" i="2"/>
  <c r="IN34" i="2"/>
  <c r="HL39" i="2"/>
  <c r="IN39" i="2"/>
  <c r="IN38" i="2"/>
  <c r="HL38" i="2"/>
  <c r="HL31" i="2"/>
  <c r="IN31" i="2"/>
  <c r="HL16" i="2"/>
  <c r="IN16" i="2"/>
  <c r="HL33" i="2"/>
  <c r="IN33" i="2"/>
  <c r="IN30" i="2"/>
  <c r="HL30" i="2"/>
  <c r="HL23" i="2"/>
  <c r="IN23" i="2"/>
  <c r="HL52" i="2"/>
  <c r="IN52" i="2"/>
  <c r="HR41" i="2"/>
  <c r="HR26" i="2"/>
  <c r="HL35" i="2"/>
  <c r="IN35" i="2"/>
  <c r="HL49" i="2"/>
  <c r="IN49" i="2"/>
  <c r="IN42" i="2"/>
  <c r="HL42" i="2"/>
  <c r="HL45" i="2"/>
  <c r="IN45" i="2"/>
  <c r="HL28" i="2"/>
  <c r="IN28" i="2"/>
  <c r="HL18" i="2"/>
  <c r="IN18" i="2"/>
  <c r="HL40" i="2"/>
  <c r="IN40" i="2"/>
  <c r="HL17" i="2"/>
  <c r="IN17" i="2"/>
  <c r="IN36" i="2"/>
  <c r="HL36" i="2"/>
  <c r="HL29" i="2"/>
  <c r="IN29" i="2"/>
  <c r="HL53" i="2"/>
  <c r="IN53" i="2"/>
  <c r="HR50" i="2"/>
  <c r="HR40" i="2"/>
  <c r="HR25" i="2"/>
  <c r="HL108" i="2"/>
  <c r="IN109" i="2"/>
  <c r="IN9" i="2"/>
  <c r="HL109" i="2"/>
  <c r="HL114" i="2"/>
  <c r="HL2" i="2"/>
  <c r="IN3" i="2"/>
  <c r="IN106" i="2"/>
  <c r="HL115" i="2"/>
  <c r="HL9" i="2"/>
  <c r="HL105" i="2"/>
  <c r="IN112" i="2"/>
  <c r="HL112" i="2"/>
  <c r="IN10" i="2"/>
  <c r="HL10" i="2"/>
  <c r="HL3" i="2"/>
  <c r="IN5" i="2"/>
  <c r="HL5" i="2"/>
  <c r="IN113" i="2"/>
  <c r="HL113" i="2"/>
  <c r="HL106" i="2"/>
  <c r="HL6" i="2"/>
  <c r="IN6" i="2"/>
  <c r="HL11" i="2"/>
  <c r="IN11" i="2"/>
  <c r="HL8" i="2"/>
  <c r="IN8" i="2"/>
  <c r="HL7" i="2"/>
  <c r="IN7" i="2"/>
  <c r="IN107" i="2"/>
  <c r="IN108" i="2"/>
  <c r="IN105" i="2"/>
  <c r="HL107" i="2"/>
  <c r="IR7" i="2"/>
  <c r="IN2" i="2"/>
  <c r="IR4" i="2"/>
  <c r="IR10" i="2"/>
  <c r="IN12" i="2"/>
  <c r="HL12" i="2"/>
  <c r="IN4" i="2"/>
  <c r="HL4" i="2"/>
  <c r="HL110" i="2"/>
  <c r="IN110" i="2"/>
  <c r="IN115" i="2"/>
  <c r="IN114" i="2"/>
  <c r="IN111" i="2"/>
  <c r="HL111" i="2"/>
  <c r="HR111" i="2"/>
  <c r="HR107" i="2"/>
  <c r="HR114" i="2"/>
  <c r="HR115" i="2"/>
  <c r="HR113" i="2"/>
  <c r="HR109" i="2"/>
  <c r="HR106" i="2"/>
  <c r="HR108" i="2"/>
  <c r="HR110" i="2"/>
  <c r="HR112" i="2"/>
  <c r="HR105" i="2"/>
  <c r="K109" i="9"/>
  <c r="HR14" i="2"/>
  <c r="HR12" i="2"/>
  <c r="HR7" i="2"/>
  <c r="HR19" i="2"/>
  <c r="HR2" i="2"/>
  <c r="HR17" i="2"/>
  <c r="HR5" i="2"/>
  <c r="HR6" i="2"/>
  <c r="HR16" i="2"/>
  <c r="HR11" i="2"/>
  <c r="HR8" i="2"/>
  <c r="HR9" i="2"/>
  <c r="HR4" i="2"/>
  <c r="HR15" i="2"/>
  <c r="HR20" i="2"/>
  <c r="HR13" i="2"/>
  <c r="HR18" i="2"/>
  <c r="HR21" i="2"/>
  <c r="HR10" i="2"/>
  <c r="HR3" i="2"/>
  <c r="EI10" i="2"/>
  <c r="EO10" i="2"/>
  <c r="EH11" i="2"/>
  <c r="EN11" i="2"/>
  <c r="EQ11" i="2"/>
  <c r="EI11" i="2"/>
  <c r="EQ10" i="2"/>
  <c r="EN10" i="2"/>
  <c r="EH10" i="2"/>
  <c r="EL3" i="2"/>
  <c r="EM3" i="2"/>
  <c r="EG3" i="2"/>
  <c r="EL7" i="2"/>
  <c r="EN7" i="2"/>
  <c r="EM7" i="2"/>
  <c r="EF7" i="2"/>
  <c r="EH7" i="2"/>
  <c r="EE3" i="2"/>
  <c r="EQ7" i="2"/>
  <c r="EI7" i="2"/>
  <c r="CN4" i="2"/>
  <c r="CN7" i="2"/>
  <c r="CB4" i="2"/>
  <c r="CB8" i="2"/>
  <c r="CU11" i="2"/>
  <c r="CU19" i="2"/>
  <c r="CU3" i="2"/>
  <c r="BS3" i="8"/>
  <c r="BS4" i="8"/>
  <c r="BS5" i="8"/>
  <c r="K189" i="9"/>
  <c r="K131" i="9"/>
  <c r="K173" i="9"/>
  <c r="K74" i="9"/>
  <c r="K152" i="9"/>
  <c r="K197" i="9"/>
  <c r="K181" i="9"/>
  <c r="K163" i="9"/>
  <c r="K142" i="9"/>
  <c r="K120" i="9"/>
  <c r="K94" i="9"/>
  <c r="K193" i="9"/>
  <c r="K177" i="9"/>
  <c r="K158" i="9"/>
  <c r="K136" i="9"/>
  <c r="K115" i="9"/>
  <c r="K88" i="9"/>
  <c r="K201" i="9"/>
  <c r="K185" i="9"/>
  <c r="K168" i="9"/>
  <c r="K147" i="9"/>
  <c r="K126" i="9"/>
  <c r="K101" i="9"/>
  <c r="M170" i="9"/>
  <c r="K199" i="9"/>
  <c r="K195" i="9"/>
  <c r="K191" i="9"/>
  <c r="K187" i="9"/>
  <c r="K183" i="9"/>
  <c r="K179" i="9"/>
  <c r="K175" i="9"/>
  <c r="K171" i="9"/>
  <c r="K166" i="9"/>
  <c r="K160" i="9"/>
  <c r="K155" i="9"/>
  <c r="K150" i="9"/>
  <c r="K144" i="9"/>
  <c r="K139" i="9"/>
  <c r="K134" i="9"/>
  <c r="K128" i="9"/>
  <c r="K123" i="9"/>
  <c r="K118" i="9"/>
  <c r="K112" i="9"/>
  <c r="K105" i="9"/>
  <c r="K98" i="9"/>
  <c r="K90" i="9"/>
  <c r="K79" i="9"/>
  <c r="K77" i="9"/>
  <c r="K198" i="9"/>
  <c r="K194" i="9"/>
  <c r="K190" i="9"/>
  <c r="K186" i="9"/>
  <c r="K182" i="9"/>
  <c r="K178" i="9"/>
  <c r="K174" i="9"/>
  <c r="K170" i="9"/>
  <c r="K164" i="9"/>
  <c r="K159" i="9"/>
  <c r="K154" i="9"/>
  <c r="K148" i="9"/>
  <c r="K143" i="9"/>
  <c r="K138" i="9"/>
  <c r="K132" i="9"/>
  <c r="K127" i="9"/>
  <c r="K122" i="9"/>
  <c r="K116" i="9"/>
  <c r="K110" i="9"/>
  <c r="K104" i="9"/>
  <c r="K96" i="9"/>
  <c r="K89" i="9"/>
  <c r="K67" i="9"/>
  <c r="K76" i="9"/>
  <c r="K200" i="9"/>
  <c r="K196" i="9"/>
  <c r="K192" i="9"/>
  <c r="K188" i="9"/>
  <c r="K184" i="9"/>
  <c r="K180" i="9"/>
  <c r="K176" i="9"/>
  <c r="K172" i="9"/>
  <c r="K167" i="9"/>
  <c r="K162" i="9"/>
  <c r="K156" i="9"/>
  <c r="K151" i="9"/>
  <c r="K146" i="9"/>
  <c r="K140" i="9"/>
  <c r="K135" i="9"/>
  <c r="K130" i="9"/>
  <c r="K124" i="9"/>
  <c r="K119" i="9"/>
  <c r="K114" i="9"/>
  <c r="K106" i="9"/>
  <c r="K100" i="9"/>
  <c r="K93" i="9"/>
  <c r="K83" i="9"/>
  <c r="K85" i="9"/>
  <c r="K169" i="9"/>
  <c r="K165" i="9"/>
  <c r="K161" i="9"/>
  <c r="K157" i="9"/>
  <c r="K153" i="9"/>
  <c r="K149" i="9"/>
  <c r="K145" i="9"/>
  <c r="K141" i="9"/>
  <c r="K137" i="9"/>
  <c r="K133" i="9"/>
  <c r="K129" i="9"/>
  <c r="K125" i="9"/>
  <c r="K121" i="9"/>
  <c r="K117" i="9"/>
  <c r="K113" i="9"/>
  <c r="K108" i="9"/>
  <c r="K102" i="9"/>
  <c r="K97" i="9"/>
  <c r="K92" i="9"/>
  <c r="K86" i="9"/>
  <c r="K82" i="9"/>
  <c r="K73" i="9"/>
  <c r="K111" i="9"/>
  <c r="K107" i="9"/>
  <c r="K103" i="9"/>
  <c r="K99" i="9"/>
  <c r="K95" i="9"/>
  <c r="K91" i="9"/>
  <c r="K87" i="9"/>
  <c r="K71" i="9"/>
  <c r="K70" i="9"/>
  <c r="K80" i="9"/>
  <c r="K69" i="9"/>
  <c r="K72" i="9"/>
  <c r="K75" i="9"/>
  <c r="K78" i="9"/>
  <c r="K81" i="9"/>
  <c r="K84" i="9"/>
  <c r="K68" i="9"/>
  <c r="DY14" i="2"/>
  <c r="P24" i="9"/>
  <c r="CN10" i="2"/>
  <c r="BS11" i="8"/>
  <c r="BS14" i="8"/>
  <c r="AL9" i="2"/>
  <c r="JI2" i="2"/>
  <c r="JJ2" i="2"/>
  <c r="HM32" i="2"/>
  <c r="HT44" i="2"/>
  <c r="HT20" i="2"/>
  <c r="HU20" i="2"/>
  <c r="HT21" i="2"/>
  <c r="HU21" i="2"/>
  <c r="HT15" i="2"/>
  <c r="HU15" i="2"/>
  <c r="HT17" i="2"/>
  <c r="HU17" i="2"/>
  <c r="HU25" i="2"/>
  <c r="HT25" i="2"/>
  <c r="HM13" i="2"/>
  <c r="HM38" i="2"/>
  <c r="HM48" i="2"/>
  <c r="HU28" i="2"/>
  <c r="HT28" i="2"/>
  <c r="HU48" i="2"/>
  <c r="HT48" i="2"/>
  <c r="HT32" i="2"/>
  <c r="HU32" i="2"/>
  <c r="HM24" i="2"/>
  <c r="HU38" i="2"/>
  <c r="HT38" i="2"/>
  <c r="HT51" i="2"/>
  <c r="HU51" i="2"/>
  <c r="HM49" i="2"/>
  <c r="HM20" i="2"/>
  <c r="HU53" i="2"/>
  <c r="HT53" i="2"/>
  <c r="AY31" i="8"/>
  <c r="HU40" i="2"/>
  <c r="HT40" i="2"/>
  <c r="HM34" i="2"/>
  <c r="HM42" i="2"/>
  <c r="HM51" i="2"/>
  <c r="HM39" i="2"/>
  <c r="HM44" i="2"/>
  <c r="HM27" i="2"/>
  <c r="HM45" i="2"/>
  <c r="HU33" i="2"/>
  <c r="HT33" i="2"/>
  <c r="HT34" i="2"/>
  <c r="HU34" i="2"/>
  <c r="HT30" i="2"/>
  <c r="HU30" i="2"/>
  <c r="HM36" i="2"/>
  <c r="HM18" i="2"/>
  <c r="HU43" i="2"/>
  <c r="HT43" i="2"/>
  <c r="HT29" i="2"/>
  <c r="HU29" i="2"/>
  <c r="HM31" i="2"/>
  <c r="HM26" i="2"/>
  <c r="HM50" i="2"/>
  <c r="HT45" i="2"/>
  <c r="HU45" i="2"/>
  <c r="HT42" i="2"/>
  <c r="HU42" i="2"/>
  <c r="HT18" i="2"/>
  <c r="HU18" i="2"/>
  <c r="HT16" i="2"/>
  <c r="HU16" i="2"/>
  <c r="HU14" i="2"/>
  <c r="HT14" i="2"/>
  <c r="HU13" i="2"/>
  <c r="HT13" i="2"/>
  <c r="HT19" i="2"/>
  <c r="HU19" i="2"/>
  <c r="HU50" i="2"/>
  <c r="HT50" i="2"/>
  <c r="HM29" i="2"/>
  <c r="HM21" i="2"/>
  <c r="HM22" i="2"/>
  <c r="HU41" i="2"/>
  <c r="HT41" i="2"/>
  <c r="HM17" i="2"/>
  <c r="HM16" i="2"/>
  <c r="HM19" i="2"/>
  <c r="HM15" i="2"/>
  <c r="HU47" i="2"/>
  <c r="HT47" i="2"/>
  <c r="HT52" i="2"/>
  <c r="HU52" i="2"/>
  <c r="HM52" i="2"/>
  <c r="HM25" i="2"/>
  <c r="HM46" i="2"/>
  <c r="HM43" i="2"/>
  <c r="HM28" i="2"/>
  <c r="HM35" i="2"/>
  <c r="HT49" i="2"/>
  <c r="HU49" i="2"/>
  <c r="HT27" i="2"/>
  <c r="HU27" i="2"/>
  <c r="HU46" i="2"/>
  <c r="HT46" i="2"/>
  <c r="HM53" i="2"/>
  <c r="HM14" i="2"/>
  <c r="HM41" i="2"/>
  <c r="HT37" i="2"/>
  <c r="HU37" i="2"/>
  <c r="HU44" i="2"/>
  <c r="HM23" i="2"/>
  <c r="HU26" i="2"/>
  <c r="HT26" i="2"/>
  <c r="HM47" i="2"/>
  <c r="HU35" i="2"/>
  <c r="HT35" i="2"/>
  <c r="HU31" i="2"/>
  <c r="HT31" i="2"/>
  <c r="HT36" i="2"/>
  <c r="HU36" i="2"/>
  <c r="HM33" i="2"/>
  <c r="HM40" i="2"/>
  <c r="HT39" i="2"/>
  <c r="HU39" i="2"/>
  <c r="HT23" i="2"/>
  <c r="HU23" i="2"/>
  <c r="HT24" i="2"/>
  <c r="HU24" i="2"/>
  <c r="HM30" i="2"/>
  <c r="HM37" i="2"/>
  <c r="HT22" i="2"/>
  <c r="HU22" i="2"/>
  <c r="IO114" i="2"/>
  <c r="IO108" i="2"/>
  <c r="IO110" i="2"/>
  <c r="IO111" i="2"/>
  <c r="IO115" i="2"/>
  <c r="IO112" i="2"/>
  <c r="IO106" i="2"/>
  <c r="IO105" i="2"/>
  <c r="IO109" i="2"/>
  <c r="IO107" i="2"/>
  <c r="IO113" i="2"/>
  <c r="HM111" i="2"/>
  <c r="HM113" i="2"/>
  <c r="HM114" i="2"/>
  <c r="HM2" i="2"/>
  <c r="HM4" i="2"/>
  <c r="HM8" i="2"/>
  <c r="HM106" i="2"/>
  <c r="HM105" i="2"/>
  <c r="HM110" i="2"/>
  <c r="HM10" i="2"/>
  <c r="HM6" i="2"/>
  <c r="HM7" i="2"/>
  <c r="HM11" i="2"/>
  <c r="HM108" i="2"/>
  <c r="HM112" i="2"/>
  <c r="HM115" i="2"/>
  <c r="HM9" i="2"/>
  <c r="HM3" i="2"/>
  <c r="HM109" i="2"/>
  <c r="HM107" i="2"/>
  <c r="HM5" i="2"/>
  <c r="HM12" i="2"/>
  <c r="HT10" i="2"/>
  <c r="HU10" i="2"/>
  <c r="HT8" i="2"/>
  <c r="HU8" i="2"/>
  <c r="HT5" i="2"/>
  <c r="HU5" i="2"/>
  <c r="HT7" i="2"/>
  <c r="HU7" i="2"/>
  <c r="HT4" i="2"/>
  <c r="HU4" i="2"/>
  <c r="HU2" i="2"/>
  <c r="HT2" i="2"/>
  <c r="HU3" i="2"/>
  <c r="HT3" i="2"/>
  <c r="HT9" i="2"/>
  <c r="HU9" i="2"/>
  <c r="HT6" i="2"/>
  <c r="HU6" i="2"/>
  <c r="HT105" i="2"/>
  <c r="HU105" i="2"/>
  <c r="HT112" i="2"/>
  <c r="HU112" i="2"/>
  <c r="HT109" i="2"/>
  <c r="HU109" i="2"/>
  <c r="HT107" i="2"/>
  <c r="HU107" i="2"/>
  <c r="HT110" i="2"/>
  <c r="HU110" i="2"/>
  <c r="HT113" i="2"/>
  <c r="HU113" i="2"/>
  <c r="HT111" i="2"/>
  <c r="HU111" i="2"/>
  <c r="HT11" i="2"/>
  <c r="HU11" i="2"/>
  <c r="HT12" i="2"/>
  <c r="HU12" i="2"/>
  <c r="HT108" i="2"/>
  <c r="HU108" i="2"/>
  <c r="HT115" i="2"/>
  <c r="HU115" i="2"/>
  <c r="HT106" i="2"/>
  <c r="HU106" i="2"/>
  <c r="HT114" i="2"/>
  <c r="HU114" i="2"/>
  <c r="DY2" i="2"/>
  <c r="P29" i="9"/>
  <c r="H196" i="9"/>
  <c r="L201" i="9"/>
  <c r="J194" i="9"/>
  <c r="N199" i="9"/>
  <c r="Q197" i="9"/>
  <c r="M192" i="9"/>
  <c r="P190" i="9"/>
  <c r="R188" i="9"/>
  <c r="I187" i="9"/>
  <c r="L185" i="9"/>
  <c r="N183" i="9"/>
  <c r="Q181" i="9"/>
  <c r="H180" i="9"/>
  <c r="J178" i="9"/>
  <c r="M176" i="9"/>
  <c r="L174" i="9"/>
  <c r="P171" i="9"/>
  <c r="H169" i="9"/>
  <c r="I166" i="9"/>
  <c r="Q200" i="9"/>
  <c r="H199" i="9"/>
  <c r="J197" i="9"/>
  <c r="M195" i="9"/>
  <c r="P193" i="9"/>
  <c r="R191" i="9"/>
  <c r="I190" i="9"/>
  <c r="L188" i="9"/>
  <c r="N186" i="9"/>
  <c r="Q184" i="9"/>
  <c r="H183" i="9"/>
  <c r="J181" i="9"/>
  <c r="M179" i="9"/>
  <c r="P177" i="9"/>
  <c r="R175" i="9"/>
  <c r="M173" i="9"/>
  <c r="Q170" i="9"/>
  <c r="I168" i="9"/>
  <c r="M164" i="9"/>
  <c r="J200" i="9"/>
  <c r="M198" i="9"/>
  <c r="P196" i="9"/>
  <c r="R194" i="9"/>
  <c r="I193" i="9"/>
  <c r="L191" i="9"/>
  <c r="N189" i="9"/>
  <c r="Q187" i="9"/>
  <c r="H186" i="9"/>
  <c r="J184" i="9"/>
  <c r="M182" i="9"/>
  <c r="P180" i="9"/>
  <c r="R178" i="9"/>
  <c r="I177" i="9"/>
  <c r="L175" i="9"/>
  <c r="P172" i="9"/>
  <c r="H170" i="9"/>
  <c r="P166" i="9"/>
  <c r="N200" i="9"/>
  <c r="R197" i="9"/>
  <c r="P195" i="9"/>
  <c r="M193" i="9"/>
  <c r="Q190" i="9"/>
  <c r="N188" i="9"/>
  <c r="L186" i="9"/>
  <c r="P183" i="9"/>
  <c r="M181" i="9"/>
  <c r="J179" i="9"/>
  <c r="P175" i="9"/>
  <c r="O201" i="9"/>
  <c r="G199" i="9"/>
  <c r="R200" i="9"/>
  <c r="I199" i="9"/>
  <c r="L197" i="9"/>
  <c r="N195" i="9"/>
  <c r="Q193" i="9"/>
  <c r="H192" i="9"/>
  <c r="J190" i="9"/>
  <c r="M188" i="9"/>
  <c r="P186" i="9"/>
  <c r="R184" i="9"/>
  <c r="I183" i="9"/>
  <c r="L181" i="9"/>
  <c r="N179" i="9"/>
  <c r="Q177" i="9"/>
  <c r="H176" i="9"/>
  <c r="P173" i="9"/>
  <c r="H171" i="9"/>
  <c r="L168" i="9"/>
  <c r="Q164" i="9"/>
  <c r="L200" i="9"/>
  <c r="N198" i="9"/>
  <c r="Q196" i="9"/>
  <c r="H195" i="9"/>
  <c r="J193" i="9"/>
  <c r="M191" i="9"/>
  <c r="P189" i="9"/>
  <c r="R187" i="9"/>
  <c r="I186" i="9"/>
  <c r="L184" i="9"/>
  <c r="N182" i="9"/>
  <c r="Q180" i="9"/>
  <c r="H179" i="9"/>
  <c r="J177" i="9"/>
  <c r="M175" i="9"/>
  <c r="Q172" i="9"/>
  <c r="I170" i="9"/>
  <c r="M167" i="9"/>
  <c r="N201" i="9"/>
  <c r="Q199" i="9"/>
  <c r="H198" i="9"/>
  <c r="J196" i="9"/>
  <c r="M194" i="9"/>
  <c r="P192" i="9"/>
  <c r="R190" i="9"/>
  <c r="I189" i="9"/>
  <c r="L187" i="9"/>
  <c r="N185" i="9"/>
  <c r="Q183" i="9"/>
  <c r="H182" i="9"/>
  <c r="J180" i="9"/>
  <c r="M178" i="9"/>
  <c r="P176" i="9"/>
  <c r="P174" i="9"/>
  <c r="H172" i="9"/>
  <c r="L169" i="9"/>
  <c r="M165" i="9"/>
  <c r="P199" i="9"/>
  <c r="M197" i="9"/>
  <c r="J195" i="9"/>
  <c r="N192" i="9"/>
  <c r="L190" i="9"/>
  <c r="I188" i="9"/>
  <c r="M185" i="9"/>
  <c r="J183" i="9"/>
  <c r="H181" i="9"/>
  <c r="R177" i="9"/>
  <c r="I173" i="9"/>
  <c r="M200" i="9"/>
  <c r="P198" i="9"/>
  <c r="R196" i="9"/>
  <c r="I195" i="9"/>
  <c r="L193" i="9"/>
  <c r="N191" i="9"/>
  <c r="Q189" i="9"/>
  <c r="H188" i="9"/>
  <c r="J186" i="9"/>
  <c r="M184" i="9"/>
  <c r="P182" i="9"/>
  <c r="R180" i="9"/>
  <c r="I179" i="9"/>
  <c r="L177" i="9"/>
  <c r="N175" i="9"/>
  <c r="H173" i="9"/>
  <c r="L170" i="9"/>
  <c r="P167" i="9"/>
  <c r="P201" i="9"/>
  <c r="R199" i="9"/>
  <c r="I198" i="9"/>
  <c r="L196" i="9"/>
  <c r="N194" i="9"/>
  <c r="Q192" i="9"/>
  <c r="H191" i="9"/>
  <c r="J189" i="9"/>
  <c r="M187" i="9"/>
  <c r="P185" i="9"/>
  <c r="R183" i="9"/>
  <c r="I182" i="9"/>
  <c r="L180" i="9"/>
  <c r="N178" i="9"/>
  <c r="Q176" i="9"/>
  <c r="Q174" i="9"/>
  <c r="I172" i="9"/>
  <c r="M169" i="9"/>
  <c r="Q166" i="9"/>
  <c r="I201" i="9"/>
  <c r="L199" i="9"/>
  <c r="N197" i="9"/>
  <c r="Q195" i="9"/>
  <c r="H194" i="9"/>
  <c r="J192" i="9"/>
  <c r="M190" i="9"/>
  <c r="P188" i="9"/>
  <c r="R186" i="9"/>
  <c r="I185" i="9"/>
  <c r="L183" i="9"/>
  <c r="N181" i="9"/>
  <c r="Q179" i="9"/>
  <c r="H178" i="9"/>
  <c r="J176" i="9"/>
  <c r="H174" i="9"/>
  <c r="L171" i="9"/>
  <c r="P168" i="9"/>
  <c r="M201" i="9"/>
  <c r="J199" i="9"/>
  <c r="H197" i="9"/>
  <c r="L194" i="9"/>
  <c r="I192" i="9"/>
  <c r="R189" i="9"/>
  <c r="J187" i="9"/>
  <c r="H185" i="9"/>
  <c r="Q182" i="9"/>
  <c r="I180" i="9"/>
  <c r="M177" i="9"/>
  <c r="O29" i="9"/>
  <c r="M53" i="9"/>
  <c r="Q54" i="9"/>
  <c r="L54" i="9"/>
  <c r="P55" i="9"/>
  <c r="L58" i="9"/>
  <c r="P59" i="9"/>
  <c r="L62" i="9"/>
  <c r="L66" i="9"/>
  <c r="P67" i="9"/>
  <c r="H69" i="9"/>
  <c r="L70" i="9"/>
  <c r="P71" i="9"/>
  <c r="H73" i="9"/>
  <c r="L74" i="9"/>
  <c r="P75" i="9"/>
  <c r="H77" i="9"/>
  <c r="L78" i="9"/>
  <c r="P79" i="9"/>
  <c r="H81" i="9"/>
  <c r="L82" i="9"/>
  <c r="P83" i="9"/>
  <c r="H85" i="9"/>
  <c r="N53" i="9"/>
  <c r="R59" i="9"/>
  <c r="O61" i="9"/>
  <c r="M63" i="9"/>
  <c r="G67" i="9"/>
  <c r="Q68" i="9"/>
  <c r="N70" i="9"/>
  <c r="I74" i="9"/>
  <c r="R75" i="9"/>
  <c r="O77" i="9"/>
  <c r="M79" i="9"/>
  <c r="J81" i="9"/>
  <c r="G83" i="9"/>
  <c r="Q84" i="9"/>
  <c r="L86" i="9"/>
  <c r="P87" i="9"/>
  <c r="H89" i="9"/>
  <c r="L90" i="9"/>
  <c r="P91" i="9"/>
  <c r="H93" i="9"/>
  <c r="L94" i="9"/>
  <c r="P95" i="9"/>
  <c r="H97" i="9"/>
  <c r="L98" i="9"/>
  <c r="P99" i="9"/>
  <c r="H101" i="9"/>
  <c r="L102" i="9"/>
  <c r="P103" i="9"/>
  <c r="H105" i="9"/>
  <c r="L106" i="9"/>
  <c r="P107" i="9"/>
  <c r="H109" i="9"/>
  <c r="L110" i="9"/>
  <c r="P111" i="9"/>
  <c r="H113" i="9"/>
  <c r="L114" i="9"/>
  <c r="P115" i="9"/>
  <c r="H117" i="9"/>
  <c r="L118" i="9"/>
  <c r="P119" i="9"/>
  <c r="H121" i="9"/>
  <c r="L122" i="9"/>
  <c r="P123" i="9"/>
  <c r="H125" i="9"/>
  <c r="L126" i="9"/>
  <c r="P127" i="9"/>
  <c r="H129" i="9"/>
  <c r="L130" i="9"/>
  <c r="P131" i="9"/>
  <c r="H133" i="9"/>
  <c r="L134" i="9"/>
  <c r="P135" i="9"/>
  <c r="H137" i="9"/>
  <c r="L138" i="9"/>
  <c r="P139" i="9"/>
  <c r="H141" i="9"/>
  <c r="L142" i="9"/>
  <c r="P143" i="9"/>
  <c r="H145" i="9"/>
  <c r="L146" i="9"/>
  <c r="P147" i="9"/>
  <c r="H149" i="9"/>
  <c r="L150" i="9"/>
  <c r="P151" i="9"/>
  <c r="H153" i="9"/>
  <c r="L154" i="9"/>
  <c r="P155" i="9"/>
  <c r="H157" i="9"/>
  <c r="L158" i="9"/>
  <c r="P159" i="9"/>
  <c r="H161" i="9"/>
  <c r="L162" i="9"/>
  <c r="P163" i="9"/>
  <c r="H165" i="9"/>
  <c r="L166" i="9"/>
  <c r="O62" i="9"/>
  <c r="M64" i="9"/>
  <c r="G68" i="9"/>
  <c r="Q69" i="9"/>
  <c r="N71" i="9"/>
  <c r="I75" i="9"/>
  <c r="R76" i="9"/>
  <c r="O78" i="9"/>
  <c r="M80" i="9"/>
  <c r="J82" i="9"/>
  <c r="G84" i="9"/>
  <c r="Q85" i="9"/>
  <c r="I87" i="9"/>
  <c r="M88" i="9"/>
  <c r="Q89" i="9"/>
  <c r="I91" i="9"/>
  <c r="M92" i="9"/>
  <c r="Q93" i="9"/>
  <c r="I95" i="9"/>
  <c r="M96" i="9"/>
  <c r="Q97" i="9"/>
  <c r="I99" i="9"/>
  <c r="M100" i="9"/>
  <c r="Q101" i="9"/>
  <c r="I103" i="9"/>
  <c r="M104" i="9"/>
  <c r="Q105" i="9"/>
  <c r="I107" i="9"/>
  <c r="M108" i="9"/>
  <c r="Q109" i="9"/>
  <c r="I111" i="9"/>
  <c r="M112" i="9"/>
  <c r="Q113" i="9"/>
  <c r="I115" i="9"/>
  <c r="M116" i="9"/>
  <c r="Q117" i="9"/>
  <c r="I119" i="9"/>
  <c r="M120" i="9"/>
  <c r="Q121" i="9"/>
  <c r="I123" i="9"/>
  <c r="M124" i="9"/>
  <c r="Q125" i="9"/>
  <c r="I127" i="9"/>
  <c r="M128" i="9"/>
  <c r="Q129" i="9"/>
  <c r="I131" i="9"/>
  <c r="M132" i="9"/>
  <c r="Q133" i="9"/>
  <c r="I135" i="9"/>
  <c r="M136" i="9"/>
  <c r="Q137" i="9"/>
  <c r="I139" i="9"/>
  <c r="M140" i="9"/>
  <c r="Q141" i="9"/>
  <c r="I143" i="9"/>
  <c r="M144" i="9"/>
  <c r="Q145" i="9"/>
  <c r="I147" i="9"/>
  <c r="M148" i="9"/>
  <c r="Q149" i="9"/>
  <c r="I151" i="9"/>
  <c r="M152" i="9"/>
  <c r="Q153" i="9"/>
  <c r="I155" i="9"/>
  <c r="M156" i="9"/>
  <c r="Q157" i="9"/>
  <c r="I159" i="9"/>
  <c r="M160" i="9"/>
  <c r="Q161" i="9"/>
  <c r="I163" i="9"/>
  <c r="M57" i="9"/>
  <c r="N64" i="9"/>
  <c r="I68" i="9"/>
  <c r="R69" i="9"/>
  <c r="O71" i="9"/>
  <c r="M73" i="9"/>
  <c r="J75" i="9"/>
  <c r="G77" i="9"/>
  <c r="Q78" i="9"/>
  <c r="N80" i="9"/>
  <c r="I84" i="9"/>
  <c r="R85" i="9"/>
  <c r="J87" i="9"/>
  <c r="N88" i="9"/>
  <c r="R89" i="9"/>
  <c r="J91" i="9"/>
  <c r="N92" i="9"/>
  <c r="R93" i="9"/>
  <c r="J95" i="9"/>
  <c r="N96" i="9"/>
  <c r="R97" i="9"/>
  <c r="J99" i="9"/>
  <c r="N100" i="9"/>
  <c r="R101" i="9"/>
  <c r="J103" i="9"/>
  <c r="N104" i="9"/>
  <c r="R105" i="9"/>
  <c r="J107" i="9"/>
  <c r="N108" i="9"/>
  <c r="R109" i="9"/>
  <c r="J111" i="9"/>
  <c r="N112" i="9"/>
  <c r="R113" i="9"/>
  <c r="J115" i="9"/>
  <c r="N116" i="9"/>
  <c r="R117" i="9"/>
  <c r="J119" i="9"/>
  <c r="N120" i="9"/>
  <c r="R121" i="9"/>
  <c r="J123" i="9"/>
  <c r="N124" i="9"/>
  <c r="R125" i="9"/>
  <c r="J127" i="9"/>
  <c r="N128" i="9"/>
  <c r="R129" i="9"/>
  <c r="J131" i="9"/>
  <c r="N132" i="9"/>
  <c r="R133" i="9"/>
  <c r="J135" i="9"/>
  <c r="N136" i="9"/>
  <c r="R137" i="9"/>
  <c r="J139" i="9"/>
  <c r="N140" i="9"/>
  <c r="R141" i="9"/>
  <c r="J143" i="9"/>
  <c r="N144" i="9"/>
  <c r="R145" i="9"/>
  <c r="J147" i="9"/>
  <c r="N148" i="9"/>
  <c r="R149" i="9"/>
  <c r="J151" i="9"/>
  <c r="N152" i="9"/>
  <c r="R153" i="9"/>
  <c r="J155" i="9"/>
  <c r="N156" i="9"/>
  <c r="R157" i="9"/>
  <c r="J159" i="9"/>
  <c r="N160" i="9"/>
  <c r="R161" i="9"/>
  <c r="J163" i="9"/>
  <c r="N164" i="9"/>
  <c r="R165" i="9"/>
  <c r="J167" i="9"/>
  <c r="N168" i="9"/>
  <c r="R169" i="9"/>
  <c r="J171" i="9"/>
  <c r="N172" i="9"/>
  <c r="R173" i="9"/>
  <c r="J175" i="9"/>
  <c r="O54" i="9"/>
  <c r="R58" i="9"/>
  <c r="O60" i="9"/>
  <c r="M62" i="9"/>
  <c r="N69" i="9"/>
  <c r="I73" i="9"/>
  <c r="R74" i="9"/>
  <c r="O76" i="9"/>
  <c r="M78" i="9"/>
  <c r="J80" i="9"/>
  <c r="G82" i="9"/>
  <c r="Q83" i="9"/>
  <c r="N85" i="9"/>
  <c r="G87" i="9"/>
  <c r="O89" i="9"/>
  <c r="G91" i="9"/>
  <c r="O93" i="9"/>
  <c r="G95" i="9"/>
  <c r="O97" i="9"/>
  <c r="G99" i="9"/>
  <c r="O101" i="9"/>
  <c r="G103" i="9"/>
  <c r="O105" i="9"/>
  <c r="G107" i="9"/>
  <c r="O109" i="9"/>
  <c r="G111" i="9"/>
  <c r="O113" i="9"/>
  <c r="G115" i="9"/>
  <c r="O117" i="9"/>
  <c r="G119" i="9"/>
  <c r="O121" i="9"/>
  <c r="G123" i="9"/>
  <c r="O125" i="9"/>
  <c r="G127" i="9"/>
  <c r="O129" i="9"/>
  <c r="G131" i="9"/>
  <c r="O133" i="9"/>
  <c r="G135" i="9"/>
  <c r="O137" i="9"/>
  <c r="G139" i="9"/>
  <c r="O141" i="9"/>
  <c r="G143" i="9"/>
  <c r="O145" i="9"/>
  <c r="G147" i="9"/>
  <c r="O149" i="9"/>
  <c r="G151" i="9"/>
  <c r="O153" i="9"/>
  <c r="G155" i="9"/>
  <c r="O157" i="9"/>
  <c r="G159" i="9"/>
  <c r="O161" i="9"/>
  <c r="G163" i="9"/>
  <c r="O165" i="9"/>
  <c r="G167" i="9"/>
  <c r="O169" i="9"/>
  <c r="G171" i="9"/>
  <c r="O173" i="9"/>
  <c r="G175" i="9"/>
  <c r="O177" i="9"/>
  <c r="G179" i="9"/>
  <c r="O181" i="9"/>
  <c r="G183" i="9"/>
  <c r="O185" i="9"/>
  <c r="G187" i="9"/>
  <c r="O189" i="9"/>
  <c r="G191" i="9"/>
  <c r="O193" i="9"/>
  <c r="G195" i="9"/>
  <c r="O197" i="9"/>
  <c r="M52" i="9"/>
  <c r="Q53" i="9"/>
  <c r="M56" i="9"/>
  <c r="L53" i="9"/>
  <c r="P54" i="9"/>
  <c r="L57" i="9"/>
  <c r="P58" i="9"/>
  <c r="L61" i="9"/>
  <c r="L65" i="9"/>
  <c r="H68" i="9"/>
  <c r="L69" i="9"/>
  <c r="P70" i="9"/>
  <c r="H72" i="9"/>
  <c r="L73" i="9"/>
  <c r="P74" i="9"/>
  <c r="H76" i="9"/>
  <c r="L77" i="9"/>
  <c r="P78" i="9"/>
  <c r="H80" i="9"/>
  <c r="L81" i="9"/>
  <c r="P82" i="9"/>
  <c r="H84" i="9"/>
  <c r="L85" i="9"/>
  <c r="Q56" i="9"/>
  <c r="N58" i="9"/>
  <c r="O65" i="9"/>
  <c r="M67" i="9"/>
  <c r="J69" i="9"/>
  <c r="G71" i="9"/>
  <c r="Q72" i="9"/>
  <c r="N74" i="9"/>
  <c r="I78" i="9"/>
  <c r="R79" i="9"/>
  <c r="O81" i="9"/>
  <c r="M83" i="9"/>
  <c r="J85" i="9"/>
  <c r="P86" i="9"/>
  <c r="H88" i="9"/>
  <c r="L89" i="9"/>
  <c r="P90" i="9"/>
  <c r="H92" i="9"/>
  <c r="L93" i="9"/>
  <c r="P94" i="9"/>
  <c r="H96" i="9"/>
  <c r="L97" i="9"/>
  <c r="P98" i="9"/>
  <c r="H100" i="9"/>
  <c r="L101" i="9"/>
  <c r="P102" i="9"/>
  <c r="H104" i="9"/>
  <c r="L105" i="9"/>
  <c r="P106" i="9"/>
  <c r="H108" i="9"/>
  <c r="L109" i="9"/>
  <c r="P110" i="9"/>
  <c r="H112" i="9"/>
  <c r="L113" i="9"/>
  <c r="P114" i="9"/>
  <c r="H116" i="9"/>
  <c r="L117" i="9"/>
  <c r="P118" i="9"/>
  <c r="H120" i="9"/>
  <c r="L121" i="9"/>
  <c r="P122" i="9"/>
  <c r="H124" i="9"/>
  <c r="L125" i="9"/>
  <c r="P126" i="9"/>
  <c r="H128" i="9"/>
  <c r="L129" i="9"/>
  <c r="P130" i="9"/>
  <c r="H132" i="9"/>
  <c r="L133" i="9"/>
  <c r="P134" i="9"/>
  <c r="H136" i="9"/>
  <c r="L137" i="9"/>
  <c r="P138" i="9"/>
  <c r="H140" i="9"/>
  <c r="L141" i="9"/>
  <c r="P142" i="9"/>
  <c r="H144" i="9"/>
  <c r="L145" i="9"/>
  <c r="P146" i="9"/>
  <c r="H148" i="9"/>
  <c r="L149" i="9"/>
  <c r="P150" i="9"/>
  <c r="H152" i="9"/>
  <c r="L153" i="9"/>
  <c r="P154" i="9"/>
  <c r="H156" i="9"/>
  <c r="L157" i="9"/>
  <c r="P158" i="9"/>
  <c r="H160" i="9"/>
  <c r="L161" i="9"/>
  <c r="P162" i="9"/>
  <c r="H164" i="9"/>
  <c r="L165" i="9"/>
  <c r="O55" i="9"/>
  <c r="Q57" i="9"/>
  <c r="N59" i="9"/>
  <c r="O66" i="9"/>
  <c r="M68" i="9"/>
  <c r="J70" i="9"/>
  <c r="G72" i="9"/>
  <c r="Q73" i="9"/>
  <c r="N75" i="9"/>
  <c r="I79" i="9"/>
  <c r="R80" i="9"/>
  <c r="O82" i="9"/>
  <c r="M84" i="9"/>
  <c r="I86" i="9"/>
  <c r="M87" i="9"/>
  <c r="Q88" i="9"/>
  <c r="I90" i="9"/>
  <c r="M91" i="9"/>
  <c r="Q92" i="9"/>
  <c r="I94" i="9"/>
  <c r="M95" i="9"/>
  <c r="Q96" i="9"/>
  <c r="I98" i="9"/>
  <c r="M99" i="9"/>
  <c r="Q100" i="9"/>
  <c r="I102" i="9"/>
  <c r="M103" i="9"/>
  <c r="Q104" i="9"/>
  <c r="I106" i="9"/>
  <c r="M107" i="9"/>
  <c r="Q108" i="9"/>
  <c r="I110" i="9"/>
  <c r="M111" i="9"/>
  <c r="Q112" i="9"/>
  <c r="I114" i="9"/>
  <c r="M115" i="9"/>
  <c r="Q116" i="9"/>
  <c r="I118" i="9"/>
  <c r="M119" i="9"/>
  <c r="Q120" i="9"/>
  <c r="I122" i="9"/>
  <c r="M123" i="9"/>
  <c r="Q124" i="9"/>
  <c r="I126" i="9"/>
  <c r="M127" i="9"/>
  <c r="Q128" i="9"/>
  <c r="I130" i="9"/>
  <c r="M131" i="9"/>
  <c r="Q132" i="9"/>
  <c r="I134" i="9"/>
  <c r="M135" i="9"/>
  <c r="Q136" i="9"/>
  <c r="I138" i="9"/>
  <c r="M139" i="9"/>
  <c r="Q140" i="9"/>
  <c r="I142" i="9"/>
  <c r="M143" i="9"/>
  <c r="Q144" i="9"/>
  <c r="I146" i="9"/>
  <c r="M147" i="9"/>
  <c r="Q148" i="9"/>
  <c r="I150" i="9"/>
  <c r="M151" i="9"/>
  <c r="Q152" i="9"/>
  <c r="I154" i="9"/>
  <c r="M155" i="9"/>
  <c r="Q156" i="9"/>
  <c r="I158" i="9"/>
  <c r="M159" i="9"/>
  <c r="Q160" i="9"/>
  <c r="I162" i="9"/>
  <c r="M163" i="9"/>
  <c r="R55" i="9"/>
  <c r="R57" i="9"/>
  <c r="O59" i="9"/>
  <c r="M61" i="9"/>
  <c r="N68" i="9"/>
  <c r="I72" i="9"/>
  <c r="R73" i="9"/>
  <c r="O75" i="9"/>
  <c r="M77" i="9"/>
  <c r="J79" i="9"/>
  <c r="G81" i="9"/>
  <c r="Q82" i="9"/>
  <c r="N84" i="9"/>
  <c r="J86" i="9"/>
  <c r="N87" i="9"/>
  <c r="R88" i="9"/>
  <c r="J90" i="9"/>
  <c r="N91" i="9"/>
  <c r="R92" i="9"/>
  <c r="J94" i="9"/>
  <c r="N95" i="9"/>
  <c r="R96" i="9"/>
  <c r="J98" i="9"/>
  <c r="N99" i="9"/>
  <c r="R100" i="9"/>
  <c r="J102" i="9"/>
  <c r="N103" i="9"/>
  <c r="R104" i="9"/>
  <c r="J106" i="9"/>
  <c r="N107" i="9"/>
  <c r="R108" i="9"/>
  <c r="J110" i="9"/>
  <c r="N111" i="9"/>
  <c r="R112" i="9"/>
  <c r="J114" i="9"/>
  <c r="N115" i="9"/>
  <c r="R116" i="9"/>
  <c r="J118" i="9"/>
  <c r="N119" i="9"/>
  <c r="R120" i="9"/>
  <c r="J122" i="9"/>
  <c r="N123" i="9"/>
  <c r="R124" i="9"/>
  <c r="J126" i="9"/>
  <c r="N127" i="9"/>
  <c r="R128" i="9"/>
  <c r="J130" i="9"/>
  <c r="N131" i="9"/>
  <c r="R132" i="9"/>
  <c r="J134" i="9"/>
  <c r="N135" i="9"/>
  <c r="R136" i="9"/>
  <c r="J138" i="9"/>
  <c r="N139" i="9"/>
  <c r="R140" i="9"/>
  <c r="J142" i="9"/>
  <c r="N143" i="9"/>
  <c r="R144" i="9"/>
  <c r="J146" i="9"/>
  <c r="N147" i="9"/>
  <c r="R148" i="9"/>
  <c r="J150" i="9"/>
  <c r="N151" i="9"/>
  <c r="R152" i="9"/>
  <c r="J154" i="9"/>
  <c r="N155" i="9"/>
  <c r="R156" i="9"/>
  <c r="J158" i="9"/>
  <c r="N159" i="9"/>
  <c r="R160" i="9"/>
  <c r="J162" i="9"/>
  <c r="N163" i="9"/>
  <c r="R164" i="9"/>
  <c r="J166" i="9"/>
  <c r="N167" i="9"/>
  <c r="R168" i="9"/>
  <c r="J170" i="9"/>
  <c r="N171" i="9"/>
  <c r="R172" i="9"/>
  <c r="J174" i="9"/>
  <c r="N57" i="9"/>
  <c r="O64" i="9"/>
  <c r="M66" i="9"/>
  <c r="J68" i="9"/>
  <c r="G70" i="9"/>
  <c r="Q71" i="9"/>
  <c r="N73" i="9"/>
  <c r="I77" i="9"/>
  <c r="R78" i="9"/>
  <c r="O80" i="9"/>
  <c r="M82" i="9"/>
  <c r="J84" i="9"/>
  <c r="G86" i="9"/>
  <c r="O88" i="9"/>
  <c r="G90" i="9"/>
  <c r="O92" i="9"/>
  <c r="G94" i="9"/>
  <c r="O96" i="9"/>
  <c r="G98" i="9"/>
  <c r="O100" i="9"/>
  <c r="G102" i="9"/>
  <c r="O104" i="9"/>
  <c r="G106" i="9"/>
  <c r="O108" i="9"/>
  <c r="G110" i="9"/>
  <c r="O112" i="9"/>
  <c r="G114" i="9"/>
  <c r="O116" i="9"/>
  <c r="G118" i="9"/>
  <c r="O120" i="9"/>
  <c r="G122" i="9"/>
  <c r="O124" i="9"/>
  <c r="G126" i="9"/>
  <c r="O128" i="9"/>
  <c r="G130" i="9"/>
  <c r="O132" i="9"/>
  <c r="G134" i="9"/>
  <c r="O136" i="9"/>
  <c r="G138" i="9"/>
  <c r="O140" i="9"/>
  <c r="G142" i="9"/>
  <c r="O144" i="9"/>
  <c r="G146" i="9"/>
  <c r="O148" i="9"/>
  <c r="G150" i="9"/>
  <c r="O152" i="9"/>
  <c r="G154" i="9"/>
  <c r="O156" i="9"/>
  <c r="G158" i="9"/>
  <c r="O160" i="9"/>
  <c r="G162" i="9"/>
  <c r="O164" i="9"/>
  <c r="G166" i="9"/>
  <c r="O168" i="9"/>
  <c r="G170" i="9"/>
  <c r="O172" i="9"/>
  <c r="G174" i="9"/>
  <c r="O176" i="9"/>
  <c r="G178" i="9"/>
  <c r="O180" i="9"/>
  <c r="G182" i="9"/>
  <c r="O184" i="9"/>
  <c r="G186" i="9"/>
  <c r="O188" i="9"/>
  <c r="G190" i="9"/>
  <c r="O192" i="9"/>
  <c r="G194" i="9"/>
  <c r="O196" i="9"/>
  <c r="G198" i="9"/>
  <c r="O200" i="9"/>
  <c r="I165" i="9"/>
  <c r="M168" i="9"/>
  <c r="I171" i="9"/>
  <c r="Q173" i="9"/>
  <c r="M55" i="9"/>
  <c r="L52" i="9"/>
  <c r="P53" i="9"/>
  <c r="L56" i="9"/>
  <c r="P57" i="9"/>
  <c r="L60" i="9"/>
  <c r="P61" i="9"/>
  <c r="L64" i="9"/>
  <c r="L68" i="9"/>
  <c r="P69" i="9"/>
  <c r="H71" i="9"/>
  <c r="L72" i="9"/>
  <c r="P73" i="9"/>
  <c r="H75" i="9"/>
  <c r="L76" i="9"/>
  <c r="P77" i="9"/>
  <c r="H79" i="9"/>
  <c r="L80" i="9"/>
  <c r="P81" i="9"/>
  <c r="H83" i="9"/>
  <c r="L84" i="9"/>
  <c r="P85" i="9"/>
  <c r="R54" i="9"/>
  <c r="N62" i="9"/>
  <c r="O69" i="9"/>
  <c r="M71" i="9"/>
  <c r="J73" i="9"/>
  <c r="G75" i="9"/>
  <c r="Q76" i="9"/>
  <c r="N78" i="9"/>
  <c r="I82" i="9"/>
  <c r="R83" i="9"/>
  <c r="O85" i="9"/>
  <c r="H87" i="9"/>
  <c r="L88" i="9"/>
  <c r="P89" i="9"/>
  <c r="H91" i="9"/>
  <c r="L92" i="9"/>
  <c r="P93" i="9"/>
  <c r="H95" i="9"/>
  <c r="L96" i="9"/>
  <c r="P97" i="9"/>
  <c r="H99" i="9"/>
  <c r="L100" i="9"/>
  <c r="P101" i="9"/>
  <c r="H103" i="9"/>
  <c r="L104" i="9"/>
  <c r="P105" i="9"/>
  <c r="H107" i="9"/>
  <c r="L108" i="9"/>
  <c r="P109" i="9"/>
  <c r="H111" i="9"/>
  <c r="L112" i="9"/>
  <c r="P113" i="9"/>
  <c r="H115" i="9"/>
  <c r="L116" i="9"/>
  <c r="P117" i="9"/>
  <c r="H119" i="9"/>
  <c r="L120" i="9"/>
  <c r="P121" i="9"/>
  <c r="H123" i="9"/>
  <c r="L124" i="9"/>
  <c r="P125" i="9"/>
  <c r="H127" i="9"/>
  <c r="L128" i="9"/>
  <c r="P129" i="9"/>
  <c r="H131" i="9"/>
  <c r="L132" i="9"/>
  <c r="P133" i="9"/>
  <c r="H135" i="9"/>
  <c r="L136" i="9"/>
  <c r="P137" i="9"/>
  <c r="H139" i="9"/>
  <c r="L140" i="9"/>
  <c r="P141" i="9"/>
  <c r="H143" i="9"/>
  <c r="L144" i="9"/>
  <c r="P145" i="9"/>
  <c r="H147" i="9"/>
  <c r="L148" i="9"/>
  <c r="P149" i="9"/>
  <c r="H151" i="9"/>
  <c r="L152" i="9"/>
  <c r="P153" i="9"/>
  <c r="H155" i="9"/>
  <c r="L156" i="9"/>
  <c r="P157" i="9"/>
  <c r="H159" i="9"/>
  <c r="L160" i="9"/>
  <c r="P161" i="9"/>
  <c r="H163" i="9"/>
  <c r="L164" i="9"/>
  <c r="P165" i="9"/>
  <c r="O53" i="9"/>
  <c r="N63" i="9"/>
  <c r="R68" i="9"/>
  <c r="O70" i="9"/>
  <c r="M72" i="9"/>
  <c r="J74" i="9"/>
  <c r="G76" i="9"/>
  <c r="Q77" i="9"/>
  <c r="N79" i="9"/>
  <c r="I83" i="9"/>
  <c r="R84" i="9"/>
  <c r="M86" i="9"/>
  <c r="Q87" i="9"/>
  <c r="I89" i="9"/>
  <c r="M90" i="9"/>
  <c r="Q91" i="9"/>
  <c r="I93" i="9"/>
  <c r="M94" i="9"/>
  <c r="Q95" i="9"/>
  <c r="I97" i="9"/>
  <c r="M98" i="9"/>
  <c r="Q99" i="9"/>
  <c r="I101" i="9"/>
  <c r="M102" i="9"/>
  <c r="Q103" i="9"/>
  <c r="I105" i="9"/>
  <c r="M106" i="9"/>
  <c r="Q107" i="9"/>
  <c r="I109" i="9"/>
  <c r="M110" i="9"/>
  <c r="Q111" i="9"/>
  <c r="I113" i="9"/>
  <c r="M114" i="9"/>
  <c r="Q115" i="9"/>
  <c r="I117" i="9"/>
  <c r="M118" i="9"/>
  <c r="Q119" i="9"/>
  <c r="I121" i="9"/>
  <c r="M122" i="9"/>
  <c r="Q123" i="9"/>
  <c r="I125" i="9"/>
  <c r="M126" i="9"/>
  <c r="Q127" i="9"/>
  <c r="I129" i="9"/>
  <c r="M130" i="9"/>
  <c r="Q131" i="9"/>
  <c r="I133" i="9"/>
  <c r="M134" i="9"/>
  <c r="Q135" i="9"/>
  <c r="I137" i="9"/>
  <c r="M138" i="9"/>
  <c r="Q139" i="9"/>
  <c r="I141" i="9"/>
  <c r="M142" i="9"/>
  <c r="Q143" i="9"/>
  <c r="I145" i="9"/>
  <c r="M146" i="9"/>
  <c r="Q147" i="9"/>
  <c r="I149" i="9"/>
  <c r="M150" i="9"/>
  <c r="Q151" i="9"/>
  <c r="I153" i="9"/>
  <c r="M154" i="9"/>
  <c r="Q155" i="9"/>
  <c r="I157" i="9"/>
  <c r="M158" i="9"/>
  <c r="Q159" i="9"/>
  <c r="I161" i="9"/>
  <c r="M162" i="9"/>
  <c r="Q163" i="9"/>
  <c r="R53" i="9"/>
  <c r="N56" i="9"/>
  <c r="O63" i="9"/>
  <c r="M65" i="9"/>
  <c r="G69" i="9"/>
  <c r="Q70" i="9"/>
  <c r="N72" i="9"/>
  <c r="I76" i="9"/>
  <c r="R77" i="9"/>
  <c r="O79" i="9"/>
  <c r="M81" i="9"/>
  <c r="J83" i="9"/>
  <c r="G85" i="9"/>
  <c r="N86" i="9"/>
  <c r="R87" i="9"/>
  <c r="J89" i="9"/>
  <c r="N90" i="9"/>
  <c r="R91" i="9"/>
  <c r="J93" i="9"/>
  <c r="N94" i="9"/>
  <c r="R95" i="9"/>
  <c r="J97" i="9"/>
  <c r="N98" i="9"/>
  <c r="R99" i="9"/>
  <c r="J101" i="9"/>
  <c r="N102" i="9"/>
  <c r="R103" i="9"/>
  <c r="J105" i="9"/>
  <c r="N106" i="9"/>
  <c r="R107" i="9"/>
  <c r="J109" i="9"/>
  <c r="N110" i="9"/>
  <c r="R111" i="9"/>
  <c r="J113" i="9"/>
  <c r="N114" i="9"/>
  <c r="R115" i="9"/>
  <c r="J117" i="9"/>
  <c r="N118" i="9"/>
  <c r="R119" i="9"/>
  <c r="J121" i="9"/>
  <c r="N122" i="9"/>
  <c r="R123" i="9"/>
  <c r="J125" i="9"/>
  <c r="N126" i="9"/>
  <c r="R127" i="9"/>
  <c r="J129" i="9"/>
  <c r="N130" i="9"/>
  <c r="R131" i="9"/>
  <c r="J133" i="9"/>
  <c r="N134" i="9"/>
  <c r="R135" i="9"/>
  <c r="J137" i="9"/>
  <c r="N138" i="9"/>
  <c r="R139" i="9"/>
  <c r="J141" i="9"/>
  <c r="N142" i="9"/>
  <c r="R143" i="9"/>
  <c r="J145" i="9"/>
  <c r="N146" i="9"/>
  <c r="R147" i="9"/>
  <c r="J149" i="9"/>
  <c r="N150" i="9"/>
  <c r="R151" i="9"/>
  <c r="J153" i="9"/>
  <c r="N154" i="9"/>
  <c r="R155" i="9"/>
  <c r="J157" i="9"/>
  <c r="N158" i="9"/>
  <c r="R159" i="9"/>
  <c r="J161" i="9"/>
  <c r="N162" i="9"/>
  <c r="R163" i="9"/>
  <c r="J165" i="9"/>
  <c r="N166" i="9"/>
  <c r="R167" i="9"/>
  <c r="J169" i="9"/>
  <c r="N170" i="9"/>
  <c r="R171" i="9"/>
  <c r="J173" i="9"/>
  <c r="N174" i="9"/>
  <c r="Q59" i="9"/>
  <c r="N61" i="9"/>
  <c r="O68" i="9"/>
  <c r="M70" i="9"/>
  <c r="J72" i="9"/>
  <c r="G74" i="9"/>
  <c r="Q75" i="9"/>
  <c r="N77" i="9"/>
  <c r="I81" i="9"/>
  <c r="R82" i="9"/>
  <c r="O84" i="9"/>
  <c r="O87" i="9"/>
  <c r="G89" i="9"/>
  <c r="O91" i="9"/>
  <c r="G93" i="9"/>
  <c r="O95" i="9"/>
  <c r="G97" i="9"/>
  <c r="O99" i="9"/>
  <c r="G101" i="9"/>
  <c r="O103" i="9"/>
  <c r="G105" i="9"/>
  <c r="O107" i="9"/>
  <c r="G109" i="9"/>
  <c r="O111" i="9"/>
  <c r="G113" i="9"/>
  <c r="O115" i="9"/>
  <c r="G117" i="9"/>
  <c r="O119" i="9"/>
  <c r="G121" i="9"/>
  <c r="O123" i="9"/>
  <c r="G125" i="9"/>
  <c r="O127" i="9"/>
  <c r="G129" i="9"/>
  <c r="O131" i="9"/>
  <c r="G133" i="9"/>
  <c r="O135" i="9"/>
  <c r="G137" i="9"/>
  <c r="O139" i="9"/>
  <c r="G141" i="9"/>
  <c r="O143" i="9"/>
  <c r="G145" i="9"/>
  <c r="O147" i="9"/>
  <c r="G149" i="9"/>
  <c r="O151" i="9"/>
  <c r="G153" i="9"/>
  <c r="O155" i="9"/>
  <c r="G157" i="9"/>
  <c r="O159" i="9"/>
  <c r="G161" i="9"/>
  <c r="O163" i="9"/>
  <c r="G165" i="9"/>
  <c r="O167" i="9"/>
  <c r="G169" i="9"/>
  <c r="O171" i="9"/>
  <c r="G173" i="9"/>
  <c r="O175" i="9"/>
  <c r="G177" i="9"/>
  <c r="O179" i="9"/>
  <c r="G181" i="9"/>
  <c r="O183" i="9"/>
  <c r="G185" i="9"/>
  <c r="O187" i="9"/>
  <c r="G189" i="9"/>
  <c r="O191" i="9"/>
  <c r="G193" i="9"/>
  <c r="O195" i="9"/>
  <c r="G197" i="9"/>
  <c r="O199" i="9"/>
  <c r="G201" i="9"/>
  <c r="M166" i="9"/>
  <c r="I169" i="9"/>
  <c r="Q171" i="9"/>
  <c r="M174" i="9"/>
  <c r="N176" i="9"/>
  <c r="L178" i="9"/>
  <c r="M54" i="9"/>
  <c r="Q55" i="9"/>
  <c r="N52" i="9"/>
  <c r="P52" i="9"/>
  <c r="L55" i="9"/>
  <c r="P56" i="9"/>
  <c r="L59" i="9"/>
  <c r="P60" i="9"/>
  <c r="L63" i="9"/>
  <c r="L67" i="9"/>
  <c r="P68" i="9"/>
  <c r="H70" i="9"/>
  <c r="L71" i="9"/>
  <c r="P72" i="9"/>
  <c r="H74" i="9"/>
  <c r="L75" i="9"/>
  <c r="P76" i="9"/>
  <c r="H78" i="9"/>
  <c r="L79" i="9"/>
  <c r="P80" i="9"/>
  <c r="H82" i="9"/>
  <c r="L83" i="9"/>
  <c r="P84" i="9"/>
  <c r="O52" i="9"/>
  <c r="N55" i="9"/>
  <c r="O57" i="9"/>
  <c r="M59" i="9"/>
  <c r="N66" i="9"/>
  <c r="I70" i="9"/>
  <c r="R71" i="9"/>
  <c r="O73" i="9"/>
  <c r="M75" i="9"/>
  <c r="J77" i="9"/>
  <c r="G79" i="9"/>
  <c r="Q80" i="9"/>
  <c r="N82" i="9"/>
  <c r="H86" i="9"/>
  <c r="L87" i="9"/>
  <c r="P88" i="9"/>
  <c r="H90" i="9"/>
  <c r="L91" i="9"/>
  <c r="P92" i="9"/>
  <c r="H94" i="9"/>
  <c r="L95" i="9"/>
  <c r="P96" i="9"/>
  <c r="H98" i="9"/>
  <c r="L99" i="9"/>
  <c r="P100" i="9"/>
  <c r="H102" i="9"/>
  <c r="L103" i="9"/>
  <c r="P104" i="9"/>
  <c r="H106" i="9"/>
  <c r="L107" i="9"/>
  <c r="P108" i="9"/>
  <c r="H110" i="9"/>
  <c r="L111" i="9"/>
  <c r="P112" i="9"/>
  <c r="H114" i="9"/>
  <c r="L115" i="9"/>
  <c r="P116" i="9"/>
  <c r="H118" i="9"/>
  <c r="L119" i="9"/>
  <c r="P120" i="9"/>
  <c r="H122" i="9"/>
  <c r="L123" i="9"/>
  <c r="P124" i="9"/>
  <c r="H126" i="9"/>
  <c r="L127" i="9"/>
  <c r="P128" i="9"/>
  <c r="H130" i="9"/>
  <c r="L131" i="9"/>
  <c r="P132" i="9"/>
  <c r="H134" i="9"/>
  <c r="L135" i="9"/>
  <c r="P136" i="9"/>
  <c r="H138" i="9"/>
  <c r="L139" i="9"/>
  <c r="P140" i="9"/>
  <c r="H142" i="9"/>
  <c r="L143" i="9"/>
  <c r="P144" i="9"/>
  <c r="H146" i="9"/>
  <c r="L147" i="9"/>
  <c r="P148" i="9"/>
  <c r="H150" i="9"/>
  <c r="L151" i="9"/>
  <c r="P152" i="9"/>
  <c r="H154" i="9"/>
  <c r="L155" i="9"/>
  <c r="P156" i="9"/>
  <c r="H158" i="9"/>
  <c r="L159" i="9"/>
  <c r="P160" i="9"/>
  <c r="H162" i="9"/>
  <c r="L163" i="9"/>
  <c r="P164" i="9"/>
  <c r="H166" i="9"/>
  <c r="R56" i="9"/>
  <c r="O58" i="9"/>
  <c r="M60" i="9"/>
  <c r="N67" i="9"/>
  <c r="I71" i="9"/>
  <c r="R72" i="9"/>
  <c r="O74" i="9"/>
  <c r="M76" i="9"/>
  <c r="J78" i="9"/>
  <c r="G80" i="9"/>
  <c r="Q81" i="9"/>
  <c r="N83" i="9"/>
  <c r="Q86" i="9"/>
  <c r="I88" i="9"/>
  <c r="M89" i="9"/>
  <c r="Q90" i="9"/>
  <c r="I92" i="9"/>
  <c r="M93" i="9"/>
  <c r="Q94" i="9"/>
  <c r="I96" i="9"/>
  <c r="M97" i="9"/>
  <c r="Q98" i="9"/>
  <c r="I100" i="9"/>
  <c r="M101" i="9"/>
  <c r="Q102" i="9"/>
  <c r="I104" i="9"/>
  <c r="M105" i="9"/>
  <c r="Q106" i="9"/>
  <c r="I108" i="9"/>
  <c r="M109" i="9"/>
  <c r="Q110" i="9"/>
  <c r="I112" i="9"/>
  <c r="M113" i="9"/>
  <c r="Q114" i="9"/>
  <c r="I116" i="9"/>
  <c r="M117" i="9"/>
  <c r="Q118" i="9"/>
  <c r="I120" i="9"/>
  <c r="M121" i="9"/>
  <c r="Q122" i="9"/>
  <c r="I124" i="9"/>
  <c r="M125" i="9"/>
  <c r="Q126" i="9"/>
  <c r="I128" i="9"/>
  <c r="M129" i="9"/>
  <c r="Q130" i="9"/>
  <c r="I132" i="9"/>
  <c r="M133" i="9"/>
  <c r="Q134" i="9"/>
  <c r="I136" i="9"/>
  <c r="M137" i="9"/>
  <c r="Q138" i="9"/>
  <c r="I140" i="9"/>
  <c r="M141" i="9"/>
  <c r="Q142" i="9"/>
  <c r="I144" i="9"/>
  <c r="M145" i="9"/>
  <c r="Q146" i="9"/>
  <c r="I148" i="9"/>
  <c r="M149" i="9"/>
  <c r="Q150" i="9"/>
  <c r="I152" i="9"/>
  <c r="M153" i="9"/>
  <c r="Q154" i="9"/>
  <c r="I156" i="9"/>
  <c r="M157" i="9"/>
  <c r="Q158" i="9"/>
  <c r="I160" i="9"/>
  <c r="M161" i="9"/>
  <c r="Q162" i="9"/>
  <c r="I164" i="9"/>
  <c r="N54" i="9"/>
  <c r="Q58" i="9"/>
  <c r="N60" i="9"/>
  <c r="O67" i="9"/>
  <c r="M69" i="9"/>
  <c r="J71" i="9"/>
  <c r="G73" i="9"/>
  <c r="Q74" i="9"/>
  <c r="N76" i="9"/>
  <c r="I80" i="9"/>
  <c r="R81" i="9"/>
  <c r="O83" i="9"/>
  <c r="M85" i="9"/>
  <c r="R86" i="9"/>
  <c r="J88" i="9"/>
  <c r="N89" i="9"/>
  <c r="R90" i="9"/>
  <c r="J92" i="9"/>
  <c r="N93" i="9"/>
  <c r="R94" i="9"/>
  <c r="J96" i="9"/>
  <c r="N97" i="9"/>
  <c r="R98" i="9"/>
  <c r="J100" i="9"/>
  <c r="N101" i="9"/>
  <c r="R102" i="9"/>
  <c r="J104" i="9"/>
  <c r="N105" i="9"/>
  <c r="R106" i="9"/>
  <c r="J108" i="9"/>
  <c r="N109" i="9"/>
  <c r="R110" i="9"/>
  <c r="J112" i="9"/>
  <c r="N113" i="9"/>
  <c r="R114" i="9"/>
  <c r="J116" i="9"/>
  <c r="N117" i="9"/>
  <c r="R118" i="9"/>
  <c r="J120" i="9"/>
  <c r="N121" i="9"/>
  <c r="R122" i="9"/>
  <c r="J124" i="9"/>
  <c r="N125" i="9"/>
  <c r="R126" i="9"/>
  <c r="J128" i="9"/>
  <c r="N129" i="9"/>
  <c r="R130" i="9"/>
  <c r="J132" i="9"/>
  <c r="N133" i="9"/>
  <c r="R134" i="9"/>
  <c r="J136" i="9"/>
  <c r="N137" i="9"/>
  <c r="R138" i="9"/>
  <c r="J140" i="9"/>
  <c r="N141" i="9"/>
  <c r="R142" i="9"/>
  <c r="J144" i="9"/>
  <c r="N145" i="9"/>
  <c r="R146" i="9"/>
  <c r="J148" i="9"/>
  <c r="N149" i="9"/>
  <c r="R150" i="9"/>
  <c r="J152" i="9"/>
  <c r="N153" i="9"/>
  <c r="R154" i="9"/>
  <c r="J156" i="9"/>
  <c r="N157" i="9"/>
  <c r="R158" i="9"/>
  <c r="J160" i="9"/>
  <c r="N161" i="9"/>
  <c r="R162" i="9"/>
  <c r="J164" i="9"/>
  <c r="N165" i="9"/>
  <c r="R166" i="9"/>
  <c r="J168" i="9"/>
  <c r="N169" i="9"/>
  <c r="R170" i="9"/>
  <c r="J172" i="9"/>
  <c r="N173" i="9"/>
  <c r="R174" i="9"/>
  <c r="O56" i="9"/>
  <c r="M58" i="9"/>
  <c r="N65" i="9"/>
  <c r="I69" i="9"/>
  <c r="R70" i="9"/>
  <c r="O72" i="9"/>
  <c r="M74" i="9"/>
  <c r="J76" i="9"/>
  <c r="G78" i="9"/>
  <c r="Q79" i="9"/>
  <c r="N81" i="9"/>
  <c r="I85" i="9"/>
  <c r="O86" i="9"/>
  <c r="G88" i="9"/>
  <c r="O90" i="9"/>
  <c r="G92" i="9"/>
  <c r="O94" i="9"/>
  <c r="G96" i="9"/>
  <c r="O98" i="9"/>
  <c r="G100" i="9"/>
  <c r="O102" i="9"/>
  <c r="G104" i="9"/>
  <c r="O106" i="9"/>
  <c r="G108" i="9"/>
  <c r="O110" i="9"/>
  <c r="G112" i="9"/>
  <c r="O114" i="9"/>
  <c r="G116" i="9"/>
  <c r="O118" i="9"/>
  <c r="G120" i="9"/>
  <c r="O122" i="9"/>
  <c r="G124" i="9"/>
  <c r="O126" i="9"/>
  <c r="G128" i="9"/>
  <c r="O130" i="9"/>
  <c r="G132" i="9"/>
  <c r="O134" i="9"/>
  <c r="G136" i="9"/>
  <c r="O138" i="9"/>
  <c r="G140" i="9"/>
  <c r="O142" i="9"/>
  <c r="G144" i="9"/>
  <c r="O146" i="9"/>
  <c r="G148" i="9"/>
  <c r="O150" i="9"/>
  <c r="G152" i="9"/>
  <c r="O154" i="9"/>
  <c r="G156" i="9"/>
  <c r="O158" i="9"/>
  <c r="G160" i="9"/>
  <c r="O162" i="9"/>
  <c r="G164" i="9"/>
  <c r="O166" i="9"/>
  <c r="G168" i="9"/>
  <c r="O170" i="9"/>
  <c r="G172" i="9"/>
  <c r="O174" i="9"/>
  <c r="G176" i="9"/>
  <c r="O178" i="9"/>
  <c r="G180" i="9"/>
  <c r="O182" i="9"/>
  <c r="G184" i="9"/>
  <c r="O186" i="9"/>
  <c r="G188" i="9"/>
  <c r="O190" i="9"/>
  <c r="G192" i="9"/>
  <c r="O194" i="9"/>
  <c r="G196" i="9"/>
  <c r="O198" i="9"/>
  <c r="G200" i="9"/>
  <c r="I167" i="9"/>
  <c r="Q169" i="9"/>
  <c r="M172" i="9"/>
  <c r="I175" i="9"/>
  <c r="H177" i="9"/>
  <c r="Q178" i="9"/>
  <c r="N180" i="9"/>
  <c r="L182" i="9"/>
  <c r="I184" i="9"/>
  <c r="R185" i="9"/>
  <c r="P187" i="9"/>
  <c r="M189" i="9"/>
  <c r="J191" i="9"/>
  <c r="H193" i="9"/>
  <c r="Q194" i="9"/>
  <c r="N196" i="9"/>
  <c r="L198" i="9"/>
  <c r="I200" i="9"/>
  <c r="R201" i="9"/>
  <c r="H168" i="9"/>
  <c r="Q201" i="9"/>
  <c r="H200" i="9"/>
  <c r="J198" i="9"/>
  <c r="M196" i="9"/>
  <c r="P194" i="9"/>
  <c r="R192" i="9"/>
  <c r="I191" i="9"/>
  <c r="L189" i="9"/>
  <c r="N187" i="9"/>
  <c r="Q185" i="9"/>
  <c r="H184" i="9"/>
  <c r="J182" i="9"/>
  <c r="M180" i="9"/>
  <c r="P178" i="9"/>
  <c r="R176" i="9"/>
  <c r="H175" i="9"/>
  <c r="L172" i="9"/>
  <c r="P169" i="9"/>
  <c r="H167" i="9"/>
  <c r="J201" i="9"/>
  <c r="M199" i="9"/>
  <c r="P197" i="9"/>
  <c r="R195" i="9"/>
  <c r="I194" i="9"/>
  <c r="L192" i="9"/>
  <c r="N190" i="9"/>
  <c r="Q188" i="9"/>
  <c r="H187" i="9"/>
  <c r="J185" i="9"/>
  <c r="M183" i="9"/>
  <c r="P181" i="9"/>
  <c r="R179" i="9"/>
  <c r="I178" i="9"/>
  <c r="L176" i="9"/>
  <c r="I174" i="9"/>
  <c r="M171" i="9"/>
  <c r="Q168" i="9"/>
  <c r="Q165" i="9"/>
  <c r="P200" i="9"/>
  <c r="R198" i="9"/>
  <c r="I197" i="9"/>
  <c r="L195" i="9"/>
  <c r="N193" i="9"/>
  <c r="Q191" i="9"/>
  <c r="H190" i="9"/>
  <c r="J188" i="9"/>
  <c r="M186" i="9"/>
  <c r="P184" i="9"/>
  <c r="R182" i="9"/>
  <c r="I181" i="9"/>
  <c r="L179" i="9"/>
  <c r="N177" i="9"/>
  <c r="Q175" i="9"/>
  <c r="L173" i="9"/>
  <c r="P170" i="9"/>
  <c r="L167" i="9"/>
  <c r="H201" i="9"/>
  <c r="Q198" i="9"/>
  <c r="I196" i="9"/>
  <c r="R193" i="9"/>
  <c r="P191" i="9"/>
  <c r="H189" i="9"/>
  <c r="Q186" i="9"/>
  <c r="N184" i="9"/>
  <c r="R181" i="9"/>
  <c r="P179" i="9"/>
  <c r="I176" i="9"/>
  <c r="Q167" i="9"/>
  <c r="DY6" i="2"/>
  <c r="P66" i="9"/>
  <c r="O15" i="9"/>
  <c r="P23" i="9"/>
  <c r="M17" i="9"/>
  <c r="Q19" i="9"/>
  <c r="M18" i="9"/>
  <c r="O37" i="9"/>
  <c r="N47" i="9"/>
  <c r="M11" i="9"/>
  <c r="L13" i="9"/>
  <c r="R4" i="9"/>
  <c r="P17" i="9"/>
  <c r="Q4" i="9"/>
  <c r="P36" i="9"/>
  <c r="O14" i="9"/>
  <c r="M37" i="9"/>
  <c r="O28" i="9"/>
  <c r="N44" i="9"/>
  <c r="O22" i="9"/>
  <c r="R21" i="9"/>
  <c r="Q21" i="9"/>
  <c r="R47" i="9"/>
  <c r="O45" i="9"/>
  <c r="N37" i="9"/>
  <c r="N51" i="9"/>
  <c r="O3" i="9"/>
  <c r="O12" i="9"/>
  <c r="R45" i="9"/>
  <c r="R22" i="9"/>
  <c r="O10" i="9"/>
  <c r="P8" i="9"/>
  <c r="M31" i="9"/>
  <c r="O43" i="9"/>
  <c r="O42" i="9"/>
  <c r="N27" i="9"/>
  <c r="N6" i="9"/>
  <c r="M35" i="9"/>
  <c r="L43" i="9"/>
  <c r="P12" i="9"/>
  <c r="R33" i="9"/>
  <c r="O41" i="9"/>
  <c r="O34" i="9"/>
  <c r="L39" i="9"/>
  <c r="O6" i="9"/>
  <c r="L47" i="9"/>
  <c r="Q30" i="9"/>
  <c r="P32" i="9"/>
  <c r="M14" i="9"/>
  <c r="P35" i="9"/>
  <c r="M13" i="9"/>
  <c r="L16" i="9"/>
  <c r="P3" i="9"/>
  <c r="L33" i="9"/>
  <c r="O21" i="9"/>
  <c r="O27" i="9"/>
  <c r="R30" i="9"/>
  <c r="Q34" i="9"/>
  <c r="L27" i="9"/>
  <c r="P21" i="9"/>
  <c r="O51" i="9"/>
  <c r="L36" i="9"/>
  <c r="Q31" i="9"/>
  <c r="L12" i="9"/>
  <c r="O23" i="9"/>
  <c r="M49" i="9"/>
  <c r="M20" i="9"/>
  <c r="P19" i="9"/>
  <c r="L37" i="9"/>
  <c r="L15" i="9"/>
  <c r="M29" i="9"/>
  <c r="Q50" i="9"/>
  <c r="M43" i="9"/>
  <c r="M46" i="9"/>
  <c r="M10" i="9"/>
  <c r="L48" i="9"/>
  <c r="P41" i="9"/>
  <c r="Q20" i="9"/>
  <c r="L28" i="9"/>
  <c r="Q35" i="9"/>
  <c r="L6" i="9"/>
  <c r="M21" i="9"/>
  <c r="N13" i="9"/>
  <c r="N39" i="9"/>
  <c r="M6" i="9"/>
  <c r="L30" i="9"/>
  <c r="O33" i="9"/>
  <c r="R31" i="9"/>
  <c r="O13" i="9"/>
  <c r="P31" i="9"/>
  <c r="O47" i="9"/>
  <c r="L44" i="9"/>
  <c r="N34" i="9"/>
  <c r="P27" i="9"/>
  <c r="M23" i="9"/>
  <c r="L49" i="9"/>
  <c r="R20" i="9"/>
  <c r="P5" i="9"/>
  <c r="O8" i="9"/>
  <c r="O35" i="9"/>
  <c r="P47" i="9"/>
  <c r="M33" i="9"/>
  <c r="L46" i="9"/>
  <c r="L31" i="9"/>
  <c r="N19" i="9"/>
  <c r="N46" i="9"/>
  <c r="O36" i="9"/>
  <c r="L42" i="9"/>
  <c r="N23" i="9"/>
  <c r="P13" i="9"/>
  <c r="O30" i="9"/>
  <c r="N35" i="9"/>
  <c r="N21" i="9"/>
  <c r="M34" i="9"/>
  <c r="Q22" i="9"/>
  <c r="Q44" i="9"/>
  <c r="Q43" i="9"/>
  <c r="Q46" i="9"/>
  <c r="P34" i="9"/>
  <c r="L5" i="9"/>
  <c r="N32" i="9"/>
  <c r="O2" i="9"/>
  <c r="R23" i="9"/>
  <c r="O9" i="9"/>
  <c r="P33" i="9"/>
  <c r="M25" i="9"/>
  <c r="M44" i="9"/>
  <c r="M15" i="9"/>
  <c r="R50" i="9"/>
  <c r="P28" i="9"/>
  <c r="P20" i="9"/>
  <c r="N38" i="9"/>
  <c r="P26" i="9"/>
  <c r="Q23" i="9"/>
  <c r="P46" i="9"/>
  <c r="R40" i="9"/>
  <c r="P14" i="9"/>
  <c r="Q47" i="9"/>
  <c r="R39" i="9"/>
  <c r="N24" i="9"/>
  <c r="P22" i="9"/>
  <c r="N25" i="9"/>
  <c r="R35" i="9"/>
  <c r="L25" i="9"/>
  <c r="P50" i="9"/>
  <c r="M42" i="9"/>
  <c r="O7" i="9"/>
  <c r="N42" i="9"/>
  <c r="O5" i="9"/>
  <c r="Q36" i="9"/>
  <c r="L10" i="9"/>
  <c r="M36" i="9"/>
  <c r="N15" i="9"/>
  <c r="L22" i="9"/>
  <c r="L24" i="9"/>
  <c r="EO7" i="2"/>
  <c r="O16" i="9"/>
  <c r="L4" i="9"/>
  <c r="N11" i="9"/>
  <c r="M4" i="9"/>
  <c r="N9" i="9"/>
  <c r="N4" i="9"/>
  <c r="L38" i="9"/>
  <c r="M38" i="9"/>
  <c r="N50" i="9"/>
  <c r="O25" i="9"/>
  <c r="O38" i="9"/>
  <c r="O39" i="9"/>
  <c r="R48" i="9"/>
  <c r="N22" i="9"/>
  <c r="O44" i="9"/>
  <c r="M28" i="9"/>
  <c r="O4" i="9"/>
  <c r="N7" i="9"/>
  <c r="P2" i="9"/>
  <c r="N2" i="9"/>
  <c r="Q45" i="9"/>
  <c r="P38" i="9"/>
  <c r="L40" i="9"/>
  <c r="N40" i="9"/>
  <c r="N29" i="9"/>
  <c r="M19" i="9"/>
  <c r="P16" i="9"/>
  <c r="M2" i="9"/>
  <c r="M51" i="9"/>
  <c r="M8" i="9"/>
  <c r="M30" i="9"/>
  <c r="O46" i="9"/>
  <c r="N8" i="9"/>
  <c r="P40" i="9"/>
  <c r="O49" i="9"/>
  <c r="Q28" i="9"/>
  <c r="L45" i="9"/>
  <c r="L50" i="9"/>
  <c r="O17" i="9"/>
  <c r="M16" i="9"/>
  <c r="N49" i="9"/>
  <c r="N14" i="9"/>
  <c r="N3" i="9"/>
  <c r="P48" i="9"/>
  <c r="L51" i="9"/>
  <c r="Q51" i="9"/>
  <c r="N17" i="9"/>
  <c r="M26" i="9"/>
  <c r="P18" i="9"/>
  <c r="R34" i="9"/>
  <c r="L21" i="9"/>
  <c r="L35" i="9"/>
  <c r="M39" i="9"/>
  <c r="R19" i="9"/>
  <c r="P25" i="9"/>
  <c r="M3" i="9"/>
  <c r="P4" i="9"/>
  <c r="O20" i="9"/>
  <c r="L3" i="9"/>
  <c r="L20" i="9"/>
  <c r="M27" i="9"/>
  <c r="P42" i="9"/>
  <c r="M50" i="9"/>
  <c r="M48" i="9"/>
  <c r="R28" i="9"/>
  <c r="L32" i="9"/>
  <c r="O48" i="9"/>
  <c r="L41" i="9"/>
  <c r="N18" i="9"/>
  <c r="P30" i="9"/>
  <c r="O11" i="9"/>
  <c r="N33" i="9"/>
  <c r="L9" i="9"/>
  <c r="P49" i="9"/>
  <c r="N48" i="9"/>
  <c r="O31" i="9"/>
  <c r="L2" i="9"/>
  <c r="M40" i="9"/>
  <c r="L19" i="9"/>
  <c r="M32" i="9"/>
  <c r="N5" i="9"/>
  <c r="M5" i="9"/>
  <c r="M9" i="9"/>
  <c r="Q39" i="9"/>
  <c r="R49" i="9"/>
  <c r="R36" i="9"/>
  <c r="N30" i="9"/>
  <c r="L14" i="9"/>
  <c r="N43" i="9"/>
  <c r="L18" i="9"/>
  <c r="N41" i="9"/>
  <c r="O18" i="9"/>
  <c r="P10" i="9"/>
  <c r="L7" i="9"/>
  <c r="N16" i="9"/>
  <c r="N45" i="9"/>
  <c r="Q40" i="9"/>
  <c r="N36" i="9"/>
  <c r="O50" i="9"/>
  <c r="N31" i="9"/>
  <c r="R43" i="9"/>
  <c r="M12" i="9"/>
  <c r="N10" i="9"/>
  <c r="M24" i="9"/>
  <c r="L8" i="9"/>
  <c r="L26" i="9"/>
  <c r="M7" i="9"/>
  <c r="N26" i="9"/>
  <c r="P39" i="9"/>
  <c r="R51" i="9"/>
  <c r="P11" i="9"/>
  <c r="N20" i="9"/>
  <c r="R46" i="9"/>
  <c r="O26" i="9"/>
  <c r="Q48" i="9"/>
  <c r="M41" i="9"/>
  <c r="L11" i="9"/>
  <c r="N12" i="9"/>
  <c r="M22" i="9"/>
  <c r="O19" i="9"/>
  <c r="P7" i="9"/>
  <c r="M45" i="9"/>
  <c r="P51" i="9"/>
  <c r="O32" i="9"/>
  <c r="P45" i="9"/>
  <c r="Q33" i="9"/>
  <c r="N28" i="9"/>
  <c r="P44" i="9"/>
  <c r="O40" i="9"/>
  <c r="R44" i="9"/>
  <c r="L34" i="9"/>
  <c r="M47" i="9"/>
  <c r="P43" i="9"/>
  <c r="Q49" i="9"/>
  <c r="L29" i="9"/>
  <c r="O24" i="9"/>
  <c r="L17" i="9"/>
  <c r="L23" i="9"/>
  <c r="EI3" i="2"/>
  <c r="EO3" i="2"/>
  <c r="EQ3" i="2"/>
  <c r="EN3" i="2"/>
  <c r="EH3" i="2"/>
  <c r="CN5" i="2"/>
  <c r="CB5" i="2"/>
  <c r="CN6" i="2"/>
  <c r="CB6" i="2"/>
  <c r="CB7" i="2"/>
  <c r="CN11" i="2"/>
  <c r="CN8" i="2"/>
  <c r="CN16" i="2"/>
  <c r="CN13" i="2"/>
  <c r="CN14" i="2"/>
  <c r="CN12" i="2"/>
  <c r="CT11" i="2"/>
  <c r="CV11" i="2"/>
  <c r="CV19" i="2"/>
  <c r="CV3" i="2"/>
  <c r="P15" i="9"/>
  <c r="DF13" i="2"/>
  <c r="DF5" i="2"/>
  <c r="DF8" i="2"/>
  <c r="DF29" i="2"/>
  <c r="DF28" i="2"/>
  <c r="DF33" i="2"/>
  <c r="DF19" i="2"/>
  <c r="DF10" i="2"/>
  <c r="DF12" i="2"/>
  <c r="DF3" i="2"/>
  <c r="DF2" i="2"/>
  <c r="DF15" i="2"/>
  <c r="DF6" i="2"/>
  <c r="DF11" i="2"/>
  <c r="DF7" i="2"/>
  <c r="DF35" i="2"/>
  <c r="DF26" i="2"/>
  <c r="DF17" i="2"/>
  <c r="DF31" i="2"/>
  <c r="DF22" i="2"/>
  <c r="DF32" i="2"/>
  <c r="DF36" i="2"/>
  <c r="DF27" i="2"/>
  <c r="DF4" i="2"/>
  <c r="DF9" i="2"/>
  <c r="DF30" i="2"/>
  <c r="DF34" i="2"/>
  <c r="DF23" i="2"/>
  <c r="DF18" i="2"/>
  <c r="DF20" i="2"/>
  <c r="DF14" i="2"/>
  <c r="DF16" i="2"/>
  <c r="DF24" i="2"/>
  <c r="DF21" i="2"/>
  <c r="P9" i="9"/>
  <c r="P10" i="8"/>
  <c r="P12" i="8"/>
  <c r="P13" i="8"/>
  <c r="P11" i="8"/>
  <c r="Q4" i="8"/>
  <c r="P37" i="9"/>
  <c r="IO6" i="2"/>
  <c r="CV4" i="2"/>
  <c r="CV12" i="2"/>
  <c r="CV5" i="2"/>
  <c r="CV13" i="2"/>
  <c r="CV6" i="2"/>
  <c r="CV14" i="2"/>
  <c r="CV15" i="2"/>
  <c r="CV7" i="2"/>
  <c r="IS7" i="2"/>
  <c r="P6" i="9"/>
  <c r="IO7" i="2"/>
  <c r="IS4" i="2"/>
  <c r="IO4" i="2"/>
  <c r="IS10" i="2"/>
  <c r="IO11" i="2"/>
  <c r="IO10" i="2"/>
  <c r="IO5" i="2"/>
  <c r="IO12" i="2"/>
  <c r="IO8" i="2"/>
  <c r="IO3" i="2"/>
  <c r="IO2" i="2"/>
  <c r="ES14" i="2"/>
  <c r="FZ21" i="2"/>
  <c r="P62" i="9"/>
  <c r="P63" i="9"/>
  <c r="P64" i="9"/>
  <c r="P65" i="9"/>
  <c r="FZ112" i="2"/>
  <c r="FZ107" i="2"/>
  <c r="FZ106" i="2"/>
  <c r="FZ113" i="2"/>
  <c r="FZ35" i="2"/>
  <c r="FZ32" i="2"/>
  <c r="FZ50" i="2"/>
  <c r="FZ36" i="2"/>
  <c r="FZ26" i="2"/>
  <c r="FZ108" i="2"/>
  <c r="FZ41" i="2"/>
  <c r="FZ18" i="2"/>
  <c r="FZ48" i="2"/>
  <c r="FZ29" i="2"/>
  <c r="FZ38" i="2"/>
  <c r="FZ109" i="2"/>
  <c r="FZ24" i="2"/>
  <c r="FZ22" i="2"/>
  <c r="FZ47" i="2"/>
  <c r="FZ34" i="2"/>
  <c r="FZ23" i="2"/>
  <c r="FZ52" i="2"/>
  <c r="FZ33" i="2"/>
  <c r="FZ15" i="2"/>
  <c r="FZ45" i="2"/>
  <c r="FZ19" i="2"/>
  <c r="FZ51" i="2"/>
  <c r="FZ115" i="2"/>
  <c r="FZ27" i="2"/>
  <c r="FZ105" i="2"/>
  <c r="FZ17" i="2"/>
  <c r="FZ42" i="2"/>
  <c r="FZ31" i="2"/>
  <c r="FZ114" i="2"/>
  <c r="FZ49" i="2"/>
  <c r="FZ25" i="2"/>
  <c r="FZ40" i="2"/>
  <c r="FZ16" i="2"/>
  <c r="FZ30" i="2"/>
  <c r="FZ110" i="2"/>
  <c r="FZ46" i="2"/>
  <c r="FZ43" i="2"/>
  <c r="FZ39" i="2"/>
  <c r="FZ28" i="2"/>
  <c r="FZ111" i="2"/>
  <c r="FZ44" i="2"/>
  <c r="FZ20" i="2"/>
  <c r="FZ53" i="2"/>
  <c r="FZ37" i="2"/>
  <c r="FZ14" i="2"/>
  <c r="AL10" i="2"/>
  <c r="A10" i="2"/>
  <c r="IV46" i="2"/>
  <c r="IV114" i="2"/>
  <c r="BS17" i="8"/>
  <c r="BS18" i="8"/>
  <c r="BS8" i="8"/>
  <c r="IV53" i="2"/>
  <c r="IV52" i="2"/>
  <c r="IV49" i="2"/>
  <c r="IV45" i="2"/>
  <c r="IV44" i="2"/>
  <c r="IV25" i="2"/>
  <c r="IV47" i="2"/>
  <c r="IV50" i="2"/>
  <c r="IV51" i="2"/>
  <c r="IV37" i="2"/>
  <c r="IV13" i="2"/>
  <c r="IV48" i="2"/>
  <c r="IO9" i="2"/>
  <c r="IO20" i="2"/>
  <c r="IO50" i="2"/>
  <c r="IO26" i="2"/>
  <c r="IO49" i="2"/>
  <c r="IO24" i="2"/>
  <c r="IO51" i="2"/>
  <c r="IO42" i="2"/>
  <c r="IO32" i="2"/>
  <c r="IO37" i="2"/>
  <c r="IO30" i="2"/>
  <c r="IO36" i="2"/>
  <c r="IO48" i="2"/>
  <c r="IO13" i="2"/>
  <c r="IO40" i="2"/>
  <c r="IO33" i="2"/>
  <c r="IO15" i="2"/>
  <c r="IO47" i="2"/>
  <c r="IO19" i="2"/>
  <c r="IO16" i="2"/>
  <c r="IO17" i="2"/>
  <c r="IO38" i="2"/>
  <c r="IO22" i="2"/>
  <c r="IO21" i="2"/>
  <c r="IO23" i="2"/>
  <c r="IO29" i="2"/>
  <c r="IO41" i="2"/>
  <c r="IO14" i="2"/>
  <c r="IO31" i="2"/>
  <c r="IO53" i="2"/>
  <c r="IO35" i="2"/>
  <c r="IO28" i="2"/>
  <c r="IO43" i="2"/>
  <c r="IO18" i="2"/>
  <c r="IO46" i="2"/>
  <c r="IO25" i="2"/>
  <c r="IO52" i="2"/>
  <c r="IO45" i="2"/>
  <c r="IO27" i="2"/>
  <c r="IO44" i="2"/>
  <c r="IO39" i="2"/>
  <c r="IO34" i="2"/>
  <c r="IV112" i="2"/>
  <c r="IV108" i="2"/>
  <c r="EU11" i="2"/>
  <c r="EU10" i="2"/>
  <c r="EU3" i="2"/>
  <c r="EU7" i="2"/>
  <c r="I34" i="8"/>
  <c r="I31" i="8"/>
  <c r="I32" i="8"/>
  <c r="R4" i="8"/>
  <c r="S4" i="8"/>
  <c r="AZ31" i="8"/>
  <c r="GH16" i="2"/>
  <c r="GH15" i="2"/>
  <c r="EE6" i="2"/>
  <c r="EQ6" i="2"/>
  <c r="EQ2" i="2"/>
  <c r="CT3" i="2"/>
  <c r="CT19" i="2"/>
  <c r="Q3" i="8"/>
  <c r="CV20" i="2"/>
  <c r="IV43" i="2"/>
  <c r="IW43" i="2"/>
  <c r="BF43" i="8"/>
  <c r="IV39" i="2"/>
  <c r="IW39" i="2"/>
  <c r="BF39" i="8"/>
  <c r="IV41" i="2"/>
  <c r="IW41" i="2"/>
  <c r="BF41" i="8"/>
  <c r="IV42" i="2"/>
  <c r="IW42" i="2"/>
  <c r="BF42" i="8"/>
  <c r="IV40" i="2"/>
  <c r="IW40" i="2"/>
  <c r="BF40" i="8"/>
  <c r="IV38" i="2"/>
  <c r="IW38" i="2"/>
  <c r="BF38" i="8"/>
  <c r="EL15" i="2"/>
  <c r="EF15" i="2"/>
  <c r="EE15" i="2"/>
  <c r="EM15" i="2"/>
  <c r="EO15" i="2"/>
  <c r="EG15" i="2"/>
  <c r="EI15" i="2"/>
  <c r="ET15" i="2"/>
  <c r="IV12" i="2"/>
  <c r="IW12" i="2"/>
  <c r="BF12" i="8"/>
  <c r="IY5" i="2"/>
  <c r="IV5" i="2"/>
  <c r="IW5" i="2"/>
  <c r="BF5" i="8"/>
  <c r="IY9" i="2"/>
  <c r="IV9" i="2"/>
  <c r="IW9" i="2"/>
  <c r="BF9" i="8"/>
  <c r="IY6" i="2"/>
  <c r="IV6" i="2"/>
  <c r="IW6" i="2"/>
  <c r="BF6" i="8"/>
  <c r="IX6" i="2"/>
  <c r="IV18" i="2"/>
  <c r="IW18" i="2"/>
  <c r="BF18" i="8"/>
  <c r="IV24" i="2"/>
  <c r="IW24" i="2"/>
  <c r="BF24" i="8"/>
  <c r="IV32" i="2"/>
  <c r="IW32" i="2"/>
  <c r="BF32" i="8"/>
  <c r="IV28" i="2"/>
  <c r="IW28" i="2"/>
  <c r="BF28" i="8"/>
  <c r="IV26" i="2"/>
  <c r="IW26" i="2"/>
  <c r="BF26" i="8"/>
  <c r="IV16" i="2"/>
  <c r="IW16" i="2"/>
  <c r="BF16" i="8"/>
  <c r="IV33" i="2"/>
  <c r="IW33" i="2"/>
  <c r="BF33" i="8"/>
  <c r="IV31" i="2"/>
  <c r="IW31" i="2"/>
  <c r="BF31" i="8"/>
  <c r="IV29" i="2"/>
  <c r="IW29" i="2"/>
  <c r="BF29" i="8"/>
  <c r="IY115" i="2"/>
  <c r="IV115" i="2"/>
  <c r="IW115" i="2"/>
  <c r="BF115" i="8"/>
  <c r="IV35" i="2"/>
  <c r="IW35" i="2"/>
  <c r="BF35" i="8"/>
  <c r="IV30" i="2"/>
  <c r="IW30" i="2"/>
  <c r="BF30" i="8"/>
  <c r="IY8" i="2"/>
  <c r="IV8" i="2"/>
  <c r="IW8" i="2"/>
  <c r="BF8" i="8"/>
  <c r="IY113" i="2"/>
  <c r="IV113" i="2"/>
  <c r="IW113" i="2"/>
  <c r="BF113" i="8"/>
  <c r="IX113" i="2"/>
  <c r="IY10" i="2"/>
  <c r="IV10" i="2"/>
  <c r="IW10" i="2"/>
  <c r="BF10" i="8"/>
  <c r="IX10" i="2"/>
  <c r="IY110" i="2"/>
  <c r="IV110" i="2"/>
  <c r="IW110" i="2"/>
  <c r="BF110" i="8"/>
  <c r="IX110" i="2"/>
  <c r="IY3" i="2"/>
  <c r="IV3" i="2"/>
  <c r="IW3" i="2"/>
  <c r="BF3" i="8"/>
  <c r="IX3" i="2"/>
  <c r="IY111" i="2"/>
  <c r="IV111" i="2"/>
  <c r="IW111" i="2"/>
  <c r="BF111" i="8"/>
  <c r="IY11" i="2"/>
  <c r="IV11" i="2"/>
  <c r="IW11" i="2"/>
  <c r="BF11" i="8"/>
  <c r="IX11" i="2"/>
  <c r="IY4" i="2"/>
  <c r="IV4" i="2"/>
  <c r="IW4" i="2"/>
  <c r="BF4" i="8"/>
  <c r="IY105" i="2"/>
  <c r="IV105" i="2"/>
  <c r="IW105" i="2"/>
  <c r="BF105" i="8"/>
  <c r="IY107" i="2"/>
  <c r="IV107" i="2"/>
  <c r="IW107" i="2"/>
  <c r="BF107" i="8"/>
  <c r="IV20" i="2"/>
  <c r="IW20" i="2"/>
  <c r="BF20" i="8"/>
  <c r="IV34" i="2"/>
  <c r="IW34" i="2"/>
  <c r="BF34" i="8"/>
  <c r="IV22" i="2"/>
  <c r="IW22" i="2"/>
  <c r="BF22" i="8"/>
  <c r="IV19" i="2"/>
  <c r="IW19" i="2"/>
  <c r="BF19" i="8"/>
  <c r="IV21" i="2"/>
  <c r="IW21" i="2"/>
  <c r="BF21" i="8"/>
  <c r="IV27" i="2"/>
  <c r="IW27" i="2"/>
  <c r="BF27" i="8"/>
  <c r="IV15" i="2"/>
  <c r="IW15" i="2"/>
  <c r="BF15" i="8"/>
  <c r="IV23" i="2"/>
  <c r="IW23" i="2"/>
  <c r="BF23" i="8"/>
  <c r="IV36" i="2"/>
  <c r="IW36" i="2"/>
  <c r="BF36" i="8"/>
  <c r="IY7" i="2"/>
  <c r="IV7" i="2"/>
  <c r="IW7" i="2"/>
  <c r="BF7" i="8"/>
  <c r="IY109" i="2"/>
  <c r="IV109" i="2"/>
  <c r="IW109" i="2"/>
  <c r="BF109" i="8"/>
  <c r="IV17" i="2"/>
  <c r="IW17" i="2"/>
  <c r="BF17" i="8"/>
  <c r="IY106" i="2"/>
  <c r="IV106" i="2"/>
  <c r="IW106" i="2"/>
  <c r="BF106" i="8"/>
  <c r="IV14" i="2"/>
  <c r="IW14" i="2"/>
  <c r="BF14" i="8"/>
  <c r="EM14" i="2"/>
  <c r="R24" i="9"/>
  <c r="EG14" i="2"/>
  <c r="EE14" i="2"/>
  <c r="EL14" i="2"/>
  <c r="Q3" i="9"/>
  <c r="EF14" i="2"/>
  <c r="R62" i="9"/>
  <c r="R41" i="9"/>
  <c r="AL11" i="2"/>
  <c r="A11" i="2"/>
  <c r="IY35" i="2"/>
  <c r="IY37" i="2"/>
  <c r="IW37" i="2"/>
  <c r="BF37" i="8"/>
  <c r="IY18" i="2"/>
  <c r="IY47" i="2"/>
  <c r="IW47" i="2"/>
  <c r="BF47" i="8"/>
  <c r="IY19" i="2"/>
  <c r="IY24" i="2"/>
  <c r="IY32" i="2"/>
  <c r="IY26" i="2"/>
  <c r="IY40" i="2"/>
  <c r="IY31" i="2"/>
  <c r="IY53" i="2"/>
  <c r="IW53" i="2"/>
  <c r="BF53" i="8"/>
  <c r="IY48" i="2"/>
  <c r="IW48" i="2"/>
  <c r="BF48" i="8"/>
  <c r="IY43" i="2"/>
  <c r="IY51" i="2"/>
  <c r="IW51" i="2"/>
  <c r="BF51" i="8"/>
  <c r="IY22" i="2"/>
  <c r="IY44" i="2"/>
  <c r="IW44" i="2"/>
  <c r="BF44" i="8"/>
  <c r="IY27" i="2"/>
  <c r="IY42" i="2"/>
  <c r="IY23" i="2"/>
  <c r="IY33" i="2"/>
  <c r="IY36" i="2"/>
  <c r="IY41" i="2"/>
  <c r="IY46" i="2"/>
  <c r="IW46" i="2"/>
  <c r="BF46" i="8"/>
  <c r="IY50" i="2"/>
  <c r="IW50" i="2"/>
  <c r="BF50" i="8"/>
  <c r="IY14" i="2"/>
  <c r="IY38" i="2"/>
  <c r="IY39" i="2"/>
  <c r="IY28" i="2"/>
  <c r="IY30" i="2"/>
  <c r="IY49" i="2"/>
  <c r="IW49" i="2"/>
  <c r="BF49" i="8"/>
  <c r="IY29" i="2"/>
  <c r="IY13" i="2"/>
  <c r="IW13" i="2"/>
  <c r="BF13" i="8"/>
  <c r="IY20" i="2"/>
  <c r="IY34" i="2"/>
  <c r="IY25" i="2"/>
  <c r="IW25" i="2"/>
  <c r="BF25" i="8"/>
  <c r="IY21" i="2"/>
  <c r="IY15" i="2"/>
  <c r="IY45" i="2"/>
  <c r="IW45" i="2"/>
  <c r="BF45" i="8"/>
  <c r="IY16" i="2"/>
  <c r="IY17" i="2"/>
  <c r="IY52" i="2"/>
  <c r="IW52" i="2"/>
  <c r="BF52" i="8"/>
  <c r="IY114" i="2"/>
  <c r="IY112" i="2"/>
  <c r="IY108" i="2"/>
  <c r="IY12" i="2"/>
  <c r="IY2" i="2"/>
  <c r="IV2" i="2"/>
  <c r="IW2" i="2"/>
  <c r="BF2" i="8"/>
  <c r="IW114" i="2"/>
  <c r="BF114" i="8"/>
  <c r="IW108" i="2"/>
  <c r="BF108" i="8"/>
  <c r="IW112" i="2"/>
  <c r="BF112" i="8"/>
  <c r="Q10" i="9"/>
  <c r="R18" i="9"/>
  <c r="BM7" i="2"/>
  <c r="BM14" i="2"/>
  <c r="BM6" i="2"/>
  <c r="BM13" i="2"/>
  <c r="CT14" i="2"/>
  <c r="BM5" i="2"/>
  <c r="BM12" i="2"/>
  <c r="CT5" i="2"/>
  <c r="BM4" i="2"/>
  <c r="BM11" i="2"/>
  <c r="R3" i="8"/>
  <c r="S3" i="8"/>
  <c r="BB31" i="8"/>
  <c r="BA31" i="8"/>
  <c r="CT6" i="2"/>
  <c r="CT4" i="2"/>
  <c r="BM16" i="2"/>
  <c r="CT20" i="2"/>
  <c r="CT22" i="2"/>
  <c r="B16" i="5"/>
  <c r="BB2" i="2"/>
  <c r="Q5" i="9"/>
  <c r="R5" i="9"/>
  <c r="Q18" i="9"/>
  <c r="R32" i="9"/>
  <c r="Q32" i="9"/>
  <c r="EM6" i="2"/>
  <c r="R14" i="9"/>
  <c r="Q60" i="9"/>
  <c r="CV24" i="2"/>
  <c r="CV23" i="2"/>
  <c r="Q29" i="9"/>
  <c r="Q52" i="9"/>
  <c r="R60" i="9"/>
  <c r="R29" i="9"/>
  <c r="R52" i="9"/>
  <c r="EN15" i="2"/>
  <c r="EH15" i="2"/>
  <c r="EQ15" i="2"/>
  <c r="Q12" i="9"/>
  <c r="Q37" i="9"/>
  <c r="R12" i="9"/>
  <c r="R37" i="9"/>
  <c r="EI14" i="2"/>
  <c r="R10" i="9"/>
  <c r="EQ14" i="2"/>
  <c r="EN14" i="2"/>
  <c r="EH14" i="2"/>
  <c r="EO14" i="2"/>
  <c r="R3" i="9"/>
  <c r="EL6" i="2"/>
  <c r="Q14" i="9"/>
  <c r="Q62" i="9"/>
  <c r="Q24" i="9"/>
  <c r="Q41" i="9"/>
  <c r="AL12" i="2"/>
  <c r="A12" i="2"/>
  <c r="IX16" i="2"/>
  <c r="IZ16" i="2"/>
  <c r="IX34" i="2"/>
  <c r="IZ34" i="2"/>
  <c r="IX29" i="2"/>
  <c r="IZ29" i="2"/>
  <c r="IX49" i="2"/>
  <c r="IZ49" i="2"/>
  <c r="IX39" i="2"/>
  <c r="IZ39" i="2"/>
  <c r="IX38" i="2"/>
  <c r="IZ38" i="2"/>
  <c r="IX42" i="2"/>
  <c r="IZ42" i="2"/>
  <c r="IX22" i="2"/>
  <c r="IZ22" i="2"/>
  <c r="IX51" i="2"/>
  <c r="IZ51" i="2"/>
  <c r="IX53" i="2"/>
  <c r="IZ53" i="2"/>
  <c r="IX32" i="2"/>
  <c r="IZ32" i="2"/>
  <c r="IX24" i="2"/>
  <c r="IZ24" i="2"/>
  <c r="IX18" i="2"/>
  <c r="IZ18" i="2"/>
  <c r="IX37" i="2"/>
  <c r="IZ37" i="2"/>
  <c r="IX17" i="2"/>
  <c r="IZ17" i="2"/>
  <c r="IX21" i="2"/>
  <c r="IZ21" i="2"/>
  <c r="IX25" i="2"/>
  <c r="IZ25" i="2"/>
  <c r="IX13" i="2"/>
  <c r="IZ13" i="2"/>
  <c r="IX46" i="2"/>
  <c r="IZ46" i="2"/>
  <c r="IX33" i="2"/>
  <c r="IZ33" i="2"/>
  <c r="IX23" i="2"/>
  <c r="IZ23" i="2"/>
  <c r="IX48" i="2"/>
  <c r="IZ48" i="2"/>
  <c r="IX47" i="2"/>
  <c r="IZ47" i="2"/>
  <c r="IX15" i="2"/>
  <c r="IZ15" i="2"/>
  <c r="IX20" i="2"/>
  <c r="IZ20" i="2"/>
  <c r="IX30" i="2"/>
  <c r="IZ30" i="2"/>
  <c r="IX28" i="2"/>
  <c r="IZ28" i="2"/>
  <c r="IX14" i="2"/>
  <c r="IZ14" i="2"/>
  <c r="IX50" i="2"/>
  <c r="IZ50" i="2"/>
  <c r="IX36" i="2"/>
  <c r="IZ36" i="2"/>
  <c r="IX27" i="2"/>
  <c r="IZ27" i="2"/>
  <c r="IX44" i="2"/>
  <c r="IZ44" i="2"/>
  <c r="IX43" i="2"/>
  <c r="IZ43" i="2"/>
  <c r="IX40" i="2"/>
  <c r="IZ40" i="2"/>
  <c r="IX26" i="2"/>
  <c r="IZ26" i="2"/>
  <c r="IX19" i="2"/>
  <c r="IZ19" i="2"/>
  <c r="IX35" i="2"/>
  <c r="IZ35" i="2"/>
  <c r="IX52" i="2"/>
  <c r="IZ52" i="2"/>
  <c r="IX45" i="2"/>
  <c r="IZ45" i="2"/>
  <c r="IX41" i="2"/>
  <c r="IZ41" i="2"/>
  <c r="IX31" i="2"/>
  <c r="IZ31" i="2"/>
  <c r="IX107" i="2"/>
  <c r="IX7" i="2"/>
  <c r="P6" i="8"/>
  <c r="P7" i="8"/>
  <c r="IZ3" i="2"/>
  <c r="IX112" i="2"/>
  <c r="IZ112" i="2"/>
  <c r="IZ109" i="2"/>
  <c r="IX109" i="2"/>
  <c r="IZ107" i="2"/>
  <c r="IX111" i="2"/>
  <c r="IZ111" i="2"/>
  <c r="IX108" i="2"/>
  <c r="IZ108" i="2"/>
  <c r="IX12" i="2"/>
  <c r="IZ12" i="2"/>
  <c r="IX4" i="2"/>
  <c r="IZ4" i="2"/>
  <c r="IX106" i="2"/>
  <c r="IZ106" i="2"/>
  <c r="IX115" i="2"/>
  <c r="IZ115" i="2"/>
  <c r="IZ10" i="2"/>
  <c r="IX9" i="2"/>
  <c r="IZ9" i="2"/>
  <c r="IX2" i="2"/>
  <c r="JD4" i="2"/>
  <c r="IZ2" i="2"/>
  <c r="JD3" i="2"/>
  <c r="JD6" i="2"/>
  <c r="JD7" i="2"/>
  <c r="IZ6" i="2"/>
  <c r="IZ110" i="2"/>
  <c r="IX5" i="2"/>
  <c r="IZ5" i="2"/>
  <c r="IX105" i="2"/>
  <c r="IZ105" i="2"/>
  <c r="IX8" i="2"/>
  <c r="IZ8" i="2"/>
  <c r="IX114" i="2"/>
  <c r="IZ114" i="2"/>
  <c r="BJ31" i="8"/>
  <c r="IZ7" i="2"/>
  <c r="IZ11" i="2"/>
  <c r="IZ113" i="2"/>
  <c r="BJ30" i="8"/>
  <c r="CT21" i="2"/>
  <c r="ES2" i="2"/>
  <c r="EL2" i="2"/>
  <c r="EM2" i="2"/>
  <c r="R9" i="9"/>
  <c r="ES6" i="2"/>
  <c r="EY34" i="2"/>
  <c r="EY35" i="2"/>
  <c r="EG6" i="2"/>
  <c r="EI6" i="2"/>
  <c r="EF6" i="2"/>
  <c r="EH6" i="2"/>
  <c r="CT23" i="2"/>
  <c r="CT24" i="2"/>
  <c r="CT12" i="2"/>
  <c r="CT13" i="2"/>
  <c r="CT7" i="2"/>
  <c r="CT15" i="2"/>
  <c r="AL14" i="2"/>
  <c r="BB8" i="2"/>
  <c r="ET14" i="2"/>
  <c r="A14" i="2"/>
  <c r="AL13" i="2"/>
  <c r="A13" i="2"/>
  <c r="JA11" i="2"/>
  <c r="I67" i="9"/>
  <c r="H67" i="9"/>
  <c r="JE4" i="2"/>
  <c r="JA6" i="2"/>
  <c r="JA8" i="2"/>
  <c r="JA4" i="2"/>
  <c r="JA111" i="2"/>
  <c r="JA109" i="2"/>
  <c r="JA110" i="2"/>
  <c r="JA10" i="2"/>
  <c r="JA105" i="2"/>
  <c r="JA2" i="2"/>
  <c r="JA114" i="2"/>
  <c r="JA112" i="2"/>
  <c r="JE3" i="2"/>
  <c r="JA7" i="2"/>
  <c r="JA113" i="2"/>
  <c r="JA5" i="2"/>
  <c r="JA115" i="2"/>
  <c r="JA12" i="2"/>
  <c r="JE7" i="2"/>
  <c r="JE6" i="2"/>
  <c r="JA35" i="2"/>
  <c r="JA37" i="2"/>
  <c r="JA19" i="2"/>
  <c r="JA24" i="2"/>
  <c r="JA40" i="2"/>
  <c r="JA43" i="2"/>
  <c r="JA51" i="2"/>
  <c r="JA27" i="2"/>
  <c r="JA42" i="2"/>
  <c r="JA36" i="2"/>
  <c r="JA14" i="2"/>
  <c r="JA38" i="2"/>
  <c r="JA30" i="2"/>
  <c r="JA49" i="2"/>
  <c r="JA20" i="2"/>
  <c r="JA34" i="2"/>
  <c r="JA15" i="2"/>
  <c r="JA47" i="2"/>
  <c r="JA48" i="2"/>
  <c r="JA33" i="2"/>
  <c r="JA13" i="2"/>
  <c r="JA21" i="2"/>
  <c r="JA17" i="2"/>
  <c r="JA52" i="2"/>
  <c r="JA18" i="2"/>
  <c r="JA32" i="2"/>
  <c r="JA26" i="2"/>
  <c r="JA53" i="2"/>
  <c r="JA22" i="2"/>
  <c r="JA44" i="2"/>
  <c r="JA50" i="2"/>
  <c r="JA39" i="2"/>
  <c r="JA28" i="2"/>
  <c r="JA29" i="2"/>
  <c r="JA16" i="2"/>
  <c r="JA31" i="2"/>
  <c r="JA23" i="2"/>
  <c r="JA41" i="2"/>
  <c r="JA46" i="2"/>
  <c r="JA25" i="2"/>
  <c r="JA45" i="2"/>
  <c r="JA3" i="2"/>
  <c r="JA107" i="2"/>
  <c r="JA106" i="2"/>
  <c r="JA108" i="2"/>
  <c r="JA9" i="2"/>
  <c r="R17" i="9"/>
  <c r="Q17" i="9"/>
  <c r="ET2" i="2"/>
  <c r="ET6" i="2"/>
  <c r="Q11" i="9"/>
  <c r="R8" i="9"/>
  <c r="EO2" i="2"/>
  <c r="Q8" i="9"/>
  <c r="Q9" i="9"/>
  <c r="EN2" i="2"/>
  <c r="R11" i="9"/>
  <c r="ER6" i="2"/>
  <c r="ER14" i="2"/>
  <c r="ER2" i="2"/>
  <c r="EY2" i="2"/>
  <c r="K35" i="10"/>
  <c r="M30" i="10"/>
  <c r="K34" i="10"/>
  <c r="EU15" i="2"/>
  <c r="Q13" i="9"/>
  <c r="R13" i="9"/>
  <c r="Q63" i="9"/>
  <c r="R63" i="9"/>
  <c r="R65" i="9"/>
  <c r="R64" i="9"/>
  <c r="Q65" i="9"/>
  <c r="Q64" i="9"/>
  <c r="R42" i="9"/>
  <c r="R66" i="9"/>
  <c r="Q42" i="9"/>
  <c r="Q66" i="9"/>
  <c r="AL15" i="2"/>
  <c r="A15" i="2"/>
  <c r="J67" i="9"/>
  <c r="Q67" i="9"/>
  <c r="R26" i="9"/>
  <c r="R67" i="9"/>
  <c r="BK31" i="8"/>
  <c r="Q26" i="9"/>
  <c r="J38" i="10"/>
  <c r="K33" i="10"/>
  <c r="BL31" i="8"/>
  <c r="BM31" i="8"/>
  <c r="L29" i="10"/>
  <c r="L30" i="10"/>
  <c r="M29" i="10"/>
  <c r="EV6" i="2"/>
  <c r="EV2" i="2"/>
  <c r="EY3" i="2"/>
  <c r="EY5" i="2"/>
  <c r="EY12" i="2"/>
  <c r="EY9" i="2"/>
  <c r="EN6" i="2"/>
  <c r="EY6" i="2"/>
  <c r="EY13" i="2"/>
  <c r="Q15" i="9"/>
  <c r="EO6" i="2"/>
  <c r="EY7" i="2"/>
  <c r="EY14" i="2"/>
  <c r="R15" i="9"/>
  <c r="EY31" i="2"/>
  <c r="FP12" i="2"/>
  <c r="AA31" i="8"/>
  <c r="FP13" i="2"/>
  <c r="EU14" i="2"/>
  <c r="EU2" i="2"/>
  <c r="EU6" i="2"/>
  <c r="AL16" i="2"/>
  <c r="A16" i="2"/>
  <c r="BK30" i="8"/>
  <c r="O30" i="10"/>
  <c r="P30" i="10"/>
  <c r="O29" i="10"/>
  <c r="P29" i="10"/>
  <c r="BL30" i="8"/>
  <c r="BM30" i="8"/>
  <c r="EY4" i="2"/>
  <c r="EY11" i="2"/>
  <c r="EY27" i="2"/>
  <c r="EY28" i="2"/>
  <c r="R16" i="9"/>
  <c r="R7" i="9"/>
  <c r="Q7" i="9"/>
  <c r="Q16" i="9"/>
  <c r="R2" i="9"/>
  <c r="R6" i="9"/>
  <c r="Q2" i="9"/>
  <c r="Q6" i="9"/>
  <c r="R27" i="9"/>
  <c r="EY29" i="2"/>
  <c r="Q27" i="9"/>
  <c r="Z31" i="8" a="1"/>
  <c r="Z38" i="8"/>
  <c r="B14" i="9"/>
  <c r="R61" i="9"/>
  <c r="R25" i="9"/>
  <c r="Q61" i="9"/>
  <c r="Q25" i="9"/>
  <c r="N34" i="10"/>
  <c r="EY24" i="2"/>
  <c r="B11" i="9"/>
  <c r="Q38" i="9"/>
  <c r="L35" i="10"/>
  <c r="AL17" i="2"/>
  <c r="A17" i="2"/>
  <c r="AA32" i="8"/>
  <c r="AA33" i="8"/>
  <c r="B12" i="9"/>
  <c r="B13" i="9"/>
  <c r="B15" i="9"/>
  <c r="EY30" i="2"/>
  <c r="Z34" i="8"/>
  <c r="Z35" i="8"/>
  <c r="Z39" i="8"/>
  <c r="Z37" i="8"/>
  <c r="Z33" i="8"/>
  <c r="Z31" i="8"/>
  <c r="Z36" i="8"/>
  <c r="Z32" i="8"/>
  <c r="R38" i="9"/>
  <c r="L34" i="10"/>
  <c r="A19" i="2"/>
  <c r="AL19" i="2"/>
  <c r="AL18" i="2"/>
  <c r="A18" i="2"/>
  <c r="AA34" i="8"/>
  <c r="AA35" i="8"/>
  <c r="J33" i="10"/>
  <c r="N33" i="10"/>
  <c r="O33" i="10"/>
  <c r="P33" i="10"/>
  <c r="A20" i="2"/>
  <c r="AL20" i="2"/>
  <c r="AL21" i="2"/>
  <c r="AA36" i="8"/>
  <c r="AA37" i="8"/>
  <c r="L33" i="10"/>
  <c r="J39" i="10"/>
  <c r="A21" i="2"/>
  <c r="AL22" i="2"/>
  <c r="A22" i="2"/>
  <c r="AA38" i="8"/>
  <c r="AA39" i="8"/>
  <c r="A23" i="2"/>
  <c r="AL24" i="2"/>
  <c r="AL23" i="2"/>
  <c r="A24" i="2"/>
  <c r="AL25" i="2"/>
  <c r="A25" i="2"/>
  <c r="GW5" i="2"/>
  <c r="GW6" i="2"/>
  <c r="CY16" i="2"/>
  <c r="CY20" i="2"/>
  <c r="CY24" i="2"/>
  <c r="CY17" i="2"/>
  <c r="CY21" i="2"/>
  <c r="CY14" i="2"/>
  <c r="CY18" i="2"/>
  <c r="CY22" i="2"/>
  <c r="CY15" i="2"/>
  <c r="CY19" i="2"/>
  <c r="CY23" i="2"/>
  <c r="AL26" i="2"/>
  <c r="A26" i="2"/>
  <c r="AL27" i="2"/>
  <c r="A27" i="2"/>
  <c r="AL28" i="2"/>
  <c r="A28" i="2"/>
  <c r="AL29" i="2"/>
  <c r="A29" i="2"/>
  <c r="AL30" i="2"/>
  <c r="A30" i="2"/>
  <c r="AL31" i="2"/>
  <c r="A31" i="2"/>
  <c r="GW12" i="2"/>
  <c r="GW13" i="2"/>
  <c r="AL32" i="2"/>
  <c r="A32" i="2"/>
  <c r="AL33" i="2"/>
  <c r="A33" i="2"/>
  <c r="AL34" i="2"/>
  <c r="A34" i="2"/>
  <c r="AL35" i="2"/>
  <c r="A35" i="2"/>
  <c r="AL36" i="2"/>
  <c r="A36" i="2"/>
  <c r="AL37" i="2"/>
  <c r="A37" i="2"/>
  <c r="GW19" i="2"/>
  <c r="GW20" i="2"/>
  <c r="AL38" i="2"/>
  <c r="A38" i="2"/>
  <c r="HH3" i="2"/>
  <c r="AL39" i="2"/>
  <c r="A39" i="2"/>
  <c r="HI2" i="2"/>
  <c r="HE4" i="2"/>
  <c r="HE3" i="2"/>
  <c r="AL40" i="2"/>
  <c r="A40" i="2"/>
  <c r="HI3" i="2"/>
  <c r="HH4" i="2"/>
  <c r="HB4" i="2"/>
  <c r="HI4" i="2"/>
  <c r="HE5" i="2"/>
  <c r="HH2" i="2"/>
  <c r="AL41" i="2"/>
  <c r="A41" i="2"/>
  <c r="HH5" i="2"/>
  <c r="HE6" i="2"/>
  <c r="AL42" i="2"/>
  <c r="A42" i="2"/>
  <c r="HI5" i="2"/>
  <c r="HH6" i="2"/>
  <c r="HB6" i="2"/>
  <c r="HE7" i="2"/>
  <c r="HB7" i="2"/>
  <c r="HH7" i="2"/>
  <c r="AL43" i="2"/>
  <c r="A43" i="2"/>
  <c r="HI7" i="2"/>
  <c r="HI6" i="2"/>
  <c r="HE8" i="2"/>
  <c r="HH8" i="2"/>
  <c r="HB8" i="2"/>
  <c r="AL44" i="2"/>
  <c r="A44" i="2"/>
  <c r="HI8" i="2"/>
  <c r="HB9" i="2"/>
  <c r="HH9" i="2"/>
  <c r="HE9" i="2"/>
  <c r="AL45" i="2"/>
  <c r="HI9" i="2"/>
  <c r="A45" i="2"/>
  <c r="HB10" i="2"/>
  <c r="HI10" i="2"/>
  <c r="HH10" i="2"/>
  <c r="HE10" i="2"/>
  <c r="AL46" i="2"/>
  <c r="A46" i="2"/>
  <c r="HB11" i="2"/>
  <c r="HI11" i="2"/>
  <c r="HH11" i="2"/>
  <c r="HE11" i="2"/>
  <c r="AL47" i="2"/>
  <c r="A47" i="2"/>
  <c r="HB12" i="2"/>
  <c r="HH12" i="2"/>
  <c r="HE12" i="2"/>
  <c r="HI12" i="2"/>
  <c r="AL48" i="2"/>
  <c r="A48" i="2"/>
  <c r="HE13" i="2"/>
  <c r="HB13" i="2"/>
  <c r="HH13" i="2"/>
  <c r="HI13" i="2"/>
  <c r="AL49" i="2"/>
  <c r="A49" i="2"/>
  <c r="HH14" i="2"/>
  <c r="HB14" i="2"/>
  <c r="HE14" i="2"/>
  <c r="AL50" i="2"/>
  <c r="HI14" i="2"/>
  <c r="A50" i="2"/>
  <c r="HH15" i="2"/>
  <c r="HE15" i="2"/>
  <c r="HB15" i="2"/>
  <c r="HE16" i="2"/>
  <c r="AL51" i="2"/>
  <c r="A51" i="2"/>
  <c r="HI15" i="2"/>
  <c r="HH16" i="2"/>
  <c r="HB16" i="2"/>
  <c r="HE17" i="2"/>
  <c r="AL52" i="2"/>
  <c r="A52" i="2"/>
  <c r="HI16" i="2"/>
  <c r="HH17" i="2"/>
  <c r="HB17" i="2"/>
  <c r="HB18" i="2"/>
  <c r="HI18" i="2"/>
  <c r="HE18" i="2"/>
  <c r="HH18" i="2"/>
  <c r="AL53" i="2"/>
  <c r="HI17" i="2"/>
  <c r="A53" i="2"/>
  <c r="HH19" i="2"/>
  <c r="HB19" i="2"/>
  <c r="HE19" i="2"/>
  <c r="AL105" i="2"/>
  <c r="HI19" i="2"/>
  <c r="A105" i="2"/>
  <c r="HE20" i="2"/>
  <c r="HB20" i="2"/>
  <c r="HI20" i="2"/>
  <c r="HH20" i="2"/>
  <c r="HE21" i="2"/>
  <c r="AL106" i="2"/>
  <c r="A106" i="2"/>
  <c r="HB21" i="2"/>
  <c r="HH21" i="2"/>
  <c r="HE22" i="2"/>
  <c r="AL107" i="2"/>
  <c r="HI21" i="2"/>
  <c r="A107" i="2"/>
  <c r="HI22" i="2"/>
  <c r="HH22" i="2"/>
  <c r="HB22" i="2"/>
  <c r="HI23" i="2"/>
  <c r="HE23" i="2"/>
  <c r="HB23" i="2"/>
  <c r="HH23" i="2"/>
  <c r="AL108" i="2"/>
  <c r="A108" i="2"/>
  <c r="HE24" i="2"/>
  <c r="HB24" i="2"/>
  <c r="HH24" i="2"/>
  <c r="HI24" i="2"/>
  <c r="AL109" i="2"/>
  <c r="A109" i="2"/>
  <c r="HE25" i="2"/>
  <c r="HI25" i="2"/>
  <c r="HB25" i="2"/>
  <c r="HH25" i="2"/>
  <c r="AL110" i="2"/>
  <c r="A110" i="2"/>
  <c r="HE26" i="2"/>
  <c r="HB26" i="2"/>
  <c r="HH26" i="2"/>
  <c r="HI26" i="2"/>
  <c r="HH27" i="2"/>
  <c r="AL111" i="2"/>
  <c r="A111" i="2"/>
  <c r="HI27" i="2"/>
  <c r="HB27" i="2"/>
  <c r="HE27" i="2"/>
  <c r="HB28" i="2"/>
  <c r="HH28" i="2"/>
  <c r="HI28" i="2"/>
  <c r="HE29" i="2"/>
  <c r="HE28" i="2"/>
  <c r="AL112" i="2"/>
  <c r="A112" i="2"/>
  <c r="HH29" i="2"/>
  <c r="HB29" i="2"/>
  <c r="HI29" i="2"/>
  <c r="HE30" i="2"/>
  <c r="AL113" i="2"/>
  <c r="A113" i="2"/>
  <c r="HH30" i="2"/>
  <c r="HB30" i="2"/>
  <c r="HI30" i="2"/>
  <c r="HE31" i="2"/>
  <c r="AL114" i="2"/>
  <c r="A114" i="2"/>
  <c r="HB31" i="2"/>
  <c r="HH31" i="2"/>
  <c r="HI31" i="2"/>
  <c r="HE32" i="2"/>
  <c r="AJ13" i="2"/>
  <c r="CY13" i="2"/>
  <c r="CY7" i="2"/>
  <c r="CY8" i="2"/>
  <c r="CY12" i="2"/>
  <c r="CY9" i="2"/>
  <c r="CY10" i="2"/>
  <c r="CY6" i="2"/>
  <c r="CY11" i="2"/>
  <c r="BB3" i="2"/>
  <c r="CY4" i="2"/>
  <c r="CY2" i="2"/>
  <c r="CY3" i="2"/>
  <c r="CY5" i="2"/>
  <c r="AJ38" i="2"/>
  <c r="AJ39" i="2"/>
  <c r="AJ40" i="2"/>
  <c r="AJ42" i="2"/>
  <c r="AJ41" i="2"/>
  <c r="AJ43" i="2"/>
  <c r="AJ5" i="2"/>
  <c r="AJ16" i="2"/>
  <c r="AJ14" i="2"/>
  <c r="AJ9" i="2"/>
  <c r="AJ3" i="2"/>
  <c r="AJ2" i="2"/>
  <c r="AJ7" i="2"/>
  <c r="AJ8" i="2"/>
  <c r="AJ6" i="2"/>
  <c r="AJ11" i="2"/>
  <c r="AJ4" i="2"/>
  <c r="AJ10" i="2"/>
  <c r="AJ12" i="2"/>
  <c r="AJ15" i="2"/>
  <c r="AJ18" i="2"/>
  <c r="AJ20" i="2"/>
  <c r="AJ24" i="2"/>
  <c r="AJ17" i="2"/>
  <c r="AJ21" i="2"/>
  <c r="AJ23" i="2"/>
  <c r="AJ19" i="2"/>
  <c r="AJ22" i="2"/>
  <c r="AJ26" i="2"/>
  <c r="AJ28" i="2"/>
  <c r="AJ27" i="2"/>
  <c r="AJ29" i="2"/>
  <c r="AJ30" i="2"/>
  <c r="AJ31" i="2"/>
  <c r="AJ32" i="2"/>
  <c r="AJ36" i="2"/>
  <c r="AJ33" i="2"/>
  <c r="AJ34" i="2"/>
  <c r="AJ35" i="2"/>
  <c r="AL115" i="2"/>
  <c r="H116" i="5"/>
  <c r="A115" i="2"/>
  <c r="F66" i="5"/>
  <c r="E141" i="5"/>
  <c r="F109" i="5"/>
  <c r="J84" i="5"/>
  <c r="I96" i="5"/>
  <c r="E97" i="5"/>
  <c r="H184" i="5"/>
  <c r="E100" i="5"/>
  <c r="I180" i="5"/>
  <c r="G167" i="5"/>
  <c r="J183" i="5"/>
  <c r="E106" i="5"/>
  <c r="H109" i="5"/>
  <c r="E154" i="5"/>
  <c r="H92" i="5"/>
  <c r="F120" i="5"/>
  <c r="H113" i="5"/>
  <c r="H77" i="5"/>
  <c r="G92" i="5"/>
  <c r="H87" i="5"/>
  <c r="I173" i="5"/>
  <c r="H145" i="5"/>
  <c r="J155" i="5"/>
  <c r="F191" i="5"/>
  <c r="E172" i="5"/>
  <c r="G145" i="5"/>
  <c r="I106" i="5"/>
  <c r="G105" i="5"/>
  <c r="I169" i="5"/>
  <c r="H187" i="5"/>
  <c r="F86" i="5"/>
  <c r="F76" i="5"/>
  <c r="H102" i="5"/>
  <c r="E88" i="5"/>
  <c r="H75" i="5"/>
  <c r="J148" i="5"/>
  <c r="F198" i="5"/>
  <c r="H155" i="5"/>
  <c r="J182" i="5"/>
  <c r="G198" i="5"/>
  <c r="H192" i="5"/>
  <c r="G131" i="5"/>
  <c r="H94" i="5"/>
  <c r="G133" i="5"/>
  <c r="F68" i="5"/>
  <c r="H115" i="5"/>
  <c r="F176" i="5"/>
  <c r="E94" i="5"/>
  <c r="E110" i="5"/>
  <c r="J134" i="5"/>
  <c r="J117" i="5"/>
  <c r="G82" i="5"/>
  <c r="H190" i="5"/>
  <c r="I164" i="5"/>
  <c r="J54" i="5"/>
  <c r="I193" i="5"/>
  <c r="E77" i="5"/>
  <c r="F125" i="5"/>
  <c r="E98" i="5"/>
  <c r="E74" i="5"/>
  <c r="E131" i="5"/>
  <c r="F168" i="5"/>
  <c r="H73" i="5"/>
  <c r="I153" i="5"/>
  <c r="F189" i="5"/>
  <c r="E160" i="5"/>
  <c r="F174" i="5"/>
  <c r="J98" i="5"/>
  <c r="E111" i="5"/>
  <c r="F72" i="5"/>
  <c r="H86" i="5"/>
  <c r="E136" i="5"/>
  <c r="E174" i="5"/>
  <c r="G95" i="5"/>
  <c r="J179" i="5"/>
  <c r="I197" i="5"/>
  <c r="G152" i="5"/>
  <c r="J95" i="5"/>
  <c r="H197" i="5"/>
  <c r="J74" i="5"/>
  <c r="I129" i="5"/>
  <c r="F153" i="5"/>
  <c r="E80" i="5"/>
  <c r="I136" i="5"/>
  <c r="H138" i="5"/>
  <c r="H152" i="5"/>
  <c r="J69" i="5"/>
  <c r="G114" i="5"/>
  <c r="H129" i="5"/>
  <c r="J185" i="5"/>
  <c r="I191" i="5"/>
  <c r="G170" i="5"/>
  <c r="F154" i="5"/>
  <c r="I69" i="5"/>
  <c r="H104" i="5"/>
  <c r="I126" i="5"/>
  <c r="F98" i="5"/>
  <c r="F69" i="5"/>
  <c r="J143" i="5"/>
  <c r="G148" i="5"/>
  <c r="I166" i="5"/>
  <c r="J178" i="5"/>
  <c r="H133" i="5"/>
  <c r="F119" i="5"/>
  <c r="F192" i="5"/>
  <c r="F75" i="5"/>
  <c r="J157" i="5"/>
  <c r="J102" i="5"/>
  <c r="I187" i="5"/>
  <c r="J132" i="5"/>
  <c r="E166" i="5"/>
  <c r="F139" i="5"/>
  <c r="G79" i="5"/>
  <c r="E190" i="5"/>
  <c r="F84" i="5"/>
  <c r="I75" i="5"/>
  <c r="H71" i="5"/>
  <c r="I181" i="5"/>
  <c r="F195" i="5"/>
  <c r="E86" i="5"/>
  <c r="G165" i="5"/>
  <c r="E197" i="5"/>
  <c r="H171" i="5"/>
  <c r="F136" i="5"/>
  <c r="F184" i="5"/>
  <c r="I158" i="5"/>
  <c r="E89" i="5"/>
  <c r="I135" i="5"/>
  <c r="H123" i="5"/>
  <c r="F103" i="5"/>
  <c r="E177" i="5"/>
  <c r="F156" i="5"/>
  <c r="E67" i="5"/>
  <c r="E163" i="5"/>
  <c r="J104" i="5"/>
  <c r="G138" i="5"/>
  <c r="H131" i="5"/>
  <c r="J177" i="5"/>
  <c r="G199" i="5"/>
  <c r="F166" i="5"/>
  <c r="F80" i="5"/>
  <c r="I103" i="5"/>
  <c r="G126" i="5"/>
  <c r="H153" i="5"/>
  <c r="I186" i="5"/>
  <c r="H172" i="5"/>
  <c r="G67" i="5"/>
  <c r="F114" i="5"/>
  <c r="I102" i="5"/>
  <c r="I99" i="5"/>
  <c r="I156" i="5"/>
  <c r="F99" i="5"/>
  <c r="I92" i="5"/>
  <c r="J156" i="5"/>
  <c r="G161" i="5"/>
  <c r="F131" i="5"/>
  <c r="H201" i="5"/>
  <c r="F144" i="5"/>
  <c r="J190" i="5"/>
  <c r="E115" i="5"/>
  <c r="J118" i="5"/>
  <c r="I143" i="5"/>
  <c r="H139" i="5"/>
  <c r="E68" i="5"/>
  <c r="H74" i="5"/>
  <c r="J169" i="5"/>
  <c r="G164" i="5"/>
  <c r="H189" i="5"/>
  <c r="F143" i="5"/>
  <c r="G200" i="5"/>
  <c r="H66" i="5"/>
  <c r="I145" i="5"/>
  <c r="I146" i="5"/>
  <c r="J70" i="5"/>
  <c r="G72" i="5"/>
  <c r="G182" i="5"/>
  <c r="F91" i="5"/>
  <c r="E188" i="5"/>
  <c r="J113" i="5"/>
  <c r="G189" i="5"/>
  <c r="F186" i="5"/>
  <c r="I199" i="5"/>
  <c r="H89" i="5"/>
  <c r="E140" i="5"/>
  <c r="H134" i="5"/>
  <c r="I182" i="5"/>
  <c r="G156" i="5"/>
  <c r="I108" i="5"/>
  <c r="J115" i="5"/>
  <c r="G103" i="5"/>
  <c r="J53" i="5"/>
  <c r="H91" i="5"/>
  <c r="H117" i="5"/>
  <c r="E155" i="5"/>
  <c r="E122" i="5"/>
  <c r="H178" i="5"/>
  <c r="E123" i="5"/>
  <c r="J154" i="5"/>
  <c r="F106" i="5"/>
  <c r="J171" i="5"/>
  <c r="F158" i="5"/>
  <c r="J120" i="5"/>
  <c r="I120" i="5"/>
  <c r="J121" i="5"/>
  <c r="E93" i="5"/>
  <c r="J140" i="5"/>
  <c r="F121" i="5"/>
  <c r="E121" i="5"/>
  <c r="J114" i="5"/>
  <c r="H199" i="5"/>
  <c r="F160" i="5"/>
  <c r="J165" i="5"/>
  <c r="H83" i="5"/>
  <c r="G68" i="5"/>
  <c r="I195" i="5"/>
  <c r="F97" i="5"/>
  <c r="H105" i="5"/>
  <c r="H198" i="5"/>
  <c r="G184" i="5"/>
  <c r="I70" i="5"/>
  <c r="J172" i="5"/>
  <c r="E134" i="5"/>
  <c r="E183" i="5"/>
  <c r="F182" i="5"/>
  <c r="G178" i="5"/>
  <c r="G141" i="5"/>
  <c r="J136" i="5"/>
  <c r="I91" i="5"/>
  <c r="J135" i="5"/>
  <c r="H175" i="5"/>
  <c r="E105" i="5"/>
  <c r="J108" i="5"/>
  <c r="J57" i="5"/>
  <c r="I139" i="5"/>
  <c r="E196" i="5"/>
  <c r="F71" i="5"/>
  <c r="I117" i="5"/>
  <c r="J100" i="5"/>
  <c r="F196" i="5"/>
  <c r="G104" i="5"/>
  <c r="I142" i="5"/>
  <c r="G169" i="5"/>
  <c r="H157" i="5"/>
  <c r="F81" i="5"/>
  <c r="I196" i="5"/>
  <c r="I80" i="5"/>
  <c r="J145" i="5"/>
  <c r="H162" i="5"/>
  <c r="H118" i="5"/>
  <c r="J196" i="5"/>
  <c r="E168" i="5"/>
  <c r="H85" i="5"/>
  <c r="F134" i="5"/>
  <c r="I160" i="5"/>
  <c r="F157" i="5"/>
  <c r="I125" i="5"/>
  <c r="E103" i="5"/>
  <c r="J159" i="5"/>
  <c r="H183" i="5"/>
  <c r="G66" i="5"/>
  <c r="G130" i="5"/>
  <c r="F93" i="5"/>
  <c r="F87" i="5"/>
  <c r="G174" i="5"/>
  <c r="G113" i="5"/>
  <c r="I98" i="5"/>
  <c r="J129" i="5"/>
  <c r="E114" i="5"/>
  <c r="E118" i="5"/>
  <c r="H65" i="5"/>
  <c r="F145" i="5"/>
  <c r="G160" i="5"/>
  <c r="F152" i="5"/>
  <c r="J197" i="5"/>
  <c r="F169" i="5"/>
  <c r="J166" i="5"/>
  <c r="E194" i="5"/>
  <c r="J80" i="5"/>
  <c r="E145" i="5"/>
  <c r="I82" i="5"/>
  <c r="J122" i="5"/>
  <c r="I200" i="5"/>
  <c r="G157" i="5"/>
  <c r="H136" i="5"/>
  <c r="G87" i="5"/>
  <c r="I123" i="5"/>
  <c r="H124" i="5"/>
  <c r="I201" i="5"/>
  <c r="J62" i="5"/>
  <c r="I171" i="5"/>
  <c r="E91" i="5"/>
  <c r="E102" i="5"/>
  <c r="E133" i="5"/>
  <c r="G191" i="5"/>
  <c r="H193" i="5"/>
  <c r="H176" i="5"/>
  <c r="I172" i="5"/>
  <c r="E170" i="5"/>
  <c r="J167" i="5"/>
  <c r="E85" i="5"/>
  <c r="J71" i="5"/>
  <c r="G93" i="5"/>
  <c r="E152" i="5"/>
  <c r="I83" i="5"/>
  <c r="G171" i="5"/>
  <c r="E139" i="5"/>
  <c r="H132" i="5"/>
  <c r="G99" i="5"/>
  <c r="H179" i="5"/>
  <c r="E191" i="5"/>
  <c r="E129" i="5"/>
  <c r="G77" i="5"/>
  <c r="G143" i="5"/>
  <c r="E130" i="5"/>
  <c r="F201" i="5"/>
  <c r="E84" i="5"/>
  <c r="G119" i="5"/>
  <c r="E117" i="5"/>
  <c r="I179" i="5"/>
  <c r="H121" i="5"/>
  <c r="F126" i="5"/>
  <c r="F200" i="5"/>
  <c r="E96" i="5"/>
  <c r="F74" i="5"/>
  <c r="E149" i="5"/>
  <c r="H82" i="5"/>
  <c r="H180" i="5"/>
  <c r="F177" i="5"/>
  <c r="F175" i="5"/>
  <c r="E150" i="5"/>
  <c r="H159" i="5"/>
  <c r="I154" i="5"/>
  <c r="G187" i="5"/>
  <c r="J164" i="5"/>
  <c r="G176" i="5"/>
  <c r="G78" i="5"/>
  <c r="H81" i="5"/>
  <c r="J93" i="5"/>
  <c r="J87" i="5"/>
  <c r="I71" i="5"/>
  <c r="I194" i="5"/>
  <c r="E200" i="5"/>
  <c r="G115" i="5"/>
  <c r="F164" i="5"/>
  <c r="H68" i="5"/>
  <c r="G153" i="5"/>
  <c r="J103" i="5"/>
  <c r="F82" i="5"/>
  <c r="I119" i="5"/>
  <c r="E146" i="5"/>
  <c r="H98" i="5"/>
  <c r="E107" i="5"/>
  <c r="G193" i="5"/>
  <c r="J125" i="5"/>
  <c r="G111" i="5"/>
  <c r="E81" i="5"/>
  <c r="J142" i="5"/>
  <c r="I76" i="5"/>
  <c r="G168" i="5"/>
  <c r="E178" i="5"/>
  <c r="H128" i="5"/>
  <c r="J193" i="5"/>
  <c r="F70" i="5"/>
  <c r="F108" i="5"/>
  <c r="H76" i="5"/>
  <c r="H119" i="5"/>
  <c r="I168" i="5"/>
  <c r="I113" i="5"/>
  <c r="J106" i="5"/>
  <c r="I81" i="5"/>
  <c r="I178" i="5"/>
  <c r="E108" i="5"/>
  <c r="E151" i="5"/>
  <c r="I95" i="5"/>
  <c r="E198" i="5"/>
  <c r="F90" i="5"/>
  <c r="H122" i="5"/>
  <c r="E70" i="5"/>
  <c r="I133" i="5"/>
  <c r="E138" i="5"/>
  <c r="F151" i="5"/>
  <c r="J91" i="5"/>
  <c r="G125" i="5"/>
  <c r="J63" i="5"/>
  <c r="I183" i="5"/>
  <c r="H163" i="5"/>
  <c r="F88" i="5"/>
  <c r="G70" i="5"/>
  <c r="J152" i="5"/>
  <c r="E175" i="5"/>
  <c r="J173" i="5"/>
  <c r="I131" i="5"/>
  <c r="E162" i="5"/>
  <c r="H144" i="5"/>
  <c r="I150" i="5"/>
  <c r="I72" i="5"/>
  <c r="F94" i="5"/>
  <c r="H148" i="5"/>
  <c r="F95" i="5"/>
  <c r="G201" i="5"/>
  <c r="I138" i="5"/>
  <c r="F185" i="5"/>
  <c r="G181" i="5"/>
  <c r="J123" i="5"/>
  <c r="F127" i="5"/>
  <c r="H69" i="5"/>
  <c r="G144" i="5"/>
  <c r="G98" i="5"/>
  <c r="F115" i="5"/>
  <c r="G186" i="5"/>
  <c r="J137" i="5"/>
  <c r="I78" i="5"/>
  <c r="F194" i="5"/>
  <c r="E119" i="5"/>
  <c r="G116" i="5"/>
  <c r="F170" i="5"/>
  <c r="H141" i="5"/>
  <c r="H108" i="5"/>
  <c r="G159" i="5"/>
  <c r="E127" i="5"/>
  <c r="J163" i="5"/>
  <c r="G150" i="5"/>
  <c r="F128" i="5"/>
  <c r="G65" i="5"/>
  <c r="J61" i="5"/>
  <c r="I88" i="5"/>
  <c r="F78" i="5"/>
  <c r="E169" i="5"/>
  <c r="I104" i="5"/>
  <c r="H67" i="5"/>
  <c r="H146" i="5"/>
  <c r="I110" i="5"/>
  <c r="E120" i="5"/>
  <c r="J88" i="5"/>
  <c r="I93" i="5"/>
  <c r="H80" i="5"/>
  <c r="F83" i="5"/>
  <c r="I100" i="5"/>
  <c r="G100" i="5"/>
  <c r="G158" i="5"/>
  <c r="G109" i="5"/>
  <c r="H106" i="5"/>
  <c r="I68" i="5"/>
  <c r="I97" i="5"/>
  <c r="G91" i="5"/>
  <c r="H120" i="5"/>
  <c r="E195" i="5"/>
  <c r="E147" i="5"/>
  <c r="F96" i="5"/>
  <c r="I165" i="5"/>
  <c r="H72" i="5"/>
  <c r="J68" i="5"/>
  <c r="G90" i="5"/>
  <c r="J75" i="5"/>
  <c r="G75" i="5"/>
  <c r="I162" i="5"/>
  <c r="E82" i="5"/>
  <c r="H165" i="5"/>
  <c r="I152" i="5"/>
  <c r="E78" i="5"/>
  <c r="E179" i="5"/>
  <c r="J168" i="5"/>
  <c r="H111" i="5"/>
  <c r="F163" i="5"/>
  <c r="I185" i="5"/>
  <c r="E125" i="5"/>
  <c r="G194" i="5"/>
  <c r="G192" i="5"/>
  <c r="E144" i="5"/>
  <c r="F181" i="5"/>
  <c r="E79" i="5"/>
  <c r="I134" i="5"/>
  <c r="H149" i="5"/>
  <c r="E186" i="5"/>
  <c r="E72" i="5"/>
  <c r="H95" i="5"/>
  <c r="E182" i="5"/>
  <c r="G81" i="5"/>
  <c r="F167" i="5"/>
  <c r="H70" i="5"/>
  <c r="F140" i="5"/>
  <c r="H125" i="5"/>
  <c r="I155" i="5"/>
  <c r="I137" i="5"/>
  <c r="E192" i="5"/>
  <c r="I127" i="5"/>
  <c r="J119" i="5"/>
  <c r="F149" i="5"/>
  <c r="I66" i="5"/>
  <c r="F101" i="5"/>
  <c r="I147" i="5"/>
  <c r="E71" i="5"/>
  <c r="J141" i="5"/>
  <c r="E171" i="5"/>
  <c r="I163" i="5"/>
  <c r="H84" i="5"/>
  <c r="F129" i="5"/>
  <c r="G134" i="5"/>
  <c r="J86" i="5"/>
  <c r="J109" i="5"/>
  <c r="F148" i="5"/>
  <c r="E66" i="5"/>
  <c r="F110" i="5"/>
  <c r="J170" i="5"/>
  <c r="J198" i="5"/>
  <c r="G188" i="5"/>
  <c r="H150" i="5"/>
  <c r="H169" i="5"/>
  <c r="H88" i="5"/>
  <c r="J189" i="5"/>
  <c r="J83" i="5"/>
  <c r="H78" i="5"/>
  <c r="G140" i="5"/>
  <c r="J67" i="5"/>
  <c r="E167" i="5"/>
  <c r="I132" i="5"/>
  <c r="I159" i="5"/>
  <c r="H112" i="5"/>
  <c r="H174" i="5"/>
  <c r="E87" i="5"/>
  <c r="J82" i="5"/>
  <c r="F188" i="5"/>
  <c r="G146" i="5"/>
  <c r="J92" i="5"/>
  <c r="G80" i="5"/>
  <c r="I141" i="5"/>
  <c r="G137" i="5"/>
  <c r="J73" i="5"/>
  <c r="G112" i="5"/>
  <c r="E159" i="5"/>
  <c r="I87" i="5"/>
  <c r="I175" i="5"/>
  <c r="H161" i="5"/>
  <c r="F77" i="5"/>
  <c r="H181" i="5"/>
  <c r="F138" i="5"/>
  <c r="F67" i="5"/>
  <c r="E83" i="5"/>
  <c r="H156" i="5"/>
  <c r="H188" i="5"/>
  <c r="J79" i="5"/>
  <c r="F165" i="5"/>
  <c r="H160" i="5"/>
  <c r="H79" i="5"/>
  <c r="G96" i="5"/>
  <c r="H154" i="5"/>
  <c r="H182" i="5"/>
  <c r="I115" i="5"/>
  <c r="G85" i="5"/>
  <c r="J105" i="5"/>
  <c r="I109" i="5"/>
  <c r="I77" i="5"/>
  <c r="F183" i="5"/>
  <c r="H200" i="5"/>
  <c r="F159" i="5"/>
  <c r="E184" i="5"/>
  <c r="I151" i="5"/>
  <c r="J162" i="5"/>
  <c r="I124" i="5"/>
  <c r="E99" i="5"/>
  <c r="J194" i="5"/>
  <c r="G180" i="5"/>
  <c r="J195" i="5"/>
  <c r="E164" i="5"/>
  <c r="H110" i="5"/>
  <c r="G84" i="5"/>
  <c r="E173" i="5"/>
  <c r="G162" i="5"/>
  <c r="J64" i="5"/>
  <c r="H142" i="5"/>
  <c r="F161" i="5"/>
  <c r="G155" i="5"/>
  <c r="J60" i="5"/>
  <c r="J127" i="5"/>
  <c r="E113" i="5"/>
  <c r="I198" i="5"/>
  <c r="G83" i="5"/>
  <c r="F197" i="5"/>
  <c r="I101" i="5"/>
  <c r="E69" i="5"/>
  <c r="I85" i="5"/>
  <c r="J90" i="5"/>
  <c r="G136" i="5"/>
  <c r="G190" i="5"/>
  <c r="F118" i="5"/>
  <c r="G163" i="5"/>
  <c r="F122" i="5"/>
  <c r="J107" i="5"/>
  <c r="G102" i="5"/>
  <c r="I144" i="5"/>
  <c r="J180" i="5"/>
  <c r="G132" i="5"/>
  <c r="I65" i="5"/>
  <c r="F193" i="5"/>
  <c r="F162" i="5"/>
  <c r="G71" i="5"/>
  <c r="E109" i="5"/>
  <c r="G120" i="5"/>
  <c r="E104" i="5"/>
  <c r="H158" i="5"/>
  <c r="E90" i="5"/>
  <c r="F178" i="5"/>
  <c r="F130" i="5"/>
  <c r="G94" i="5"/>
  <c r="J72" i="5"/>
  <c r="H166" i="5"/>
  <c r="I192" i="5"/>
  <c r="J199" i="5"/>
  <c r="I86" i="5"/>
  <c r="H140" i="5"/>
  <c r="E176" i="5"/>
  <c r="I73" i="5"/>
  <c r="I128" i="5"/>
  <c r="J94" i="5"/>
  <c r="G128" i="5"/>
  <c r="H185" i="5"/>
  <c r="J149" i="5"/>
  <c r="F111" i="5"/>
  <c r="F146" i="5"/>
  <c r="E189" i="5"/>
  <c r="H164" i="5"/>
  <c r="G196" i="5"/>
  <c r="J111" i="5"/>
  <c r="G69" i="5"/>
  <c r="J76" i="5"/>
  <c r="G175" i="5"/>
  <c r="J139" i="5"/>
  <c r="F132" i="5"/>
  <c r="F180" i="5"/>
  <c r="H194" i="5"/>
  <c r="E180" i="5"/>
  <c r="F79" i="5"/>
  <c r="J150" i="5"/>
  <c r="I79" i="5"/>
  <c r="H114" i="5"/>
  <c r="I130" i="5"/>
  <c r="E161" i="5"/>
  <c r="J200" i="5"/>
  <c r="J116" i="5"/>
  <c r="F142" i="5"/>
  <c r="H167" i="5"/>
  <c r="G142" i="5"/>
  <c r="G166" i="5"/>
  <c r="G108" i="5"/>
  <c r="J58" i="5"/>
  <c r="E201" i="5"/>
  <c r="F100" i="5"/>
  <c r="G154" i="5"/>
  <c r="G151" i="5"/>
  <c r="E73" i="5"/>
  <c r="I184" i="5"/>
  <c r="I170" i="5"/>
  <c r="G121" i="5"/>
  <c r="F117" i="5"/>
  <c r="H177" i="5"/>
  <c r="G101" i="5"/>
  <c r="J78" i="5"/>
  <c r="H170" i="5"/>
  <c r="F173" i="5"/>
  <c r="F187" i="5"/>
  <c r="E128" i="5"/>
  <c r="F190" i="5"/>
  <c r="E137" i="5"/>
  <c r="E92" i="5"/>
  <c r="J124" i="5"/>
  <c r="G118" i="5"/>
  <c r="G89" i="5"/>
  <c r="H97" i="5"/>
  <c r="J97" i="5"/>
  <c r="I149" i="5"/>
  <c r="G147" i="5"/>
  <c r="J186" i="5"/>
  <c r="F141" i="5"/>
  <c r="I89" i="5"/>
  <c r="G183" i="5"/>
  <c r="G135" i="5"/>
  <c r="H195" i="5"/>
  <c r="H135" i="5"/>
  <c r="J96" i="5"/>
  <c r="E143" i="5"/>
  <c r="F104" i="5"/>
  <c r="J81" i="5"/>
  <c r="J131" i="5"/>
  <c r="I112" i="5"/>
  <c r="G129" i="5"/>
  <c r="F113" i="5"/>
  <c r="H100" i="5"/>
  <c r="G106" i="5"/>
  <c r="I90" i="5"/>
  <c r="I67" i="5"/>
  <c r="F135" i="5"/>
  <c r="I121" i="5"/>
  <c r="F123" i="5"/>
  <c r="E193" i="5"/>
  <c r="E153" i="5"/>
  <c r="J66" i="5"/>
  <c r="J188" i="5"/>
  <c r="I174" i="5"/>
  <c r="J52" i="5"/>
  <c r="J151" i="5"/>
  <c r="H186" i="5"/>
  <c r="I74" i="5"/>
  <c r="H191" i="5"/>
  <c r="J161" i="5"/>
  <c r="E135" i="5"/>
  <c r="J147" i="5"/>
  <c r="J128" i="5"/>
  <c r="G122" i="5"/>
  <c r="E95" i="5"/>
  <c r="I161" i="5"/>
  <c r="G117" i="5"/>
  <c r="G107" i="5"/>
  <c r="H168" i="5"/>
  <c r="I167" i="5"/>
  <c r="I157" i="5"/>
  <c r="J65" i="5"/>
  <c r="I190" i="5"/>
  <c r="J133" i="5"/>
  <c r="J144" i="5"/>
  <c r="I189" i="5"/>
  <c r="H196" i="5"/>
  <c r="G124" i="5"/>
  <c r="J89" i="5"/>
  <c r="E187" i="5"/>
  <c r="E165" i="5"/>
  <c r="E148" i="5"/>
  <c r="F155" i="5"/>
  <c r="E101" i="5"/>
  <c r="E112" i="5"/>
  <c r="E126" i="5"/>
  <c r="F172" i="5"/>
  <c r="E132" i="5"/>
  <c r="H143" i="5"/>
  <c r="H103" i="5"/>
  <c r="G195" i="5"/>
  <c r="G74" i="5"/>
  <c r="I188" i="5"/>
  <c r="E158" i="5"/>
  <c r="G139" i="5"/>
  <c r="J77" i="5"/>
  <c r="G123" i="5"/>
  <c r="J191" i="5"/>
  <c r="G97" i="5"/>
  <c r="E75" i="5"/>
  <c r="J187" i="5"/>
  <c r="H173" i="5"/>
  <c r="H101" i="5"/>
  <c r="F112" i="5"/>
  <c r="G110" i="5"/>
  <c r="J192" i="5"/>
  <c r="J56" i="5"/>
  <c r="E124" i="5"/>
  <c r="G88" i="5"/>
  <c r="E181" i="5"/>
  <c r="G73" i="5"/>
  <c r="I122" i="5"/>
  <c r="J181" i="5"/>
  <c r="I118" i="5"/>
  <c r="I114" i="5"/>
  <c r="G197" i="5"/>
  <c r="F199" i="5"/>
  <c r="F124" i="5"/>
  <c r="J85" i="5"/>
  <c r="F147" i="5"/>
  <c r="I84" i="5"/>
  <c r="E142" i="5"/>
  <c r="F89" i="5"/>
  <c r="H137" i="5"/>
  <c r="G172" i="5"/>
  <c r="H96" i="5"/>
  <c r="J101" i="5"/>
  <c r="F107" i="5"/>
  <c r="H126" i="5"/>
  <c r="E185" i="5"/>
  <c r="J153" i="5"/>
  <c r="H130" i="5"/>
  <c r="G179" i="5"/>
  <c r="F105" i="5"/>
  <c r="I177" i="5"/>
  <c r="F179" i="5"/>
  <c r="H90" i="5"/>
  <c r="E65" i="5"/>
  <c r="F102" i="5"/>
  <c r="E157" i="5"/>
  <c r="F85" i="5"/>
  <c r="I94" i="5"/>
  <c r="G149" i="5"/>
  <c r="F137" i="5"/>
  <c r="F171" i="5"/>
  <c r="F133" i="5"/>
  <c r="G127" i="5"/>
  <c r="E199" i="5"/>
  <c r="G173" i="5"/>
  <c r="H107" i="5"/>
  <c r="G185" i="5"/>
  <c r="J130" i="5"/>
  <c r="G76" i="5"/>
  <c r="J201" i="5"/>
  <c r="I107" i="5"/>
  <c r="J110" i="5"/>
  <c r="E76" i="5"/>
  <c r="F73" i="5"/>
  <c r="H99" i="5"/>
  <c r="E156" i="5"/>
  <c r="H147" i="5"/>
  <c r="J99" i="5"/>
  <c r="G86" i="5"/>
  <c r="F65" i="5"/>
  <c r="J184" i="5"/>
  <c r="I116" i="5"/>
  <c r="J138" i="5"/>
  <c r="J174" i="5"/>
  <c r="J146" i="5"/>
  <c r="F116" i="5"/>
  <c r="J59" i="5"/>
  <c r="J176" i="5"/>
  <c r="F150" i="5"/>
  <c r="H93" i="5"/>
  <c r="H127" i="5"/>
  <c r="J126" i="5"/>
  <c r="G177" i="5"/>
  <c r="H151" i="5"/>
  <c r="I176" i="5"/>
  <c r="I140" i="5"/>
  <c r="J160" i="5"/>
  <c r="J175" i="5"/>
  <c r="F92" i="5"/>
  <c r="E116" i="5"/>
  <c r="J55" i="5"/>
  <c r="I148" i="5"/>
  <c r="J158" i="5"/>
  <c r="I111" i="5"/>
  <c r="J112" i="5"/>
  <c r="I105" i="5"/>
  <c r="J38" i="5"/>
  <c r="J45" i="5"/>
  <c r="J27" i="5"/>
  <c r="J4" i="5"/>
  <c r="J7" i="5"/>
  <c r="J19" i="5"/>
  <c r="J6" i="5"/>
  <c r="J36" i="5"/>
  <c r="J48" i="5"/>
  <c r="J33" i="5"/>
  <c r="J49" i="5"/>
  <c r="J39" i="5"/>
  <c r="J34" i="5"/>
  <c r="J14" i="5"/>
  <c r="J37" i="5"/>
  <c r="J9" i="5"/>
  <c r="J24" i="5"/>
  <c r="J23" i="5"/>
  <c r="J13" i="5"/>
  <c r="J15" i="5"/>
  <c r="J16" i="5"/>
  <c r="J8" i="5"/>
  <c r="J43" i="5"/>
  <c r="J25" i="5"/>
  <c r="J41" i="5"/>
  <c r="J29" i="5"/>
  <c r="J30" i="5"/>
  <c r="J18" i="5"/>
  <c r="J28" i="5"/>
  <c r="J20" i="5"/>
  <c r="J12" i="5"/>
  <c r="J35" i="5"/>
  <c r="J31" i="5"/>
  <c r="J21" i="5"/>
  <c r="J40" i="5"/>
  <c r="J5" i="5"/>
  <c r="J50" i="5"/>
  <c r="J32" i="5"/>
  <c r="J22" i="5"/>
  <c r="J46" i="5"/>
  <c r="J44" i="5"/>
  <c r="J17" i="5"/>
  <c r="J10" i="5"/>
  <c r="J47" i="5"/>
  <c r="J3" i="5"/>
  <c r="J2" i="5"/>
  <c r="J26" i="5"/>
  <c r="J51" i="5"/>
  <c r="J42" i="5"/>
  <c r="J11" i="5"/>
  <c r="HH33" i="2"/>
  <c r="HI32" i="2"/>
  <c r="HB32" i="2"/>
  <c r="HH32" i="2"/>
  <c r="HI33" i="2"/>
  <c r="HB33" i="2"/>
  <c r="HE33" i="2"/>
  <c r="AK13" i="2"/>
  <c r="AK43" i="2"/>
  <c r="AK42" i="2"/>
  <c r="AK39" i="2"/>
  <c r="AK41" i="2"/>
  <c r="AK40" i="2"/>
  <c r="AK38" i="2"/>
  <c r="AK35" i="2"/>
  <c r="AK34" i="2"/>
  <c r="AK36" i="2"/>
  <c r="AK31" i="2"/>
  <c r="AK29" i="2"/>
  <c r="AK28" i="2"/>
  <c r="AK22" i="2"/>
  <c r="AK23" i="2"/>
  <c r="AK17" i="2"/>
  <c r="AK20" i="2"/>
  <c r="AK15" i="2"/>
  <c r="AK12" i="2"/>
  <c r="AK4" i="2"/>
  <c r="AK6" i="2"/>
  <c r="AK7" i="2"/>
  <c r="AK3" i="2"/>
  <c r="AK14" i="2"/>
  <c r="AK5" i="2"/>
  <c r="AK33" i="2"/>
  <c r="AK32" i="2"/>
  <c r="AK30" i="2"/>
  <c r="AK27" i="2"/>
  <c r="AK26" i="2"/>
  <c r="AK19" i="2"/>
  <c r="AK21" i="2"/>
  <c r="AK24" i="2"/>
  <c r="AK18" i="2"/>
  <c r="AK10" i="2"/>
  <c r="AK11" i="2"/>
  <c r="AK8" i="2"/>
  <c r="AK9" i="2"/>
  <c r="AK16" i="2"/>
  <c r="K61" i="9"/>
  <c r="K62" i="9"/>
  <c r="K55" i="9"/>
  <c r="K43" i="9"/>
  <c r="K50" i="9"/>
  <c r="K45" i="9"/>
  <c r="K33" i="9"/>
  <c r="K34" i="9"/>
  <c r="K37" i="9"/>
  <c r="K38" i="9"/>
  <c r="K27" i="9"/>
  <c r="K54" i="9"/>
  <c r="K65" i="9"/>
  <c r="K66" i="9"/>
  <c r="K59" i="9"/>
  <c r="K31" i="9"/>
  <c r="K26" i="9"/>
  <c r="K28" i="9"/>
  <c r="K48" i="9"/>
  <c r="K47" i="9"/>
  <c r="K49" i="9"/>
  <c r="K46" i="9"/>
  <c r="K40" i="9"/>
  <c r="K35" i="9"/>
  <c r="K60" i="9"/>
  <c r="K56" i="9"/>
  <c r="K52" i="9"/>
  <c r="K63" i="9"/>
  <c r="K32" i="9"/>
  <c r="K41" i="9"/>
  <c r="K36" i="9"/>
  <c r="K42" i="9"/>
  <c r="K29" i="9"/>
  <c r="K39" i="9"/>
  <c r="K44" i="9"/>
  <c r="K64" i="9"/>
  <c r="K57" i="9"/>
  <c r="K58" i="9"/>
  <c r="K53" i="9"/>
  <c r="K30" i="9"/>
  <c r="K51" i="9"/>
  <c r="I56" i="9"/>
  <c r="H61" i="9"/>
  <c r="J56" i="9"/>
  <c r="J55" i="9"/>
  <c r="I57" i="9"/>
  <c r="J64" i="9"/>
  <c r="H52" i="9"/>
  <c r="J52" i="9"/>
  <c r="J57" i="9"/>
  <c r="I66" i="9"/>
  <c r="J58" i="9"/>
  <c r="G56" i="9"/>
  <c r="I65" i="9"/>
  <c r="H54" i="9"/>
  <c r="J61" i="9"/>
  <c r="J62" i="9"/>
  <c r="G57" i="9"/>
  <c r="I52" i="9"/>
  <c r="H57" i="9"/>
  <c r="I58" i="9"/>
  <c r="J65" i="9"/>
  <c r="G55" i="9"/>
  <c r="G66" i="9"/>
  <c r="H64" i="9"/>
  <c r="I62" i="9"/>
  <c r="J53" i="9"/>
  <c r="H63" i="9"/>
  <c r="G59" i="9"/>
  <c r="G60" i="9"/>
  <c r="G58" i="9"/>
  <c r="H66" i="9"/>
  <c r="G63" i="9"/>
  <c r="G64" i="9"/>
  <c r="J60" i="9"/>
  <c r="H53" i="9"/>
  <c r="I59" i="9"/>
  <c r="J66" i="9"/>
  <c r="J59" i="9"/>
  <c r="I55" i="9"/>
  <c r="H60" i="9"/>
  <c r="J54" i="9"/>
  <c r="G53" i="9"/>
  <c r="I63" i="9"/>
  <c r="J63" i="9"/>
  <c r="I61" i="9"/>
  <c r="I54" i="9"/>
  <c r="H59" i="9"/>
  <c r="H62" i="9"/>
  <c r="G54" i="9"/>
  <c r="G62" i="9"/>
  <c r="J33" i="9"/>
  <c r="J51" i="9"/>
  <c r="G27" i="9"/>
  <c r="I44" i="9"/>
  <c r="J32" i="9"/>
  <c r="J39" i="9"/>
  <c r="H38" i="9"/>
  <c r="I35" i="9"/>
  <c r="H51" i="9"/>
  <c r="G33" i="9"/>
  <c r="J45" i="9"/>
  <c r="G44" i="9"/>
  <c r="H34" i="9"/>
  <c r="G47" i="9"/>
  <c r="G49" i="9"/>
  <c r="G26" i="9"/>
  <c r="J31" i="9"/>
  <c r="J50" i="9"/>
  <c r="J37" i="9"/>
  <c r="J27" i="9"/>
  <c r="G35" i="9"/>
  <c r="I36" i="9"/>
  <c r="H32" i="9"/>
  <c r="J28" i="9"/>
  <c r="G32" i="9"/>
  <c r="G37" i="9"/>
  <c r="I49" i="9"/>
  <c r="G48" i="9"/>
  <c r="H50" i="9"/>
  <c r="G42" i="9"/>
  <c r="H35" i="9"/>
  <c r="I41" i="9"/>
  <c r="I51" i="9"/>
  <c r="G43" i="9"/>
  <c r="H33" i="9"/>
  <c r="H28" i="9"/>
  <c r="H45" i="9"/>
  <c r="H43" i="9"/>
  <c r="I28" i="9"/>
  <c r="G34" i="9"/>
  <c r="G39" i="9"/>
  <c r="I40" i="9"/>
  <c r="J46" i="9"/>
  <c r="G29" i="9"/>
  <c r="J44" i="9"/>
  <c r="I38" i="9"/>
  <c r="G46" i="9"/>
  <c r="I45" i="9"/>
  <c r="I42" i="9"/>
  <c r="J48" i="9"/>
  <c r="I34" i="9"/>
  <c r="H40" i="9"/>
  <c r="H37" i="9"/>
  <c r="I33" i="9"/>
  <c r="G45" i="9"/>
  <c r="G50" i="9"/>
  <c r="J34" i="9"/>
  <c r="G51" i="9"/>
  <c r="H65" i="9"/>
  <c r="G52" i="9"/>
  <c r="G61" i="9"/>
  <c r="H56" i="9"/>
  <c r="G65" i="9"/>
  <c r="H55" i="9"/>
  <c r="I60" i="9"/>
  <c r="I53" i="9"/>
  <c r="H58" i="9"/>
  <c r="I64" i="9"/>
  <c r="J43" i="9"/>
  <c r="G28" i="9"/>
  <c r="J36" i="9"/>
  <c r="H36" i="9"/>
  <c r="J38" i="9"/>
  <c r="H49" i="9"/>
  <c r="J29" i="9"/>
  <c r="I32" i="9"/>
  <c r="J47" i="9"/>
  <c r="H46" i="9"/>
  <c r="I39" i="9"/>
  <c r="I47" i="9"/>
  <c r="J30" i="9"/>
  <c r="H39" i="9"/>
  <c r="H31" i="9"/>
  <c r="H42" i="9"/>
  <c r="J42" i="9"/>
  <c r="G41" i="9"/>
  <c r="I27" i="9"/>
  <c r="I46" i="9"/>
  <c r="I50" i="9"/>
  <c r="H44" i="9"/>
  <c r="I30" i="9"/>
  <c r="I43" i="9"/>
  <c r="G36" i="9"/>
  <c r="G40" i="9"/>
  <c r="H41" i="9"/>
  <c r="G31" i="9"/>
  <c r="G38" i="9"/>
  <c r="H30" i="9"/>
  <c r="I48" i="9"/>
  <c r="J49" i="9"/>
  <c r="I37" i="9"/>
  <c r="I31" i="9"/>
  <c r="I29" i="9"/>
  <c r="G30" i="9"/>
  <c r="H48" i="9"/>
  <c r="H27" i="9"/>
  <c r="J35" i="9"/>
  <c r="J41" i="9"/>
  <c r="H29" i="9"/>
  <c r="J40" i="9"/>
  <c r="H47" i="9"/>
  <c r="I26" i="9"/>
  <c r="H26" i="9"/>
  <c r="J26" i="9"/>
  <c r="AK2" i="2"/>
  <c r="F2" i="5"/>
  <c r="K18" i="9"/>
  <c r="K21" i="9"/>
  <c r="H25" i="9"/>
  <c r="G22" i="9"/>
  <c r="G23" i="9"/>
  <c r="G19" i="9"/>
  <c r="I20" i="9"/>
  <c r="G20" i="9"/>
  <c r="J24" i="9"/>
  <c r="J18" i="9"/>
  <c r="I2" i="9"/>
  <c r="K4" i="9"/>
  <c r="J14" i="9"/>
  <c r="K12" i="9"/>
  <c r="H15" i="9"/>
  <c r="G17" i="9"/>
  <c r="K5" i="9"/>
  <c r="H5" i="9"/>
  <c r="J5" i="9"/>
  <c r="J11" i="9"/>
  <c r="J15" i="9"/>
  <c r="I10" i="9"/>
  <c r="G2" i="9"/>
  <c r="I4" i="9"/>
  <c r="I8" i="9"/>
  <c r="H10" i="9"/>
  <c r="K10" i="9"/>
  <c r="J13" i="9"/>
  <c r="K14" i="9"/>
  <c r="I17" i="9"/>
  <c r="K20" i="9"/>
  <c r="K25" i="9"/>
  <c r="I22" i="9"/>
  <c r="H19" i="9"/>
  <c r="I24" i="9"/>
  <c r="H24" i="9"/>
  <c r="J21" i="9"/>
  <c r="H23" i="9"/>
  <c r="G24" i="9"/>
  <c r="H18" i="9"/>
  <c r="K17" i="9"/>
  <c r="G10" i="9"/>
  <c r="H6" i="9"/>
  <c r="H7" i="9"/>
  <c r="G12" i="9"/>
  <c r="I16" i="9"/>
  <c r="J16" i="9"/>
  <c r="J12" i="9"/>
  <c r="K13" i="9"/>
  <c r="H9" i="9"/>
  <c r="H13" i="9"/>
  <c r="K2" i="9"/>
  <c r="G4" i="9"/>
  <c r="G7" i="9"/>
  <c r="J4" i="9"/>
  <c r="I3" i="9"/>
  <c r="G8" i="9"/>
  <c r="H4" i="9"/>
  <c r="K23" i="9"/>
  <c r="K24" i="9"/>
  <c r="I21" i="9"/>
  <c r="J25" i="9"/>
  <c r="G25" i="9"/>
  <c r="I25" i="9"/>
  <c r="I19" i="9"/>
  <c r="G18" i="9"/>
  <c r="H22" i="9"/>
  <c r="I18" i="9"/>
  <c r="J17" i="9"/>
  <c r="H14" i="9"/>
  <c r="G5" i="9"/>
  <c r="G6" i="9"/>
  <c r="I13" i="9"/>
  <c r="K16" i="9"/>
  <c r="H16" i="9"/>
  <c r="I9" i="9"/>
  <c r="G14" i="9"/>
  <c r="K11" i="9"/>
  <c r="K7" i="9"/>
  <c r="G3" i="9"/>
  <c r="J8" i="9"/>
  <c r="J10" i="9"/>
  <c r="K9" i="9"/>
  <c r="J3" i="9"/>
  <c r="I6" i="9"/>
  <c r="I7" i="9"/>
  <c r="G13" i="9"/>
  <c r="K22" i="9"/>
  <c r="K19" i="9"/>
  <c r="H21" i="9"/>
  <c r="J22" i="9"/>
  <c r="J23" i="9"/>
  <c r="H20" i="9"/>
  <c r="G21" i="9"/>
  <c r="J19" i="9"/>
  <c r="J20" i="9"/>
  <c r="I23" i="9"/>
  <c r="H17" i="9"/>
  <c r="J7" i="9"/>
  <c r="J9" i="9"/>
  <c r="H11" i="9"/>
  <c r="I5" i="9"/>
  <c r="G15" i="9"/>
  <c r="J2" i="9"/>
  <c r="I11" i="9"/>
  <c r="I12" i="9"/>
  <c r="H2" i="9"/>
  <c r="I15" i="9"/>
  <c r="K6" i="9"/>
  <c r="K8" i="9"/>
  <c r="K3" i="9"/>
  <c r="J6" i="9"/>
  <c r="I14" i="9"/>
  <c r="G9" i="9"/>
  <c r="H3" i="9"/>
  <c r="G11" i="9"/>
  <c r="K15" i="9"/>
  <c r="H8" i="9"/>
  <c r="H12" i="9"/>
  <c r="G16" i="9"/>
  <c r="HB34" i="2"/>
  <c r="HE34" i="2"/>
  <c r="HH34" i="2"/>
  <c r="HI34" i="2"/>
  <c r="HE35" i="2"/>
  <c r="F53" i="5"/>
  <c r="F57" i="5"/>
  <c r="G52" i="5"/>
  <c r="I55" i="5"/>
  <c r="F62" i="5"/>
  <c r="I60" i="5"/>
  <c r="H57" i="5"/>
  <c r="F58" i="5"/>
  <c r="E60" i="5"/>
  <c r="E62" i="5"/>
  <c r="I62" i="5"/>
  <c r="H61" i="5"/>
  <c r="E58" i="5"/>
  <c r="E54" i="5"/>
  <c r="G45" i="5"/>
  <c r="H40" i="5"/>
  <c r="E38" i="5"/>
  <c r="H41" i="5"/>
  <c r="E49" i="5"/>
  <c r="I42" i="5"/>
  <c r="E26" i="5"/>
  <c r="F40" i="5"/>
  <c r="I50" i="5"/>
  <c r="F24" i="5"/>
  <c r="E45" i="5"/>
  <c r="F51" i="5"/>
  <c r="E34" i="5"/>
  <c r="F34" i="5"/>
  <c r="G50" i="5"/>
  <c r="E25" i="5"/>
  <c r="E46" i="5"/>
  <c r="F36" i="5"/>
  <c r="F46" i="5"/>
  <c r="F27" i="5"/>
  <c r="G25" i="5"/>
  <c r="G34" i="5"/>
  <c r="I43" i="5"/>
  <c r="F42" i="5"/>
  <c r="E41" i="5"/>
  <c r="H46" i="5"/>
  <c r="H45" i="5"/>
  <c r="E36" i="5"/>
  <c r="F50" i="5"/>
  <c r="I26" i="5"/>
  <c r="H48" i="5"/>
  <c r="G40" i="5"/>
  <c r="I44" i="5"/>
  <c r="G21" i="5"/>
  <c r="F10" i="5"/>
  <c r="E18" i="5"/>
  <c r="H8" i="5"/>
  <c r="I22" i="5"/>
  <c r="G22" i="5"/>
  <c r="H17" i="5"/>
  <c r="F23" i="5"/>
  <c r="E8" i="5"/>
  <c r="H16" i="5"/>
  <c r="H19" i="5"/>
  <c r="G19" i="5"/>
  <c r="F20" i="5"/>
  <c r="G4" i="5"/>
  <c r="E9" i="5"/>
  <c r="G8" i="5"/>
  <c r="G3" i="5"/>
  <c r="H5" i="5"/>
  <c r="F4" i="5"/>
  <c r="F11" i="5"/>
  <c r="F7" i="5"/>
  <c r="E10" i="5"/>
  <c r="F16" i="5"/>
  <c r="F3" i="5"/>
  <c r="I12" i="5"/>
  <c r="I5" i="5"/>
  <c r="I11" i="5"/>
  <c r="G48" i="5"/>
  <c r="H39" i="5"/>
  <c r="F26" i="5"/>
  <c r="E30" i="5"/>
  <c r="I31" i="5"/>
  <c r="G38" i="5"/>
  <c r="I36" i="5"/>
  <c r="H31" i="5"/>
  <c r="I24" i="5"/>
  <c r="I41" i="5"/>
  <c r="G47" i="5"/>
  <c r="F30" i="5"/>
  <c r="H27" i="5"/>
  <c r="I35" i="5"/>
  <c r="I25" i="5"/>
  <c r="H56" i="5"/>
  <c r="F61" i="5"/>
  <c r="G63" i="5"/>
  <c r="E57" i="5"/>
  <c r="G59" i="5"/>
  <c r="E64" i="5"/>
  <c r="G62" i="5"/>
  <c r="I52" i="5"/>
  <c r="G64" i="5"/>
  <c r="I54" i="5"/>
  <c r="E63" i="5"/>
  <c r="E55" i="5"/>
  <c r="F52" i="5"/>
  <c r="G42" i="5"/>
  <c r="G31" i="5"/>
  <c r="E24" i="5"/>
  <c r="I38" i="5"/>
  <c r="E51" i="5"/>
  <c r="H36" i="5"/>
  <c r="F49" i="5"/>
  <c r="F32" i="5"/>
  <c r="H25" i="5"/>
  <c r="G32" i="5"/>
  <c r="E32" i="5"/>
  <c r="H28" i="5"/>
  <c r="H33" i="5"/>
  <c r="G26" i="5"/>
  <c r="F35" i="5"/>
  <c r="G37" i="5"/>
  <c r="E43" i="5"/>
  <c r="G49" i="5"/>
  <c r="H44" i="5"/>
  <c r="E31" i="5"/>
  <c r="E44" i="5"/>
  <c r="H29" i="5"/>
  <c r="G28" i="5"/>
  <c r="I28" i="5"/>
  <c r="I32" i="5"/>
  <c r="E28" i="5"/>
  <c r="H34" i="5"/>
  <c r="E22" i="5"/>
  <c r="G6" i="5"/>
  <c r="F15" i="5"/>
  <c r="F9" i="5"/>
  <c r="G20" i="5"/>
  <c r="E4" i="5"/>
  <c r="F19" i="5"/>
  <c r="E16" i="5"/>
  <c r="G7" i="5"/>
  <c r="H10" i="5"/>
  <c r="I8" i="5"/>
  <c r="I2" i="5"/>
  <c r="E12" i="5"/>
  <c r="H12" i="5"/>
  <c r="H20" i="5"/>
  <c r="E7" i="5"/>
  <c r="G10" i="5"/>
  <c r="G12" i="5"/>
  <c r="G18" i="5"/>
  <c r="F18" i="5"/>
  <c r="I6" i="5"/>
  <c r="F6" i="5"/>
  <c r="G13" i="5"/>
  <c r="G9" i="5"/>
  <c r="I10" i="5"/>
  <c r="H6" i="5"/>
  <c r="F39" i="5"/>
  <c r="E50" i="5"/>
  <c r="F33" i="5"/>
  <c r="F56" i="5"/>
  <c r="E59" i="5"/>
  <c r="I57" i="5"/>
  <c r="H58" i="5"/>
  <c r="H53" i="5"/>
  <c r="E53" i="5"/>
  <c r="G60" i="5"/>
  <c r="F60" i="5"/>
  <c r="H64" i="5"/>
  <c r="G56" i="5"/>
  <c r="I56" i="5"/>
  <c r="F54" i="5"/>
  <c r="I63" i="5"/>
  <c r="G55" i="5"/>
  <c r="I53" i="5"/>
  <c r="G61" i="5"/>
  <c r="F59" i="5"/>
  <c r="H62" i="5"/>
  <c r="I59" i="5"/>
  <c r="H60" i="5"/>
  <c r="E52" i="5"/>
  <c r="E56" i="5"/>
  <c r="I30" i="5"/>
  <c r="H35" i="5"/>
  <c r="H26" i="5"/>
  <c r="F29" i="5"/>
  <c r="I37" i="5"/>
  <c r="F28" i="5"/>
  <c r="H50" i="5"/>
  <c r="E29" i="5"/>
  <c r="I29" i="5"/>
  <c r="I34" i="5"/>
  <c r="E42" i="5"/>
  <c r="F45" i="5"/>
  <c r="G30" i="5"/>
  <c r="H47" i="5"/>
  <c r="I27" i="5"/>
  <c r="F48" i="5"/>
  <c r="G29" i="5"/>
  <c r="H32" i="5"/>
  <c r="F43" i="5"/>
  <c r="I51" i="5"/>
  <c r="E47" i="5"/>
  <c r="G24" i="5"/>
  <c r="G35" i="5"/>
  <c r="G46" i="5"/>
  <c r="G27" i="5"/>
  <c r="I46" i="5"/>
  <c r="E39" i="5"/>
  <c r="I64" i="5"/>
  <c r="F64" i="5"/>
  <c r="G58" i="5"/>
  <c r="G54" i="5"/>
  <c r="G53" i="5"/>
  <c r="F63" i="5"/>
  <c r="G57" i="5"/>
  <c r="H63" i="5"/>
  <c r="E61" i="5"/>
  <c r="H52" i="5"/>
  <c r="H55" i="5"/>
  <c r="H59" i="5"/>
  <c r="I61" i="5"/>
  <c r="F55" i="5"/>
  <c r="I58" i="5"/>
  <c r="H54" i="5"/>
  <c r="E48" i="5"/>
  <c r="H51" i="5"/>
  <c r="H18" i="5"/>
  <c r="I47" i="5"/>
  <c r="E35" i="5"/>
  <c r="F44" i="5"/>
  <c r="E33" i="5"/>
  <c r="I48" i="5"/>
  <c r="H42" i="5"/>
  <c r="I40" i="5"/>
  <c r="E37" i="5"/>
  <c r="F31" i="5"/>
  <c r="F25" i="5"/>
  <c r="I49" i="5"/>
  <c r="G43" i="5"/>
  <c r="G33" i="5"/>
  <c r="H49" i="5"/>
  <c r="F37" i="5"/>
  <c r="F38" i="5"/>
  <c r="I39" i="5"/>
  <c r="I45" i="5"/>
  <c r="F47" i="5"/>
  <c r="F41" i="5"/>
  <c r="G44" i="5"/>
  <c r="I33" i="5"/>
  <c r="H38" i="5"/>
  <c r="H24" i="5"/>
  <c r="H37" i="5"/>
  <c r="H43" i="5"/>
  <c r="E27" i="5"/>
  <c r="E40" i="5"/>
  <c r="G41" i="5"/>
  <c r="G39" i="5"/>
  <c r="H30" i="5"/>
  <c r="G36" i="5"/>
  <c r="I18" i="5"/>
  <c r="E21" i="5"/>
  <c r="I15" i="5"/>
  <c r="F17" i="5"/>
  <c r="E3" i="5"/>
  <c r="H4" i="5"/>
  <c r="F5" i="5"/>
  <c r="H21" i="5"/>
  <c r="I13" i="5"/>
  <c r="F8" i="5"/>
  <c r="I9" i="5"/>
  <c r="F12" i="5"/>
  <c r="G16" i="5"/>
  <c r="E23" i="5"/>
  <c r="I7" i="5"/>
  <c r="H2" i="5"/>
  <c r="G14" i="5"/>
  <c r="I4" i="5"/>
  <c r="E20" i="5"/>
  <c r="F13" i="5"/>
  <c r="F14" i="5"/>
  <c r="I17" i="5"/>
  <c r="I19" i="5"/>
  <c r="H7" i="5"/>
  <c r="H3" i="5"/>
  <c r="E2" i="5"/>
  <c r="E19" i="5"/>
  <c r="H9" i="5"/>
  <c r="G51" i="5"/>
  <c r="G23" i="5"/>
  <c r="G2" i="5"/>
  <c r="F21" i="5"/>
  <c r="G15" i="5"/>
  <c r="E17" i="5"/>
  <c r="I21" i="5"/>
  <c r="I3" i="5"/>
  <c r="E13" i="5"/>
  <c r="I16" i="5"/>
  <c r="H14" i="5"/>
  <c r="I14" i="5"/>
  <c r="G17" i="5"/>
  <c r="I23" i="5"/>
  <c r="H11" i="5"/>
  <c r="G11" i="5"/>
  <c r="F22" i="5"/>
  <c r="H15" i="5"/>
  <c r="E14" i="5"/>
  <c r="E15" i="5"/>
  <c r="E6" i="5"/>
  <c r="H23" i="5"/>
  <c r="H13" i="5"/>
  <c r="G5" i="5"/>
  <c r="H22" i="5"/>
  <c r="E5" i="5"/>
  <c r="E11" i="5"/>
  <c r="I20" i="5"/>
  <c r="HB35" i="2"/>
  <c r="HI35" i="2"/>
  <c r="HH35" i="2"/>
  <c r="HE36" i="2"/>
  <c r="HH36" i="2"/>
  <c r="HI36" i="2"/>
  <c r="HB36" i="2"/>
  <c r="HE37" i="2"/>
  <c r="HB37" i="2"/>
  <c r="HI37" i="2"/>
  <c r="HH37" i="2"/>
  <c r="HE38" i="2"/>
  <c r="HI38" i="2"/>
  <c r="HB38" i="2"/>
  <c r="HH38" i="2"/>
  <c r="HE39" i="2"/>
  <c r="HH39" i="2"/>
  <c r="HB39" i="2"/>
  <c r="HI39" i="2"/>
  <c r="HE40" i="2"/>
  <c r="HI40" i="2"/>
  <c r="HH40" i="2"/>
  <c r="HB40" i="2"/>
  <c r="HE41" i="2"/>
  <c r="HB41" i="2"/>
  <c r="HH41" i="2"/>
  <c r="HI41" i="2"/>
  <c r="L30" i="8"/>
  <c r="L31" i="8"/>
  <c r="CB13" i="2"/>
  <c r="CB14" i="2"/>
  <c r="CB12" i="2"/>
  <c r="CB16" i="2"/>
  <c r="B22" i="5"/>
  <c r="L33" i="8"/>
  <c r="B23" i="5"/>
  <c r="B24" i="5"/>
  <c r="CB11" i="2"/>
  <c r="CU12" i="2"/>
  <c r="CU14" i="2"/>
  <c r="CU20" i="2"/>
  <c r="CU7" i="2"/>
  <c r="CU15" i="2"/>
  <c r="CU6" i="2"/>
  <c r="CU24" i="2"/>
  <c r="CU22" i="2"/>
  <c r="CU21" i="2"/>
  <c r="CU4" i="2"/>
  <c r="B20" i="5"/>
  <c r="BB7" i="2"/>
  <c r="B17" i="5"/>
  <c r="BB4" i="2"/>
  <c r="CU23" i="2"/>
  <c r="B19" i="5"/>
  <c r="BB6" i="2"/>
  <c r="CU5" i="2"/>
  <c r="B18" i="5"/>
  <c r="CU13" i="2"/>
  <c r="GH5" i="2"/>
  <c r="GH3" i="2"/>
  <c r="HE2" i="2"/>
  <c r="FW11" i="2"/>
  <c r="FW6" i="2"/>
  <c r="FW2" i="2"/>
  <c r="GH4" i="2"/>
  <c r="FW9" i="2"/>
  <c r="FW3" i="2"/>
  <c r="FW8" i="2"/>
  <c r="FW5" i="2"/>
  <c r="FW7" i="2"/>
  <c r="FW13" i="2"/>
  <c r="FW12" i="2"/>
  <c r="FW4" i="2"/>
  <c r="FW10" i="2"/>
  <c r="GH8" i="2"/>
  <c r="GH7" i="2"/>
  <c r="BB5" i="2"/>
  <c r="GH21" i="2"/>
</calcChain>
</file>

<file path=xl/sharedStrings.xml><?xml version="1.0" encoding="utf-8"?>
<sst xmlns="http://schemas.openxmlformats.org/spreadsheetml/2006/main" count="860" uniqueCount="344">
  <si>
    <t>#</t>
  </si>
  <si>
    <t>Add 0,5</t>
  </si>
  <si>
    <t>OddsRatio</t>
  </si>
  <si>
    <t>LogOddsRatio</t>
  </si>
  <si>
    <t>Weight</t>
  </si>
  <si>
    <t>Heterogeneity</t>
  </si>
  <si>
    <t>Q</t>
  </si>
  <si>
    <t>T</t>
  </si>
  <si>
    <t>Z-value</t>
  </si>
  <si>
    <t>One-tailed p-value</t>
  </si>
  <si>
    <t>Two-tailed p-value</t>
  </si>
  <si>
    <t>Yes</t>
  </si>
  <si>
    <t>Risk Ratio</t>
  </si>
  <si>
    <t>Odds Ratio</t>
  </si>
  <si>
    <t>Inverse variance</t>
  </si>
  <si>
    <t>Mantel-Haenszel</t>
  </si>
  <si>
    <t>Peto</t>
  </si>
  <si>
    <t>Combined effect size</t>
  </si>
  <si>
    <t>CI Lower limit</t>
  </si>
  <si>
    <t>CI Upper limit</t>
  </si>
  <si>
    <t>PI Lower limit</t>
  </si>
  <si>
    <t>PI Upper limit</t>
  </si>
  <si>
    <t>Study name</t>
  </si>
  <si>
    <t>Confidence level</t>
  </si>
  <si>
    <t>Group 1</t>
  </si>
  <si>
    <t>Group 2</t>
  </si>
  <si>
    <t>Number of incl. subjects</t>
  </si>
  <si>
    <t>Number of incl. studies</t>
  </si>
  <si>
    <r>
      <t>SE</t>
    </r>
    <r>
      <rPr>
        <b/>
        <vertAlign val="subscript"/>
        <sz val="9"/>
        <rFont val="Calibri"/>
        <family val="2"/>
        <scheme val="minor"/>
      </rPr>
      <t>LogOddsRatio</t>
    </r>
  </si>
  <si>
    <r>
      <t>I</t>
    </r>
    <r>
      <rPr>
        <vertAlign val="superscript"/>
        <sz val="9"/>
        <rFont val="Calibri"/>
        <family val="2"/>
        <scheme val="minor"/>
      </rPr>
      <t>2</t>
    </r>
  </si>
  <si>
    <r>
      <t>T</t>
    </r>
    <r>
      <rPr>
        <vertAlign val="superscript"/>
        <sz val="9"/>
        <rFont val="Calibri"/>
        <family val="2"/>
        <scheme val="minor"/>
      </rPr>
      <t>2</t>
    </r>
  </si>
  <si>
    <r>
      <t>ln(Combined Effect Size)</t>
    </r>
    <r>
      <rPr>
        <vertAlign val="subscript"/>
        <sz val="9"/>
        <rFont val="Calibri"/>
        <family val="2"/>
        <scheme val="minor"/>
      </rPr>
      <t>OddsRatio</t>
    </r>
  </si>
  <si>
    <r>
      <t>Combined Effect Size</t>
    </r>
    <r>
      <rPr>
        <vertAlign val="subscript"/>
        <sz val="9"/>
        <rFont val="Calibri"/>
        <family val="2"/>
        <scheme val="minor"/>
      </rPr>
      <t>OddsRatio</t>
    </r>
  </si>
  <si>
    <r>
      <t>CI</t>
    </r>
    <r>
      <rPr>
        <vertAlign val="subscript"/>
        <sz val="9"/>
        <rFont val="Calibri"/>
        <family val="2"/>
        <scheme val="minor"/>
      </rPr>
      <t>CES</t>
    </r>
    <r>
      <rPr>
        <sz val="9"/>
        <rFont val="Calibri"/>
        <family val="2"/>
        <scheme val="minor"/>
      </rPr>
      <t xml:space="preserve"> LL</t>
    </r>
  </si>
  <si>
    <r>
      <t>CI</t>
    </r>
    <r>
      <rPr>
        <vertAlign val="subscript"/>
        <sz val="9"/>
        <rFont val="Calibri"/>
        <family val="2"/>
        <scheme val="minor"/>
      </rPr>
      <t>CES</t>
    </r>
    <r>
      <rPr>
        <sz val="9"/>
        <rFont val="Calibri"/>
        <family val="2"/>
        <scheme val="minor"/>
      </rPr>
      <t xml:space="preserve"> UL</t>
    </r>
  </si>
  <si>
    <r>
      <t>PI</t>
    </r>
    <r>
      <rPr>
        <vertAlign val="subscript"/>
        <sz val="9"/>
        <rFont val="Calibri"/>
        <family val="2"/>
        <scheme val="minor"/>
      </rPr>
      <t>CES</t>
    </r>
    <r>
      <rPr>
        <sz val="9"/>
        <rFont val="Calibri"/>
        <family val="2"/>
        <scheme val="minor"/>
      </rPr>
      <t xml:space="preserve"> LL</t>
    </r>
  </si>
  <si>
    <r>
      <t>PI</t>
    </r>
    <r>
      <rPr>
        <vertAlign val="subscript"/>
        <sz val="9"/>
        <rFont val="Calibri"/>
        <family val="2"/>
        <scheme val="minor"/>
      </rPr>
      <t>CES</t>
    </r>
    <r>
      <rPr>
        <sz val="9"/>
        <rFont val="Calibri"/>
        <family val="2"/>
        <scheme val="minor"/>
      </rPr>
      <t xml:space="preserve"> UL</t>
    </r>
  </si>
  <si>
    <r>
      <t>Var</t>
    </r>
    <r>
      <rPr>
        <vertAlign val="subscript"/>
        <sz val="9"/>
        <rFont val="Calibri"/>
        <family val="2"/>
        <scheme val="minor"/>
      </rPr>
      <t>ln(CES)</t>
    </r>
  </si>
  <si>
    <r>
      <t>SE</t>
    </r>
    <r>
      <rPr>
        <vertAlign val="subscript"/>
        <sz val="9"/>
        <rFont val="Calibri"/>
        <family val="2"/>
        <scheme val="minor"/>
      </rPr>
      <t>ln(CES)</t>
    </r>
  </si>
  <si>
    <r>
      <t>CI</t>
    </r>
    <r>
      <rPr>
        <vertAlign val="subscript"/>
        <sz val="9"/>
        <rFont val="Calibri"/>
        <family val="2"/>
        <scheme val="minor"/>
      </rPr>
      <t>ln(CES)</t>
    </r>
    <r>
      <rPr>
        <sz val="9"/>
        <rFont val="Calibri"/>
        <family val="2"/>
        <scheme val="minor"/>
      </rPr>
      <t xml:space="preserve"> LL</t>
    </r>
  </si>
  <si>
    <r>
      <t>CI</t>
    </r>
    <r>
      <rPr>
        <vertAlign val="subscript"/>
        <sz val="9"/>
        <rFont val="Calibri"/>
        <family val="2"/>
        <scheme val="minor"/>
      </rPr>
      <t>ln(CES)</t>
    </r>
    <r>
      <rPr>
        <sz val="9"/>
        <rFont val="Calibri"/>
        <family val="2"/>
        <scheme val="minor"/>
      </rPr>
      <t xml:space="preserve"> UL</t>
    </r>
  </si>
  <si>
    <r>
      <t>PI</t>
    </r>
    <r>
      <rPr>
        <vertAlign val="subscript"/>
        <sz val="9"/>
        <rFont val="Calibri"/>
        <family val="2"/>
        <scheme val="minor"/>
      </rPr>
      <t>ln(CES)</t>
    </r>
    <r>
      <rPr>
        <sz val="9"/>
        <rFont val="Calibri"/>
        <family val="2"/>
        <scheme val="minor"/>
      </rPr>
      <t xml:space="preserve"> LL</t>
    </r>
  </si>
  <si>
    <r>
      <t>PI</t>
    </r>
    <r>
      <rPr>
        <vertAlign val="subscript"/>
        <sz val="9"/>
        <rFont val="Calibri"/>
        <family val="2"/>
        <scheme val="minor"/>
      </rPr>
      <t>ln(CES)</t>
    </r>
    <r>
      <rPr>
        <sz val="9"/>
        <rFont val="Calibri"/>
        <family val="2"/>
        <scheme val="minor"/>
      </rPr>
      <t xml:space="preserve"> UL</t>
    </r>
  </si>
  <si>
    <t>CI LL</t>
  </si>
  <si>
    <t>CI UL</t>
  </si>
  <si>
    <t>PI LL</t>
  </si>
  <si>
    <t>PI UL</t>
  </si>
  <si>
    <t>CES</t>
  </si>
  <si>
    <r>
      <t>p</t>
    </r>
    <r>
      <rPr>
        <vertAlign val="subscript"/>
        <sz val="9"/>
        <rFont val="Calibri"/>
        <family val="2"/>
        <scheme val="minor"/>
      </rPr>
      <t>Q</t>
    </r>
  </si>
  <si>
    <t>Sort by</t>
  </si>
  <si>
    <t>Order</t>
  </si>
  <si>
    <t>Ascending</t>
  </si>
  <si>
    <t>Risk Difference</t>
  </si>
  <si>
    <t>a</t>
  </si>
  <si>
    <t>b</t>
  </si>
  <si>
    <t>c</t>
  </si>
  <si>
    <t>d</t>
  </si>
  <si>
    <t>PetoOddsRatio</t>
  </si>
  <si>
    <t>LogPetoOddsRatio</t>
  </si>
  <si>
    <r>
      <t>ln(Combined Effect Size)</t>
    </r>
    <r>
      <rPr>
        <vertAlign val="subscript"/>
        <sz val="9"/>
        <rFont val="Calibri"/>
        <family val="2"/>
        <scheme val="minor"/>
      </rPr>
      <t>PetoOddsRatio</t>
    </r>
  </si>
  <si>
    <r>
      <t>Combined Effect Size</t>
    </r>
    <r>
      <rPr>
        <vertAlign val="subscript"/>
        <sz val="9"/>
        <rFont val="Calibri"/>
        <family val="2"/>
        <scheme val="minor"/>
      </rPr>
      <t>PetoOddsRatio</t>
    </r>
  </si>
  <si>
    <r>
      <t>Var</t>
    </r>
    <r>
      <rPr>
        <b/>
        <vertAlign val="subscript"/>
        <sz val="9"/>
        <rFont val="Calibri"/>
        <family val="2"/>
        <scheme val="minor"/>
      </rPr>
      <t>LogPetoOddsRatio</t>
    </r>
  </si>
  <si>
    <r>
      <t>SE</t>
    </r>
    <r>
      <rPr>
        <b/>
        <vertAlign val="subscript"/>
        <sz val="9"/>
        <rFont val="Calibri"/>
        <family val="2"/>
        <scheme val="minor"/>
      </rPr>
      <t>LogPetoOddsRatio</t>
    </r>
  </si>
  <si>
    <t>Expected</t>
  </si>
  <si>
    <r>
      <t>Var</t>
    </r>
    <r>
      <rPr>
        <b/>
        <vertAlign val="subscript"/>
        <sz val="9"/>
        <rFont val="Calibri"/>
        <family val="2"/>
        <scheme val="minor"/>
      </rPr>
      <t>Expected</t>
    </r>
  </si>
  <si>
    <t>Entry number</t>
  </si>
  <si>
    <t>Group 1 risk</t>
  </si>
  <si>
    <t>Group 2 risk</t>
  </si>
  <si>
    <t>x</t>
  </si>
  <si>
    <t>y</t>
  </si>
  <si>
    <t>Weighted squared residual</t>
  </si>
  <si>
    <r>
      <t>CI LL</t>
    </r>
    <r>
      <rPr>
        <b/>
        <vertAlign val="subscript"/>
        <sz val="9"/>
        <rFont val="Calibri"/>
        <family val="2"/>
        <scheme val="minor"/>
      </rPr>
      <t>RiskDifference</t>
    </r>
  </si>
  <si>
    <r>
      <t>CI LL</t>
    </r>
    <r>
      <rPr>
        <b/>
        <vertAlign val="subscript"/>
        <sz val="9"/>
        <rFont val="Calibri"/>
        <family val="2"/>
        <scheme val="minor"/>
      </rPr>
      <t>OddsRatio</t>
    </r>
  </si>
  <si>
    <r>
      <t>CI UL</t>
    </r>
    <r>
      <rPr>
        <b/>
        <vertAlign val="subscript"/>
        <sz val="9"/>
        <rFont val="Calibri"/>
        <family val="2"/>
        <scheme val="minor"/>
      </rPr>
      <t>OddsRatio</t>
    </r>
  </si>
  <si>
    <r>
      <t>CI UL</t>
    </r>
    <r>
      <rPr>
        <b/>
        <vertAlign val="subscript"/>
        <sz val="9"/>
        <rFont val="Calibri"/>
        <family val="2"/>
        <scheme val="minor"/>
      </rPr>
      <t>RiskDifference</t>
    </r>
  </si>
  <si>
    <r>
      <t>SE</t>
    </r>
    <r>
      <rPr>
        <b/>
        <vertAlign val="subscript"/>
        <sz val="9"/>
        <rFont val="Calibri"/>
        <family val="2"/>
        <scheme val="minor"/>
      </rPr>
      <t>LogRiskRatio</t>
    </r>
  </si>
  <si>
    <r>
      <t>CI LL</t>
    </r>
    <r>
      <rPr>
        <b/>
        <vertAlign val="subscript"/>
        <sz val="9"/>
        <rFont val="Calibri"/>
        <family val="2"/>
        <scheme val="minor"/>
      </rPr>
      <t>RiskRatio</t>
    </r>
  </si>
  <si>
    <r>
      <t>CI UL</t>
    </r>
    <r>
      <rPr>
        <b/>
        <vertAlign val="subscript"/>
        <sz val="9"/>
        <rFont val="Calibri"/>
        <family val="2"/>
        <scheme val="minor"/>
      </rPr>
      <t>RiskRatio</t>
    </r>
  </si>
  <si>
    <r>
      <t>SERisk</t>
    </r>
    <r>
      <rPr>
        <b/>
        <vertAlign val="subscript"/>
        <sz val="9"/>
        <rFont val="Calibri"/>
        <family val="2"/>
        <scheme val="minor"/>
      </rPr>
      <t>Difference</t>
    </r>
  </si>
  <si>
    <r>
      <t>CI LL</t>
    </r>
    <r>
      <rPr>
        <b/>
        <vertAlign val="subscript"/>
        <sz val="9"/>
        <rFont val="Calibri"/>
        <family val="2"/>
        <scheme val="minor"/>
      </rPr>
      <t>PetoOddsRatio</t>
    </r>
  </si>
  <si>
    <r>
      <t>CI UL</t>
    </r>
    <r>
      <rPr>
        <b/>
        <vertAlign val="subscript"/>
        <sz val="9"/>
        <rFont val="Calibri"/>
        <family val="2"/>
        <scheme val="minor"/>
      </rPr>
      <t>PetoOddsRatio</t>
    </r>
  </si>
  <si>
    <t>Effect sizes</t>
  </si>
  <si>
    <t>Peto weighting method</t>
  </si>
  <si>
    <t>Mantel-Heansel weighting method</t>
  </si>
  <si>
    <t>Inverse variance weighting method</t>
  </si>
  <si>
    <t>Conversion to other effect size measures</t>
  </si>
  <si>
    <t>Control group risk</t>
  </si>
  <si>
    <t>Output#</t>
  </si>
  <si>
    <t>Rank Fill and Trim plot 1st</t>
  </si>
  <si>
    <t>Rank Fill and Trim plot 2nd</t>
  </si>
  <si>
    <t>Rank Fill and Trim plot 3rd</t>
  </si>
  <si>
    <t>Total number of subjects</t>
  </si>
  <si>
    <t>Weightf</t>
  </si>
  <si>
    <t>Standard error</t>
  </si>
  <si>
    <t>Forest Plot</t>
  </si>
  <si>
    <t>CI Bar LL</t>
  </si>
  <si>
    <t>CI Bar UL</t>
  </si>
  <si>
    <t>CES forest plot</t>
  </si>
  <si>
    <t>Size of bubble</t>
  </si>
  <si>
    <t>CI Bar width LL</t>
  </si>
  <si>
    <t>PI Bar width UL</t>
  </si>
  <si>
    <t>PI Bar width LL</t>
  </si>
  <si>
    <t>CI Bar width UL</t>
  </si>
  <si>
    <t>Subgroup analysis</t>
  </si>
  <si>
    <t>Display # studies</t>
  </si>
  <si>
    <t>Subgroup</t>
  </si>
  <si>
    <t>Weight within subgroup</t>
  </si>
  <si>
    <t>Weight % within subgroup</t>
  </si>
  <si>
    <t>Moderator</t>
  </si>
  <si>
    <t>Display #</t>
  </si>
  <si>
    <t>Studies in the subgroup</t>
  </si>
  <si>
    <r>
      <t>p</t>
    </r>
    <r>
      <rPr>
        <b/>
        <vertAlign val="subscript"/>
        <sz val="9"/>
        <rFont val="Calibri"/>
        <family val="2"/>
        <scheme val="minor"/>
      </rPr>
      <t>Q</t>
    </r>
  </si>
  <si>
    <r>
      <t>I</t>
    </r>
    <r>
      <rPr>
        <b/>
        <vertAlign val="superscript"/>
        <sz val="9"/>
        <rFont val="Calibri"/>
        <family val="2"/>
        <scheme val="minor"/>
      </rPr>
      <t>2</t>
    </r>
  </si>
  <si>
    <t>C</t>
  </si>
  <si>
    <r>
      <t>T</t>
    </r>
    <r>
      <rPr>
        <b/>
        <vertAlign val="superscript"/>
        <sz val="9"/>
        <rFont val="Calibri"/>
        <family val="2"/>
        <scheme val="minor"/>
      </rPr>
      <t>2</t>
    </r>
  </si>
  <si>
    <t>N</t>
  </si>
  <si>
    <t>Weight % between subgroups</t>
  </si>
  <si>
    <t>Weighted sum of squares</t>
  </si>
  <si>
    <t>Study name / Subgroup name</t>
  </si>
  <si>
    <r>
      <t>R</t>
    </r>
    <r>
      <rPr>
        <vertAlign val="superscript"/>
        <sz val="9"/>
        <rFont val="Calibri"/>
        <family val="2"/>
        <scheme val="minor"/>
      </rPr>
      <t>2</t>
    </r>
  </si>
  <si>
    <t>CI bar width LL</t>
  </si>
  <si>
    <t>CI bar width UL</t>
  </si>
  <si>
    <t>PI bar width LL</t>
  </si>
  <si>
    <t>PI bar width UL</t>
  </si>
  <si>
    <t>Total heterogeneity</t>
  </si>
  <si>
    <t>CES subgroup plot</t>
  </si>
  <si>
    <t>Display # CES</t>
  </si>
  <si>
    <t>Size of buble</t>
  </si>
  <si>
    <t>Heterogeneity between subgroups (random)</t>
  </si>
  <si>
    <r>
      <t>Q</t>
    </r>
    <r>
      <rPr>
        <vertAlign val="subscript"/>
        <sz val="9"/>
        <rFont val="Calibri"/>
        <family val="2"/>
        <scheme val="minor"/>
      </rPr>
      <t>between</t>
    </r>
  </si>
  <si>
    <t>Standardized residual</t>
  </si>
  <si>
    <t>Inverse standard error</t>
  </si>
  <si>
    <t>Standardized residuals histogram</t>
  </si>
  <si>
    <t>Bin #</t>
  </si>
  <si>
    <t>Lower</t>
  </si>
  <si>
    <t>Upper</t>
  </si>
  <si>
    <t>Proportion</t>
  </si>
  <si>
    <t>Probability</t>
  </si>
  <si>
    <t>Bin width</t>
  </si>
  <si>
    <t>Max-Min</t>
  </si>
  <si>
    <t>L'Abbe Plot</t>
  </si>
  <si>
    <t>Gailbraith plot</t>
  </si>
  <si>
    <t>Z-score</t>
  </si>
  <si>
    <t>Regression estimate</t>
  </si>
  <si>
    <t>Slope</t>
  </si>
  <si>
    <t>Regression lines</t>
  </si>
  <si>
    <t>Middle</t>
  </si>
  <si>
    <t>Max</t>
  </si>
  <si>
    <t>Funnel plot</t>
  </si>
  <si>
    <t>SE</t>
  </si>
  <si>
    <t>CI Bar</t>
  </si>
  <si>
    <t>PI Bar</t>
  </si>
  <si>
    <t>Funnel lines</t>
  </si>
  <si>
    <t>Diagnoals</t>
  </si>
  <si>
    <t>Left</t>
  </si>
  <si>
    <t>Right</t>
  </si>
  <si>
    <t>Mid line</t>
  </si>
  <si>
    <t>Normal quantile plot</t>
  </si>
  <si>
    <t>Rank Z-score</t>
  </si>
  <si>
    <t>Line</t>
  </si>
  <si>
    <t>Horizontal</t>
  </si>
  <si>
    <t>Moderator-Weighted average moderator</t>
  </si>
  <si>
    <t>Regression line</t>
  </si>
  <si>
    <t>Weighted average moderator</t>
  </si>
  <si>
    <r>
      <t>Q</t>
    </r>
    <r>
      <rPr>
        <vertAlign val="subscript"/>
        <sz val="9"/>
        <rFont val="Calibri"/>
        <family val="2"/>
        <scheme val="minor"/>
      </rPr>
      <t>residual</t>
    </r>
  </si>
  <si>
    <r>
      <t>T</t>
    </r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(method of moments estimation)</t>
    </r>
  </si>
  <si>
    <t>B</t>
  </si>
  <si>
    <t>β</t>
  </si>
  <si>
    <t>p-value</t>
  </si>
  <si>
    <t>df</t>
  </si>
  <si>
    <t>Mean square</t>
  </si>
  <si>
    <t>F-Value</t>
  </si>
  <si>
    <t>Model</t>
  </si>
  <si>
    <t>Residual</t>
  </si>
  <si>
    <t>Total</t>
  </si>
  <si>
    <t>Trim and Fill Funnel plot</t>
  </si>
  <si>
    <t>Xi first</t>
  </si>
  <si>
    <t>|Xi| first</t>
  </si>
  <si>
    <t>Xi second</t>
  </si>
  <si>
    <t>|Xi| second</t>
  </si>
  <si>
    <t>Xi third</t>
  </si>
  <si>
    <t>|Xi| third</t>
  </si>
  <si>
    <t>Rank number</t>
  </si>
  <si>
    <t>Imputed Study #</t>
  </si>
  <si>
    <t>Failsafe N tests</t>
  </si>
  <si>
    <t>Missing studies</t>
  </si>
  <si>
    <t>Trim and Fill plot display</t>
  </si>
  <si>
    <t>CI Bar adjusted</t>
  </si>
  <si>
    <t>Overall Z-score</t>
  </si>
  <si>
    <t>Ad-hoc rule</t>
  </si>
  <si>
    <r>
      <t>Criterion value d</t>
    </r>
    <r>
      <rPr>
        <vertAlign val="subscript"/>
        <sz val="9"/>
        <rFont val="Calibri"/>
        <family val="2"/>
        <scheme val="minor"/>
      </rPr>
      <t>C</t>
    </r>
  </si>
  <si>
    <r>
      <t>Mean fail safe studies d</t>
    </r>
    <r>
      <rPr>
        <vertAlign val="subscript"/>
        <sz val="9"/>
        <rFont val="Calibri"/>
        <family val="2"/>
        <scheme val="minor"/>
      </rPr>
      <t>FS</t>
    </r>
  </si>
  <si>
    <r>
      <t>p</t>
    </r>
    <r>
      <rPr>
        <vertAlign val="subscript"/>
        <sz val="9"/>
        <rFont val="Calibri"/>
        <family val="2"/>
        <scheme val="minor"/>
      </rPr>
      <t>(Chi-square test)</t>
    </r>
  </si>
  <si>
    <t>Search from mean</t>
  </si>
  <si>
    <t>Estimator for missing studies</t>
  </si>
  <si>
    <t>Observed</t>
  </si>
  <si>
    <t>Adjusted</t>
  </si>
  <si>
    <t>Weight (fixed)</t>
  </si>
  <si>
    <t>Outcome 1</t>
  </si>
  <si>
    <t>Outcome 2</t>
  </si>
  <si>
    <t xml:space="preserve"> #</t>
  </si>
  <si>
    <t>Meta-analysis model</t>
  </si>
  <si>
    <t>Weight (random)</t>
  </si>
  <si>
    <t>Combined Effect Size</t>
  </si>
  <si>
    <t>Effect Size Measure</t>
  </si>
  <si>
    <t>Presentation</t>
  </si>
  <si>
    <t>PI Bar adjusted</t>
  </si>
  <si>
    <t>Funnel plot display</t>
  </si>
  <si>
    <t>Adjusted plot SE</t>
  </si>
  <si>
    <t>Plot SE</t>
  </si>
  <si>
    <t>Between subgroup weighting</t>
  </si>
  <si>
    <t>CI Lower Limit</t>
  </si>
  <si>
    <t>CI Upper Limit</t>
  </si>
  <si>
    <t>LogRiskRatio</t>
  </si>
  <si>
    <t>Weighting method</t>
  </si>
  <si>
    <t>SECES</t>
  </si>
  <si>
    <t>PI Lower Limit</t>
  </si>
  <si>
    <t>PI Upper Limit</t>
  </si>
  <si>
    <t>Effect Size -CES</t>
  </si>
  <si>
    <t>Within subgroup weighting</t>
  </si>
  <si>
    <t>Weight (f) * ( Effect Size - Intercept - Slope * Moderator)^2</t>
  </si>
  <si>
    <t>Intercept</t>
  </si>
  <si>
    <t>Combined Effect Size Iterations</t>
  </si>
  <si>
    <t>Meta Analysis Weighting Methods</t>
  </si>
  <si>
    <t>Peto Odds Ratio</t>
  </si>
  <si>
    <t>Normal Quantile plot</t>
  </si>
  <si>
    <t>Trim and Fill</t>
  </si>
  <si>
    <t>Number of missing studies</t>
  </si>
  <si>
    <t>Standard Error</t>
  </si>
  <si>
    <t>Egger Regression</t>
  </si>
  <si>
    <t>Between subgroup weighting method</t>
  </si>
  <si>
    <t>Random effects (Tau separate for subgroups)</t>
  </si>
  <si>
    <t>Random effects (Tau pooled over subgroups)</t>
  </si>
  <si>
    <t>Within subgroup weighting method</t>
  </si>
  <si>
    <t>Display CES</t>
  </si>
  <si>
    <t>Zero effect</t>
  </si>
  <si>
    <t>Observed effect</t>
  </si>
  <si>
    <t>Standard Plot</t>
  </si>
  <si>
    <t>Rosenthal</t>
  </si>
  <si>
    <t>Gleser &amp; Olkin</t>
  </si>
  <si>
    <t>Orwin</t>
  </si>
  <si>
    <t>Fisher</t>
  </si>
  <si>
    <t>L'Abbe plot</t>
  </si>
  <si>
    <t>Table with studies and subgroups</t>
  </si>
  <si>
    <t>Standard Plot with studies and subgroups</t>
  </si>
  <si>
    <t>Standard Plot with subgroups only</t>
  </si>
  <si>
    <t>Display # CES 2</t>
  </si>
  <si>
    <t>LN (p-value)</t>
  </si>
  <si>
    <t>Estimate</t>
  </si>
  <si>
    <t>Inv SE -Av Inv SE</t>
  </si>
  <si>
    <t>Error Terms</t>
  </si>
  <si>
    <t>Norm Quant - Av Norm Quant</t>
  </si>
  <si>
    <t>Recalculated Weight first</t>
  </si>
  <si>
    <t>Recalculated Weight second</t>
  </si>
  <si>
    <t>Recalculated Weight third</t>
  </si>
  <si>
    <t>Begg Mazumdar Variance*</t>
  </si>
  <si>
    <t>Begg Mazumdar ES*</t>
  </si>
  <si>
    <t>Begg &amp; Mazumdar</t>
  </si>
  <si>
    <t>Rank ES*</t>
  </si>
  <si>
    <t>Rank Variance*</t>
  </si>
  <si>
    <t>z</t>
  </si>
  <si>
    <t>p</t>
  </si>
  <si>
    <r>
      <t>∆</t>
    </r>
    <r>
      <rPr>
        <vertAlign val="subscript"/>
        <sz val="9"/>
        <rFont val="Calibri"/>
        <family val="2"/>
        <scheme val="minor"/>
      </rPr>
      <t>x-y</t>
    </r>
  </si>
  <si>
    <t>Begg &amp; Mazumdar Rank Correlation</t>
  </si>
  <si>
    <t>Egger Regression and Begg &amp; Mazumdar Rank Correlation</t>
  </si>
  <si>
    <t>Kendall's Tau a</t>
  </si>
  <si>
    <t>Sufficient data</t>
  </si>
  <si>
    <t>Include study</t>
  </si>
  <si>
    <t>Imputed Studies</t>
  </si>
  <si>
    <t>Base sample quantiles on</t>
  </si>
  <si>
    <t>Sample Quantile</t>
  </si>
  <si>
    <t>Normal Quantile</t>
  </si>
  <si>
    <t>Quantile</t>
  </si>
  <si>
    <t>Sample Quantile Plot</t>
  </si>
  <si>
    <t>t test</t>
  </si>
  <si>
    <t>Inverse Standard Error</t>
  </si>
  <si>
    <t>No</t>
  </si>
  <si>
    <t>Z-scores</t>
  </si>
  <si>
    <t>Initial Ranks</t>
  </si>
  <si>
    <r>
      <t>n</t>
    </r>
    <r>
      <rPr>
        <b/>
        <vertAlign val="subscript"/>
        <sz val="9"/>
        <rFont val="Calibri"/>
        <family val="2"/>
        <scheme val="minor"/>
      </rPr>
      <t>1</t>
    </r>
  </si>
  <si>
    <r>
      <t>n</t>
    </r>
    <r>
      <rPr>
        <b/>
        <vertAlign val="subscript"/>
        <sz val="9"/>
        <rFont val="Calibri"/>
        <family val="2"/>
        <scheme val="minor"/>
      </rPr>
      <t>2</t>
    </r>
  </si>
  <si>
    <t>R</t>
  </si>
  <si>
    <t>Moderator k</t>
  </si>
  <si>
    <t>Random effects</t>
  </si>
  <si>
    <t>Weight  *(Effect Size - Intercept - Slope * Moderator)^2</t>
  </si>
  <si>
    <t>Weight bubble size</t>
  </si>
  <si>
    <t>S</t>
  </si>
  <si>
    <t>E</t>
  </si>
  <si>
    <t>F</t>
  </si>
  <si>
    <t>G</t>
  </si>
  <si>
    <t>H</t>
  </si>
  <si>
    <t>Meta-analysis model options</t>
  </si>
  <si>
    <t>Model Effect Size Measure</t>
  </si>
  <si>
    <t>Presentation Effect Size Measure</t>
  </si>
  <si>
    <t>Weighting Method</t>
  </si>
  <si>
    <t>Inverse Variance</t>
  </si>
  <si>
    <t>Weighting method options</t>
  </si>
  <si>
    <t>Effect Size Measure options</t>
  </si>
  <si>
    <t>Model effect size measure options</t>
  </si>
  <si>
    <t>Presentation effect size measure options</t>
  </si>
  <si>
    <t>Valid options chosen</t>
  </si>
  <si>
    <t>Effect Size - CES (f)</t>
  </si>
  <si>
    <t>Z-score plot</t>
  </si>
  <si>
    <t>Inverse standard error plot</t>
  </si>
  <si>
    <t>aaaa</t>
  </si>
  <si>
    <t>bbbb</t>
  </si>
  <si>
    <t>cccc</t>
  </si>
  <si>
    <t>dddd</t>
  </si>
  <si>
    <t>eeee</t>
  </si>
  <si>
    <t>ffff</t>
  </si>
  <si>
    <t>gggg</t>
  </si>
  <si>
    <t>hhhh</t>
  </si>
  <si>
    <t>iiii</t>
  </si>
  <si>
    <t>jjjj</t>
  </si>
  <si>
    <t>kkkk</t>
  </si>
  <si>
    <t>llll</t>
  </si>
  <si>
    <t>AA</t>
  </si>
  <si>
    <t>BB</t>
  </si>
  <si>
    <t>Publication Bias Analysis</t>
  </si>
  <si>
    <t>Moderator Analysis</t>
  </si>
  <si>
    <t>On</t>
  </si>
  <si>
    <t>Plot with studies and subgroups on logaritmic axis</t>
  </si>
  <si>
    <t>Plot with subgroups only on logaritmic axis</t>
  </si>
  <si>
    <t>Plot with logaritmic axis</t>
  </si>
  <si>
    <t>Log Odds Ratio</t>
  </si>
  <si>
    <t>Random effects model</t>
  </si>
  <si>
    <t>Weight adjusted</t>
  </si>
  <si>
    <t>Residual adjusted</t>
  </si>
  <si>
    <t>Failsafe-N</t>
  </si>
  <si>
    <t>Failsafe-N tests</t>
  </si>
  <si>
    <r>
      <t>n</t>
    </r>
    <r>
      <rPr>
        <vertAlign val="subscript"/>
        <sz val="9"/>
        <rFont val="Calibri"/>
        <family val="2"/>
        <scheme val="minor"/>
      </rPr>
      <t>1</t>
    </r>
  </si>
  <si>
    <r>
      <t>n</t>
    </r>
    <r>
      <rPr>
        <vertAlign val="subscript"/>
        <sz val="9"/>
        <rFont val="Calibri"/>
        <family val="2"/>
        <scheme val="minor"/>
      </rPr>
      <t>2</t>
    </r>
  </si>
  <si>
    <t>Fixed effect</t>
  </si>
  <si>
    <t>Fixed effect model</t>
  </si>
  <si>
    <t>Number of subgroups</t>
  </si>
  <si>
    <t>Analysis of variance</t>
  </si>
  <si>
    <t>Between / Model</t>
  </si>
  <si>
    <t>Within / Residual</t>
  </si>
  <si>
    <r>
      <t>Pseudo R</t>
    </r>
    <r>
      <rPr>
        <vertAlign val="superscript"/>
        <sz val="9"/>
        <rFont val="Calibri"/>
        <family val="2"/>
        <scheme val="minor"/>
      </rPr>
      <t>2</t>
    </r>
  </si>
  <si>
    <t>Leftmost Run/Rightmost Run</t>
  </si>
  <si>
    <t>Number of unpublished studies</t>
  </si>
  <si>
    <t>Between subgroup weight</t>
  </si>
  <si>
    <t>Bin</t>
  </si>
  <si>
    <t>* upper bound of bin is inclusive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</si>
</sst>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vertAlign val="subscript"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9"/>
      <name val="Calibri"/>
      <family val="2"/>
    </font>
    <font>
      <sz val="11"/>
      <color theme="0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9"/>
      </bottom>
      <diagonal/>
    </border>
    <border>
      <left style="thin">
        <color theme="0"/>
      </left>
      <right/>
      <top/>
      <bottom style="thin">
        <color theme="9"/>
      </bottom>
      <diagonal/>
    </border>
    <border>
      <left style="thin">
        <color theme="0"/>
      </left>
      <right style="thin">
        <color theme="9"/>
      </right>
      <top/>
      <bottom/>
      <diagonal/>
    </border>
    <border>
      <left style="thin">
        <color theme="0"/>
      </left>
      <right style="thin">
        <color theme="9"/>
      </right>
      <top/>
      <bottom style="thin">
        <color theme="9"/>
      </bottom>
      <diagonal/>
    </border>
    <border>
      <left style="thin">
        <color theme="0"/>
      </left>
      <right style="thin">
        <color theme="9"/>
      </right>
      <top style="thin">
        <color theme="9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9"/>
      </left>
      <right style="thin">
        <color theme="0"/>
      </right>
      <top/>
      <bottom/>
      <diagonal/>
    </border>
    <border>
      <left style="thin">
        <color theme="9"/>
      </left>
      <right style="thin">
        <color theme="0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46">
    <xf numFmtId="0" fontId="0" fillId="0" borderId="0"/>
    <xf numFmtId="10" fontId="14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5" fillId="2" borderId="6">
      <alignment horizontal="centerContinuous" vertical="center" wrapText="1"/>
    </xf>
    <xf numFmtId="0" fontId="13" fillId="2" borderId="0"/>
    <xf numFmtId="0" fontId="5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3" fillId="9" borderId="0">
      <protection locked="0"/>
    </xf>
    <xf numFmtId="2" fontId="13" fillId="10" borderId="0"/>
    <xf numFmtId="2" fontId="13" fillId="8" borderId="0"/>
    <xf numFmtId="0" fontId="9" fillId="0" borderId="2" applyNumberFormat="0" applyFill="0" applyAlignment="0" applyProtection="0"/>
    <xf numFmtId="0" fontId="10" fillId="6" borderId="3" applyNumberFormat="0" applyAlignment="0" applyProtection="0"/>
    <xf numFmtId="0" fontId="11" fillId="0" borderId="0" applyNumberFormat="0" applyFill="0" applyBorder="0" applyAlignment="0" applyProtection="0"/>
    <xf numFmtId="0" fontId="2" fillId="7" borderId="4" applyNumberFormat="0" applyFont="0" applyAlignment="0" applyProtection="0"/>
    <xf numFmtId="0" fontId="12" fillId="0" borderId="0" applyNumberFormat="0" applyFill="0" applyBorder="0" applyAlignment="0" applyProtection="0"/>
    <xf numFmtId="0" fontId="3" fillId="0" borderId="5" applyNumberFormat="0" applyFill="0" applyAlignment="0" applyProtection="0"/>
    <xf numFmtId="1" fontId="13" fillId="10" borderId="0" applyFont="0" applyFill="0" applyBorder="0" applyAlignment="0" applyProtection="0"/>
    <xf numFmtId="49" fontId="22" fillId="35" borderId="7" applyProtection="0">
      <alignment horizontal="center" vertical="top" textRotation="90"/>
    </xf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49" fontId="23" fillId="36" borderId="16" applyProtection="0">
      <alignment horizontal="center" vertical="top" textRotation="90"/>
    </xf>
  </cellStyleXfs>
  <cellXfs count="199">
    <xf numFmtId="0" fontId="0" fillId="0" borderId="0" xfId="0"/>
    <xf numFmtId="0" fontId="15" fillId="2" borderId="6" xfId="3">
      <alignment horizontal="centerContinuous" vertical="center" wrapText="1"/>
    </xf>
    <xf numFmtId="0" fontId="13" fillId="2" borderId="0" xfId="4"/>
    <xf numFmtId="2" fontId="13" fillId="8" borderId="0" xfId="12"/>
    <xf numFmtId="2" fontId="13" fillId="10" borderId="0" xfId="11"/>
    <xf numFmtId="0" fontId="13" fillId="9" borderId="0" xfId="10">
      <protection locked="0"/>
    </xf>
    <xf numFmtId="0" fontId="0" fillId="0" borderId="0" xfId="0"/>
    <xf numFmtId="1" fontId="13" fillId="8" borderId="0" xfId="12" applyNumberFormat="1"/>
    <xf numFmtId="1" fontId="13" fillId="10" borderId="0" xfId="11" applyNumberFormat="1"/>
    <xf numFmtId="10" fontId="13" fillId="10" borderId="0" xfId="1" applyFont="1" applyFill="1"/>
    <xf numFmtId="0" fontId="13" fillId="9" borderId="0" xfId="10" applyNumberFormat="1" applyFont="1" applyFill="1" applyBorder="1" applyAlignment="1">
      <protection locked="0"/>
    </xf>
    <xf numFmtId="10" fontId="13" fillId="8" borderId="0" xfId="1" applyFont="1" applyFill="1"/>
    <xf numFmtId="164" fontId="13" fillId="8" borderId="0" xfId="12" applyNumberFormat="1"/>
    <xf numFmtId="0" fontId="13" fillId="9" borderId="0" xfId="10" applyBorder="1">
      <protection locked="0"/>
    </xf>
    <xf numFmtId="0" fontId="15" fillId="2" borderId="6" xfId="3" applyAlignment="1">
      <alignment horizontal="centerContinuous" vertical="center" wrapText="1"/>
    </xf>
    <xf numFmtId="0" fontId="0" fillId="0" borderId="0" xfId="0" applyAlignment="1">
      <alignment wrapText="1"/>
    </xf>
    <xf numFmtId="49" fontId="13" fillId="9" borderId="0" xfId="10" applyNumberFormat="1">
      <protection locked="0"/>
    </xf>
    <xf numFmtId="49" fontId="13" fillId="9" borderId="0" xfId="10" applyNumberFormat="1" applyFont="1" applyFill="1" applyBorder="1" applyAlignment="1">
      <protection locked="0"/>
    </xf>
    <xf numFmtId="49" fontId="0" fillId="0" borderId="0" xfId="0" applyNumberFormat="1"/>
    <xf numFmtId="2" fontId="13" fillId="8" borderId="0" xfId="12" applyNumberFormat="1"/>
    <xf numFmtId="10" fontId="13" fillId="8" borderId="0" xfId="1" applyNumberFormat="1" applyFont="1" applyFill="1"/>
    <xf numFmtId="2" fontId="0" fillId="0" borderId="0" xfId="0" applyNumberFormat="1"/>
    <xf numFmtId="164" fontId="0" fillId="0" borderId="0" xfId="0" applyNumberFormat="1"/>
    <xf numFmtId="0" fontId="15" fillId="2" borderId="6" xfId="3" applyNumberFormat="1">
      <alignment horizontal="centerContinuous" vertical="center" wrapText="1"/>
    </xf>
    <xf numFmtId="0" fontId="13" fillId="10" borderId="0" xfId="11" applyNumberFormat="1"/>
    <xf numFmtId="0" fontId="0" fillId="0" borderId="0" xfId="0" applyNumberFormat="1"/>
    <xf numFmtId="0" fontId="13" fillId="8" borderId="0" xfId="12" applyNumberFormat="1"/>
    <xf numFmtId="2" fontId="15" fillId="2" borderId="6" xfId="3" applyNumberFormat="1">
      <alignment horizontal="centerContinuous" vertical="center" wrapText="1"/>
    </xf>
    <xf numFmtId="10" fontId="0" fillId="0" borderId="0" xfId="1" applyNumberFormat="1" applyFont="1"/>
    <xf numFmtId="2" fontId="13" fillId="10" borderId="0" xfId="11" applyNumberFormat="1"/>
    <xf numFmtId="10" fontId="13" fillId="10" borderId="0" xfId="1" applyNumberFormat="1" applyFont="1" applyFill="1"/>
    <xf numFmtId="0" fontId="0" fillId="0" borderId="0" xfId="0"/>
    <xf numFmtId="1" fontId="13" fillId="8" borderId="0" xfId="19" applyFill="1"/>
    <xf numFmtId="165" fontId="13" fillId="8" borderId="0" xfId="12" applyNumberFormat="1"/>
    <xf numFmtId="2" fontId="0" fillId="0" borderId="0" xfId="0" applyNumberFormat="1" applyAlignment="1">
      <alignment horizontal="center"/>
    </xf>
    <xf numFmtId="165" fontId="0" fillId="0" borderId="0" xfId="0" applyNumberFormat="1"/>
    <xf numFmtId="0" fontId="15" fillId="2" borderId="0" xfId="4" applyFont="1"/>
    <xf numFmtId="0" fontId="20" fillId="2" borderId="6" xfId="3" applyFont="1">
      <alignment horizontal="centerContinuous" vertical="center" wrapText="1"/>
    </xf>
    <xf numFmtId="164" fontId="13" fillId="10" borderId="0" xfId="11" applyNumberFormat="1"/>
    <xf numFmtId="2" fontId="13" fillId="8" borderId="0" xfId="12" applyBorder="1"/>
    <xf numFmtId="1" fontId="13" fillId="9" borderId="0" xfId="10" applyNumberFormat="1">
      <protection locked="0"/>
    </xf>
    <xf numFmtId="0" fontId="15" fillId="2" borderId="6" xfId="3" applyAlignment="1">
      <alignment horizontal="center" vertical="center" wrapText="1"/>
    </xf>
    <xf numFmtId="0" fontId="13" fillId="9" borderId="0" xfId="10" applyAlignment="1">
      <protection locked="0"/>
    </xf>
    <xf numFmtId="9" fontId="13" fillId="9" borderId="0" xfId="1" applyNumberFormat="1" applyFont="1" applyFill="1" applyAlignment="1" applyProtection="1">
      <alignment horizontal="right"/>
      <protection locked="0"/>
    </xf>
    <xf numFmtId="0" fontId="0" fillId="0" borderId="0" xfId="0"/>
    <xf numFmtId="0" fontId="0" fillId="0" borderId="0" xfId="0"/>
    <xf numFmtId="2" fontId="13" fillId="8" borderId="0" xfId="12"/>
    <xf numFmtId="0" fontId="13" fillId="2" borderId="0" xfId="4"/>
    <xf numFmtId="0" fontId="13" fillId="2" borderId="0" xfId="4"/>
    <xf numFmtId="2" fontId="13" fillId="8" borderId="0" xfId="12"/>
    <xf numFmtId="0" fontId="13" fillId="2" borderId="0" xfId="4"/>
    <xf numFmtId="2" fontId="13" fillId="8" borderId="0" xfId="12"/>
    <xf numFmtId="2" fontId="13" fillId="8" borderId="0" xfId="12"/>
    <xf numFmtId="2" fontId="13" fillId="8" borderId="0" xfId="12"/>
    <xf numFmtId="0" fontId="13" fillId="2" borderId="0" xfId="4"/>
    <xf numFmtId="2" fontId="13" fillId="8" borderId="0" xfId="12"/>
    <xf numFmtId="0" fontId="13" fillId="2" borderId="0" xfId="4"/>
    <xf numFmtId="2" fontId="13" fillId="8" borderId="10" xfId="12" applyBorder="1" applyAlignment="1">
      <alignment horizontal="left"/>
    </xf>
    <xf numFmtId="2" fontId="13" fillId="8" borderId="0" xfId="12" applyAlignment="1">
      <alignment horizontal="left"/>
    </xf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0" xfId="12"/>
    <xf numFmtId="2" fontId="13" fillId="8" borderId="6" xfId="12" applyBorder="1"/>
    <xf numFmtId="164" fontId="13" fillId="10" borderId="6" xfId="11" applyNumberFormat="1" applyBorder="1"/>
    <xf numFmtId="2" fontId="13" fillId="8" borderId="11" xfId="12" applyBorder="1"/>
    <xf numFmtId="2" fontId="13" fillId="8" borderId="12" xfId="12" applyBorder="1"/>
    <xf numFmtId="0" fontId="13" fillId="2" borderId="10" xfId="4" applyBorder="1"/>
    <xf numFmtId="1" fontId="13" fillId="8" borderId="10" xfId="12" applyNumberFormat="1" applyBorder="1"/>
    <xf numFmtId="0" fontId="13" fillId="2" borderId="6" xfId="4" applyBorder="1"/>
    <xf numFmtId="2" fontId="13" fillId="8" borderId="8" xfId="12" applyBorder="1"/>
    <xf numFmtId="1" fontId="13" fillId="8" borderId="13" xfId="12" applyNumberFormat="1" applyBorder="1"/>
    <xf numFmtId="1" fontId="13" fillId="8" borderId="6" xfId="12" applyNumberFormat="1" applyBorder="1"/>
    <xf numFmtId="2" fontId="13" fillId="8" borderId="6" xfId="12" applyNumberFormat="1" applyBorder="1"/>
    <xf numFmtId="10" fontId="13" fillId="8" borderId="6" xfId="1" applyFont="1" applyFill="1" applyBorder="1"/>
    <xf numFmtId="2" fontId="13" fillId="8" borderId="14" xfId="12" applyBorder="1"/>
    <xf numFmtId="2" fontId="13" fillId="8" borderId="15" xfId="12" applyBorder="1"/>
    <xf numFmtId="2" fontId="13" fillId="8" borderId="13" xfId="12" applyBorder="1"/>
    <xf numFmtId="0" fontId="13" fillId="8" borderId="6" xfId="12" applyNumberFormat="1" applyBorder="1"/>
    <xf numFmtId="10" fontId="13" fillId="8" borderId="6" xfId="1" applyNumberFormat="1" applyFont="1" applyFill="1" applyBorder="1"/>
    <xf numFmtId="1" fontId="13" fillId="8" borderId="14" xfId="12" applyNumberFormat="1" applyBorder="1"/>
    <xf numFmtId="1" fontId="13" fillId="8" borderId="15" xfId="12" applyNumberFormat="1" applyBorder="1"/>
    <xf numFmtId="164" fontId="13" fillId="8" borderId="6" xfId="12" applyNumberFormat="1" applyBorder="1"/>
    <xf numFmtId="2" fontId="13" fillId="8" borderId="14" xfId="12" applyNumberFormat="1" applyBorder="1"/>
    <xf numFmtId="2" fontId="13" fillId="8" borderId="15" xfId="12" applyNumberFormat="1" applyBorder="1"/>
    <xf numFmtId="2" fontId="13" fillId="8" borderId="13" xfId="12" applyNumberFormat="1" applyBorder="1"/>
    <xf numFmtId="2" fontId="13" fillId="8" borderId="11" xfId="12" applyNumberFormat="1" applyBorder="1"/>
    <xf numFmtId="2" fontId="13" fillId="8" borderId="12" xfId="12" applyNumberFormat="1" applyBorder="1"/>
    <xf numFmtId="2" fontId="13" fillId="8" borderId="8" xfId="12" applyNumberFormat="1" applyBorder="1"/>
    <xf numFmtId="2" fontId="13" fillId="8" borderId="17" xfId="12" applyBorder="1"/>
    <xf numFmtId="2" fontId="13" fillId="8" borderId="20" xfId="12" applyBorder="1"/>
    <xf numFmtId="2" fontId="13" fillId="8" borderId="18" xfId="12" applyBorder="1"/>
    <xf numFmtId="2" fontId="13" fillId="8" borderId="19" xfId="12" applyBorder="1"/>
    <xf numFmtId="1" fontId="13" fillId="8" borderId="17" xfId="19" applyFill="1" applyBorder="1"/>
    <xf numFmtId="1" fontId="13" fillId="8" borderId="6" xfId="19" applyFill="1" applyBorder="1"/>
    <xf numFmtId="1" fontId="13" fillId="8" borderId="11" xfId="12" applyNumberFormat="1" applyBorder="1"/>
    <xf numFmtId="1" fontId="13" fillId="8" borderId="12" xfId="12" applyNumberFormat="1" applyBorder="1"/>
    <xf numFmtId="1" fontId="13" fillId="8" borderId="8" xfId="12" applyNumberFormat="1" applyBorder="1"/>
    <xf numFmtId="2" fontId="13" fillId="8" borderId="17" xfId="12" applyNumberFormat="1" applyBorder="1"/>
    <xf numFmtId="1" fontId="13" fillId="8" borderId="17" xfId="12" applyNumberFormat="1" applyBorder="1"/>
    <xf numFmtId="10" fontId="13" fillId="8" borderId="11" xfId="1" applyFont="1" applyFill="1" applyBorder="1"/>
    <xf numFmtId="10" fontId="13" fillId="8" borderId="12" xfId="1" applyFont="1" applyFill="1" applyBorder="1"/>
    <xf numFmtId="10" fontId="13" fillId="8" borderId="8" xfId="1" applyFont="1" applyFill="1" applyBorder="1"/>
    <xf numFmtId="2" fontId="13" fillId="10" borderId="11" xfId="11" applyBorder="1"/>
    <xf numFmtId="2" fontId="13" fillId="10" borderId="12" xfId="11" applyBorder="1"/>
    <xf numFmtId="164" fontId="13" fillId="10" borderId="11" xfId="1" applyNumberFormat="1" applyFont="1" applyFill="1" applyBorder="1"/>
    <xf numFmtId="164" fontId="13" fillId="10" borderId="12" xfId="1" applyNumberFormat="1" applyFont="1" applyFill="1" applyBorder="1"/>
    <xf numFmtId="0" fontId="13" fillId="10" borderId="6" xfId="11" applyNumberFormat="1" applyBorder="1"/>
    <xf numFmtId="2" fontId="13" fillId="10" borderId="6" xfId="11" applyBorder="1"/>
    <xf numFmtId="10" fontId="13" fillId="10" borderId="6" xfId="1" applyFont="1" applyFill="1" applyBorder="1"/>
    <xf numFmtId="164" fontId="13" fillId="10" borderId="8" xfId="1" applyNumberFormat="1" applyFont="1" applyFill="1" applyBorder="1"/>
    <xf numFmtId="10" fontId="13" fillId="10" borderId="6" xfId="1" applyNumberFormat="1" applyFont="1" applyFill="1" applyBorder="1"/>
    <xf numFmtId="2" fontId="13" fillId="10" borderId="8" xfId="11" applyBorder="1"/>
    <xf numFmtId="49" fontId="13" fillId="9" borderId="6" xfId="10" applyNumberFormat="1" applyFont="1" applyFill="1" applyBorder="1" applyAlignment="1">
      <protection locked="0"/>
    </xf>
    <xf numFmtId="0" fontId="13" fillId="9" borderId="6" xfId="10" applyBorder="1">
      <protection locked="0"/>
    </xf>
    <xf numFmtId="0" fontId="13" fillId="9" borderId="6" xfId="10" applyNumberFormat="1" applyFont="1" applyFill="1" applyBorder="1" applyAlignment="1">
      <protection locked="0"/>
    </xf>
    <xf numFmtId="2" fontId="13" fillId="8" borderId="0" xfId="12"/>
    <xf numFmtId="2" fontId="13" fillId="8" borderId="0" xfId="12"/>
    <xf numFmtId="0" fontId="15" fillId="2" borderId="6" xfId="3" applyBorder="1">
      <alignment horizontal="centerContinuous" vertical="center" wrapText="1"/>
    </xf>
    <xf numFmtId="2" fontId="13" fillId="8" borderId="10" xfId="12" applyBorder="1"/>
    <xf numFmtId="0" fontId="0" fillId="0" borderId="0" xfId="0" applyBorder="1"/>
    <xf numFmtId="0" fontId="15" fillId="2" borderId="0" xfId="3" applyBorder="1">
      <alignment horizontal="centerContinuous" vertical="center" wrapText="1"/>
    </xf>
    <xf numFmtId="2" fontId="13" fillId="8" borderId="21" xfId="12" applyBorder="1"/>
    <xf numFmtId="2" fontId="13" fillId="8" borderId="22" xfId="12" applyBorder="1"/>
    <xf numFmtId="2" fontId="13" fillId="8" borderId="0" xfId="12"/>
    <xf numFmtId="2" fontId="13" fillId="8" borderId="0" xfId="12"/>
    <xf numFmtId="2" fontId="13" fillId="8" borderId="0" xfId="12"/>
    <xf numFmtId="2" fontId="13" fillId="8" borderId="10" xfId="12" applyNumberFormat="1" applyBorder="1"/>
    <xf numFmtId="1" fontId="13" fillId="8" borderId="0" xfId="12" applyNumberFormat="1" applyBorder="1"/>
    <xf numFmtId="2" fontId="13" fillId="8" borderId="0" xfId="12" applyNumberFormat="1" applyBorder="1"/>
    <xf numFmtId="0" fontId="13" fillId="8" borderId="10" xfId="12" applyNumberFormat="1" applyBorder="1"/>
    <xf numFmtId="10" fontId="13" fillId="8" borderId="10" xfId="1" applyNumberFormat="1" applyFont="1" applyFill="1" applyBorder="1"/>
    <xf numFmtId="0" fontId="13" fillId="8" borderId="0" xfId="12" applyNumberFormat="1" applyBorder="1"/>
    <xf numFmtId="10" fontId="13" fillId="8" borderId="0" xfId="1" applyNumberFormat="1" applyFont="1" applyFill="1" applyBorder="1"/>
    <xf numFmtId="0" fontId="0" fillId="0" borderId="6" xfId="0" applyBorder="1"/>
    <xf numFmtId="1" fontId="13" fillId="8" borderId="10" xfId="19" applyFill="1" applyBorder="1"/>
    <xf numFmtId="1" fontId="13" fillId="8" borderId="0" xfId="19" applyFill="1" applyBorder="1"/>
    <xf numFmtId="2" fontId="13" fillId="8" borderId="22" xfId="12" applyNumberFormat="1" applyBorder="1"/>
    <xf numFmtId="2" fontId="13" fillId="8" borderId="21" xfId="12" applyNumberFormat="1" applyBorder="1"/>
    <xf numFmtId="164" fontId="13" fillId="8" borderId="10" xfId="12" applyNumberFormat="1" applyBorder="1"/>
    <xf numFmtId="164" fontId="13" fillId="8" borderId="0" xfId="12" applyNumberFormat="1" applyBorder="1"/>
    <xf numFmtId="2" fontId="13" fillId="8" borderId="0" xfId="12"/>
    <xf numFmtId="49" fontId="23" fillId="36" borderId="23" xfId="45" applyBorder="1" applyAlignment="1">
      <alignment vertical="top" textRotation="90"/>
    </xf>
    <xf numFmtId="49" fontId="23" fillId="36" borderId="26" xfId="45" applyBorder="1" applyAlignment="1">
      <alignment vertical="top" textRotation="90"/>
    </xf>
    <xf numFmtId="49" fontId="22" fillId="35" borderId="29" xfId="20" applyBorder="1" applyAlignment="1">
      <alignment vertical="top" textRotation="90"/>
    </xf>
    <xf numFmtId="49" fontId="23" fillId="36" borderId="32" xfId="45" applyBorder="1" applyAlignment="1">
      <alignment vertical="top" textRotation="90"/>
    </xf>
    <xf numFmtId="49" fontId="23" fillId="36" borderId="16" xfId="45">
      <alignment horizontal="center" vertical="top" textRotation="90"/>
    </xf>
    <xf numFmtId="2" fontId="13" fillId="8" borderId="0" xfId="12"/>
    <xf numFmtId="2" fontId="13" fillId="8" borderId="0" xfId="12"/>
    <xf numFmtId="0" fontId="15" fillId="2" borderId="6" xfId="3" applyAlignment="1">
      <alignment horizontal="center" vertical="center" wrapText="1"/>
    </xf>
    <xf numFmtId="2" fontId="13" fillId="8" borderId="0" xfId="12"/>
    <xf numFmtId="0" fontId="15" fillId="2" borderId="6" xfId="3" applyAlignment="1">
      <alignment horizontal="centerContinuous" vertical="center"/>
    </xf>
    <xf numFmtId="0" fontId="0" fillId="0" borderId="0" xfId="0" applyAlignment="1"/>
    <xf numFmtId="2" fontId="13" fillId="8" borderId="15" xfId="12" applyBorder="1" applyAlignment="1"/>
    <xf numFmtId="2" fontId="13" fillId="8" borderId="0" xfId="12" applyAlignment="1"/>
    <xf numFmtId="2" fontId="13" fillId="8" borderId="0" xfId="12" applyBorder="1" applyAlignment="1"/>
    <xf numFmtId="2" fontId="13" fillId="8" borderId="21" xfId="12" applyBorder="1" applyAlignment="1"/>
    <xf numFmtId="2" fontId="13" fillId="8" borderId="12" xfId="12" applyBorder="1" applyAlignment="1"/>
    <xf numFmtId="2" fontId="13" fillId="10" borderId="0" xfId="11" applyAlignment="1"/>
    <xf numFmtId="2" fontId="13" fillId="8" borderId="12" xfId="12" applyNumberFormat="1" applyBorder="1" applyAlignment="1"/>
    <xf numFmtId="0" fontId="15" fillId="2" borderId="6" xfId="3" applyAlignment="1">
      <alignment horizontal="center" vertical="center" wrapText="1"/>
    </xf>
    <xf numFmtId="2" fontId="13" fillId="8" borderId="0" xfId="12" applyBorder="1" applyAlignment="1">
      <alignment horizontal="left"/>
    </xf>
    <xf numFmtId="2" fontId="13" fillId="10" borderId="0" xfId="11" applyAlignment="1">
      <alignment horizontal="center"/>
    </xf>
    <xf numFmtId="1" fontId="0" fillId="0" borderId="0" xfId="0" applyNumberFormat="1"/>
    <xf numFmtId="10" fontId="13" fillId="8" borderId="0" xfId="1" applyFont="1" applyFill="1" applyBorder="1"/>
    <xf numFmtId="0" fontId="15" fillId="2" borderId="6" xfId="3" applyAlignment="1">
      <alignment horizontal="center" vertical="center" wrapText="1"/>
    </xf>
    <xf numFmtId="2" fontId="13" fillId="10" borderId="0" xfId="11"/>
    <xf numFmtId="49" fontId="23" fillId="36" borderId="16" xfId="45">
      <alignment horizontal="center" vertical="top" textRotation="90"/>
    </xf>
    <xf numFmtId="49" fontId="23" fillId="36" borderId="24" xfId="45" applyBorder="1" applyAlignment="1">
      <alignment horizontal="center" vertical="top" textRotation="90"/>
    </xf>
    <xf numFmtId="49" fontId="23" fillId="36" borderId="25" xfId="45" applyBorder="1" applyAlignment="1">
      <alignment horizontal="center" vertical="top" textRotation="90"/>
    </xf>
    <xf numFmtId="0" fontId="15" fillId="2" borderId="6" xfId="3" applyAlignment="1">
      <alignment horizontal="center" vertical="center" wrapText="1"/>
    </xf>
    <xf numFmtId="0" fontId="15" fillId="2" borderId="8" xfId="3" applyBorder="1" applyAlignment="1">
      <alignment horizontal="center" vertical="center" wrapText="1"/>
    </xf>
    <xf numFmtId="2" fontId="13" fillId="8" borderId="10" xfId="12" applyBorder="1" applyAlignment="1">
      <alignment horizontal="center"/>
    </xf>
    <xf numFmtId="2" fontId="13" fillId="8" borderId="0" xfId="12" applyAlignment="1">
      <alignment horizontal="center"/>
    </xf>
    <xf numFmtId="49" fontId="23" fillId="36" borderId="27" xfId="45" applyBorder="1" applyAlignment="1">
      <alignment horizontal="center" vertical="top" textRotation="90"/>
    </xf>
    <xf numFmtId="49" fontId="23" fillId="36" borderId="28" xfId="45" applyBorder="1" applyAlignment="1">
      <alignment horizontal="center" vertical="top" textRotation="90"/>
    </xf>
    <xf numFmtId="0" fontId="13" fillId="9" borderId="10" xfId="10" applyBorder="1" applyAlignment="1">
      <alignment horizontal="left"/>
      <protection locked="0"/>
    </xf>
    <xf numFmtId="0" fontId="13" fillId="9" borderId="0" xfId="10" applyAlignment="1">
      <alignment horizontal="left" vertical="center"/>
      <protection locked="0"/>
    </xf>
    <xf numFmtId="2" fontId="13" fillId="10" borderId="0" xfId="11" applyAlignment="1">
      <alignment horizontal="left"/>
    </xf>
    <xf numFmtId="9" fontId="13" fillId="9" borderId="0" xfId="1" applyNumberFormat="1" applyFont="1" applyFill="1" applyAlignment="1" applyProtection="1">
      <alignment horizontal="right"/>
      <protection locked="0"/>
    </xf>
    <xf numFmtId="2" fontId="13" fillId="10" borderId="10" xfId="11" applyBorder="1"/>
    <xf numFmtId="2" fontId="13" fillId="10" borderId="0" xfId="11"/>
    <xf numFmtId="1" fontId="13" fillId="10" borderId="0" xfId="11" applyNumberFormat="1"/>
    <xf numFmtId="0" fontId="13" fillId="2" borderId="0" xfId="4" applyAlignment="1">
      <alignment horizontal="center"/>
    </xf>
    <xf numFmtId="0" fontId="15" fillId="2" borderId="9" xfId="3" applyBorder="1" applyAlignment="1">
      <alignment horizontal="center" vertical="center" wrapText="1"/>
    </xf>
    <xf numFmtId="0" fontId="15" fillId="2" borderId="0" xfId="3" applyBorder="1" applyAlignment="1">
      <alignment horizontal="center" vertical="center" wrapText="1"/>
    </xf>
    <xf numFmtId="0" fontId="15" fillId="2" borderId="33" xfId="3" applyBorder="1" applyAlignment="1">
      <alignment horizontal="center" vertical="center" wrapText="1"/>
    </xf>
    <xf numFmtId="0" fontId="15" fillId="2" borderId="6" xfId="3" applyBorder="1" applyAlignment="1">
      <alignment horizontal="center" vertical="center" wrapText="1"/>
    </xf>
    <xf numFmtId="49" fontId="22" fillId="35" borderId="30" xfId="20" applyBorder="1" applyAlignment="1">
      <alignment horizontal="center" vertical="top" textRotation="90"/>
    </xf>
    <xf numFmtId="49" fontId="22" fillId="35" borderId="31" xfId="20" applyBorder="1" applyAlignment="1">
      <alignment horizontal="center" vertical="top" textRotation="90"/>
    </xf>
    <xf numFmtId="0" fontId="15" fillId="2" borderId="17" xfId="3" applyBorder="1" applyAlignment="1">
      <alignment horizontal="center" vertical="center" wrapText="1"/>
    </xf>
  </cellXfs>
  <cellStyles count="46">
    <cellStyle name="20% - Accent1" xfId="22" builtinId="30" hidden="1"/>
    <cellStyle name="20% - Accent2" xfId="26" builtinId="34" hidden="1"/>
    <cellStyle name="20% - Accent3" xfId="30" builtinId="38" hidden="1"/>
    <cellStyle name="20% - Accent4" xfId="34" builtinId="42" hidden="1"/>
    <cellStyle name="20% - Accent5" xfId="38" builtinId="46" hidden="1"/>
    <cellStyle name="20% - Accent6" xfId="42" builtinId="50" hidden="1"/>
    <cellStyle name="40% - Accent1" xfId="23" builtinId="31" hidden="1"/>
    <cellStyle name="40% - Accent2" xfId="27" builtinId="35" hidden="1"/>
    <cellStyle name="40% - Accent3" xfId="31" builtinId="39" hidden="1"/>
    <cellStyle name="40% - Accent4" xfId="35" builtinId="43" hidden="1"/>
    <cellStyle name="40% - Accent5" xfId="39" builtinId="47" hidden="1"/>
    <cellStyle name="40% - Accent6" xfId="43" builtinId="51" hidden="1"/>
    <cellStyle name="60% - Accent1" xfId="24" builtinId="32" hidden="1"/>
    <cellStyle name="60% - Accent2" xfId="28" builtinId="36" hidden="1"/>
    <cellStyle name="60% - Accent3" xfId="32" builtinId="40" hidden="1"/>
    <cellStyle name="60% - Accent4" xfId="36" builtinId="44" hidden="1"/>
    <cellStyle name="60% - Accent5" xfId="40" builtinId="48" hidden="1"/>
    <cellStyle name="60% - Accent6" xfId="44" builtinId="52" hidden="1"/>
    <cellStyle name="Accent1" xfId="21" builtinId="29" hidden="1"/>
    <cellStyle name="Accent2" xfId="25" builtinId="33" hidden="1"/>
    <cellStyle name="Accent3" xfId="29" builtinId="37" hidden="1"/>
    <cellStyle name="Accent4" xfId="33" builtinId="41" hidden="1"/>
    <cellStyle name="Accent5" xfId="37" builtinId="45" hidden="1"/>
    <cellStyle name="Accent6" xfId="41" builtinId="49" hidden="1"/>
    <cellStyle name="Bad" xfId="8" builtinId="27" hidden="1"/>
    <cellStyle name="Calculation" xfId="12" builtinId="22" customBuiltin="1"/>
    <cellStyle name="Check Cell" xfId="14" builtinId="23" hidden="1"/>
    <cellStyle name="Explanatory Text" xfId="17" builtinId="53" hidden="1"/>
    <cellStyle name="Good" xfId="7" builtinId="26" hidden="1"/>
    <cellStyle name="Heading 1" xfId="3" builtinId="16" customBuiltin="1"/>
    <cellStyle name="Heading 2" xfId="4" builtinId="17" customBuiltin="1"/>
    <cellStyle name="Heading 3" xfId="5" builtinId="18" hidden="1"/>
    <cellStyle name="Heading 3" xfId="20" xr:uid="{00000000-0005-0000-0000-000020000000}"/>
    <cellStyle name="Heading 4" xfId="6" builtinId="19" hidden="1"/>
    <cellStyle name="Heading 4" xfId="45" xr:uid="{00000000-0005-0000-0000-000022000000}"/>
    <cellStyle name="Input" xfId="10" builtinId="20" customBuiltin="1"/>
    <cellStyle name="Linked Cell" xfId="13" builtinId="24" hidden="1"/>
    <cellStyle name="Neutral" xfId="9" builtinId="28" hidden="1"/>
    <cellStyle name="No decimals" xfId="19" xr:uid="{00000000-0005-0000-0000-000026000000}"/>
    <cellStyle name="Normal" xfId="0" builtinId="0" customBuiltin="1"/>
    <cellStyle name="Note" xfId="16" builtinId="10" hidden="1"/>
    <cellStyle name="Output" xfId="11" builtinId="21" customBuiltin="1"/>
    <cellStyle name="Percent" xfId="1" builtinId="5" customBuiltin="1"/>
    <cellStyle name="Title" xfId="2" builtinId="15" hidden="1"/>
    <cellStyle name="Total" xfId="18" builtinId="25" hidden="1"/>
    <cellStyle name="Warning Text" xfId="15" builtinId="11" hidden="1"/>
  </cellStyles>
  <dxfs count="5">
    <dxf>
      <font>
        <b/>
        <i val="0"/>
        <u val="none"/>
      </font>
      <border>
        <bottom style="thin">
          <color theme="9"/>
        </bottom>
      </border>
    </dxf>
    <dxf>
      <font>
        <b/>
        <i val="0"/>
      </font>
    </dxf>
    <dxf>
      <numFmt numFmtId="14" formatCode="0.00%"/>
    </dxf>
    <dxf>
      <numFmt numFmtId="1" formatCode="0"/>
    </dxf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68937578454868"/>
          <c:y val="1.4799135118816789E-2"/>
          <c:w val="0.72833756173929987"/>
          <c:h val="0.98046678854650671"/>
        </c:manualLayout>
      </c:layout>
      <c:barChart>
        <c:barDir val="bar"/>
        <c:grouping val="clustered"/>
        <c:varyColors val="0"/>
        <c:ser>
          <c:idx val="0"/>
          <c:order val="0"/>
          <c:tx>
            <c:v>Weights</c:v>
          </c:tx>
          <c:invertIfNegative val="0"/>
          <c:cat>
            <c:numRef>
              <c:f>'Forest Plot'!$D$2:$D$201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  <c:pt idx="100">
                  <c:v>101</c:v>
                </c:pt>
                <c:pt idx="101">
                  <c:v>102</c:v>
                </c:pt>
                <c:pt idx="102">
                  <c:v>103</c:v>
                </c:pt>
                <c:pt idx="103">
                  <c:v>104</c:v>
                </c:pt>
                <c:pt idx="104">
                  <c:v>105</c:v>
                </c:pt>
                <c:pt idx="105">
                  <c:v>106</c:v>
                </c:pt>
                <c:pt idx="106">
                  <c:v>107</c:v>
                </c:pt>
                <c:pt idx="107">
                  <c:v>108</c:v>
                </c:pt>
                <c:pt idx="108">
                  <c:v>109</c:v>
                </c:pt>
                <c:pt idx="109">
                  <c:v>110</c:v>
                </c:pt>
                <c:pt idx="110">
                  <c:v>111</c:v>
                </c:pt>
                <c:pt idx="111">
                  <c:v>112</c:v>
                </c:pt>
                <c:pt idx="112">
                  <c:v>113</c:v>
                </c:pt>
                <c:pt idx="113">
                  <c:v>114</c:v>
                </c:pt>
                <c:pt idx="114">
                  <c:v>115</c:v>
                </c:pt>
                <c:pt idx="115">
                  <c:v>116</c:v>
                </c:pt>
                <c:pt idx="116">
                  <c:v>117</c:v>
                </c:pt>
                <c:pt idx="117">
                  <c:v>118</c:v>
                </c:pt>
                <c:pt idx="118">
                  <c:v>119</c:v>
                </c:pt>
                <c:pt idx="119">
                  <c:v>120</c:v>
                </c:pt>
                <c:pt idx="120">
                  <c:v>121</c:v>
                </c:pt>
                <c:pt idx="121">
                  <c:v>122</c:v>
                </c:pt>
                <c:pt idx="122">
                  <c:v>123</c:v>
                </c:pt>
                <c:pt idx="123">
                  <c:v>124</c:v>
                </c:pt>
                <c:pt idx="124">
                  <c:v>125</c:v>
                </c:pt>
                <c:pt idx="125">
                  <c:v>126</c:v>
                </c:pt>
                <c:pt idx="126">
                  <c:v>127</c:v>
                </c:pt>
                <c:pt idx="127">
                  <c:v>128</c:v>
                </c:pt>
                <c:pt idx="128">
                  <c:v>129</c:v>
                </c:pt>
                <c:pt idx="129">
                  <c:v>130</c:v>
                </c:pt>
                <c:pt idx="130">
                  <c:v>131</c:v>
                </c:pt>
                <c:pt idx="131">
                  <c:v>132</c:v>
                </c:pt>
                <c:pt idx="132">
                  <c:v>133</c:v>
                </c:pt>
                <c:pt idx="133">
                  <c:v>134</c:v>
                </c:pt>
                <c:pt idx="134">
                  <c:v>135</c:v>
                </c:pt>
                <c:pt idx="135">
                  <c:v>136</c:v>
                </c:pt>
                <c:pt idx="136">
                  <c:v>137</c:v>
                </c:pt>
                <c:pt idx="137">
                  <c:v>138</c:v>
                </c:pt>
                <c:pt idx="138">
                  <c:v>139</c:v>
                </c:pt>
                <c:pt idx="139">
                  <c:v>140</c:v>
                </c:pt>
                <c:pt idx="140">
                  <c:v>141</c:v>
                </c:pt>
                <c:pt idx="141">
                  <c:v>142</c:v>
                </c:pt>
                <c:pt idx="142">
                  <c:v>143</c:v>
                </c:pt>
                <c:pt idx="143">
                  <c:v>144</c:v>
                </c:pt>
                <c:pt idx="144">
                  <c:v>145</c:v>
                </c:pt>
                <c:pt idx="145">
                  <c:v>146</c:v>
                </c:pt>
                <c:pt idx="146">
                  <c:v>147</c:v>
                </c:pt>
                <c:pt idx="147">
                  <c:v>148</c:v>
                </c:pt>
                <c:pt idx="148">
                  <c:v>149</c:v>
                </c:pt>
                <c:pt idx="149">
                  <c:v>150</c:v>
                </c:pt>
                <c:pt idx="150">
                  <c:v>151</c:v>
                </c:pt>
                <c:pt idx="151">
                  <c:v>152</c:v>
                </c:pt>
                <c:pt idx="152">
                  <c:v>153</c:v>
                </c:pt>
                <c:pt idx="153">
                  <c:v>154</c:v>
                </c:pt>
                <c:pt idx="154">
                  <c:v>155</c:v>
                </c:pt>
                <c:pt idx="155">
                  <c:v>156</c:v>
                </c:pt>
                <c:pt idx="156">
                  <c:v>157</c:v>
                </c:pt>
                <c:pt idx="157">
                  <c:v>158</c:v>
                </c:pt>
                <c:pt idx="158">
                  <c:v>159</c:v>
                </c:pt>
                <c:pt idx="159">
                  <c:v>160</c:v>
                </c:pt>
                <c:pt idx="160">
                  <c:v>161</c:v>
                </c:pt>
                <c:pt idx="161">
                  <c:v>162</c:v>
                </c:pt>
                <c:pt idx="162">
                  <c:v>163</c:v>
                </c:pt>
                <c:pt idx="163">
                  <c:v>164</c:v>
                </c:pt>
                <c:pt idx="164">
                  <c:v>165</c:v>
                </c:pt>
                <c:pt idx="165">
                  <c:v>166</c:v>
                </c:pt>
                <c:pt idx="166">
                  <c:v>167</c:v>
                </c:pt>
                <c:pt idx="167">
                  <c:v>168</c:v>
                </c:pt>
                <c:pt idx="168">
                  <c:v>169</c:v>
                </c:pt>
                <c:pt idx="169">
                  <c:v>170</c:v>
                </c:pt>
                <c:pt idx="170">
                  <c:v>171</c:v>
                </c:pt>
                <c:pt idx="171">
                  <c:v>172</c:v>
                </c:pt>
                <c:pt idx="172">
                  <c:v>173</c:v>
                </c:pt>
                <c:pt idx="173">
                  <c:v>174</c:v>
                </c:pt>
                <c:pt idx="174">
                  <c:v>175</c:v>
                </c:pt>
                <c:pt idx="175">
                  <c:v>176</c:v>
                </c:pt>
                <c:pt idx="176">
                  <c:v>177</c:v>
                </c:pt>
                <c:pt idx="177">
                  <c:v>178</c:v>
                </c:pt>
                <c:pt idx="178">
                  <c:v>179</c:v>
                </c:pt>
                <c:pt idx="179">
                  <c:v>180</c:v>
                </c:pt>
                <c:pt idx="180">
                  <c:v>181</c:v>
                </c:pt>
                <c:pt idx="181">
                  <c:v>182</c:v>
                </c:pt>
                <c:pt idx="182">
                  <c:v>183</c:v>
                </c:pt>
                <c:pt idx="183">
                  <c:v>184</c:v>
                </c:pt>
                <c:pt idx="184">
                  <c:v>185</c:v>
                </c:pt>
                <c:pt idx="185">
                  <c:v>186</c:v>
                </c:pt>
                <c:pt idx="186">
                  <c:v>187</c:v>
                </c:pt>
                <c:pt idx="187">
                  <c:v>188</c:v>
                </c:pt>
                <c:pt idx="188">
                  <c:v>189</c:v>
                </c:pt>
                <c:pt idx="189">
                  <c:v>190</c:v>
                </c:pt>
                <c:pt idx="190">
                  <c:v>191</c:v>
                </c:pt>
                <c:pt idx="191">
                  <c:v>192</c:v>
                </c:pt>
                <c:pt idx="192">
                  <c:v>193</c:v>
                </c:pt>
                <c:pt idx="193">
                  <c:v>194</c:v>
                </c:pt>
                <c:pt idx="194">
                  <c:v>195</c:v>
                </c:pt>
                <c:pt idx="195">
                  <c:v>196</c:v>
                </c:pt>
                <c:pt idx="196">
                  <c:v>197</c:v>
                </c:pt>
                <c:pt idx="197">
                  <c:v>198</c:v>
                </c:pt>
                <c:pt idx="198">
                  <c:v>199</c:v>
                </c:pt>
                <c:pt idx="199">
                  <c:v>200</c:v>
                </c:pt>
              </c:numCache>
            </c:numRef>
          </c:cat>
          <c:val>
            <c:numRef>
              <c:f>'Forest Plot'!$I$2:$I$201</c:f>
              <c:numCache>
                <c:formatCode>0.00%</c:formatCode>
                <c:ptCount val="200"/>
                <c:pt idx="0">
                  <c:v>5.1911222229913095E-2</c:v>
                </c:pt>
                <c:pt idx="1">
                  <c:v>0.10910214442402615</c:v>
                </c:pt>
                <c:pt idx="2">
                  <c:v>9.3666807462248092E-2</c:v>
                </c:pt>
                <c:pt idx="3">
                  <c:v>0.17372656692886568</c:v>
                </c:pt>
                <c:pt idx="4">
                  <c:v>9.3707077815565476E-2</c:v>
                </c:pt>
                <c:pt idx="5">
                  <c:v>8.7895795786908593E-2</c:v>
                </c:pt>
                <c:pt idx="6">
                  <c:v>7.9169129881670117E-2</c:v>
                </c:pt>
                <c:pt idx="7">
                  <c:v>7.3965629307414502E-2</c:v>
                </c:pt>
                <c:pt idx="8">
                  <c:v>4.1250171440869357E-2</c:v>
                </c:pt>
                <c:pt idx="9">
                  <c:v>6.3785661360044266E-2</c:v>
                </c:pt>
                <c:pt idx="10">
                  <c:v>7.6558921359227802E-2</c:v>
                </c:pt>
                <c:pt idx="11">
                  <c:v>5.526087200324676E-2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F-4EA6-A729-6C17B4D1D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13523248"/>
        <c:axId val="313522856"/>
      </c:barChart>
      <c:catAx>
        <c:axId val="313523248"/>
        <c:scaling>
          <c:orientation val="maxMin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22856"/>
        <c:crosses val="autoZero"/>
        <c:auto val="1"/>
        <c:lblAlgn val="ctr"/>
        <c:lblOffset val="100"/>
        <c:noMultiLvlLbl val="0"/>
      </c:catAx>
      <c:valAx>
        <c:axId val="3135228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Weights</a:t>
                </a:r>
              </a:p>
            </c:rich>
          </c:tx>
          <c:overlay val="0"/>
        </c:title>
        <c:numFmt formatCode="0%" sourceLinked="0"/>
        <c:majorTickMark val="out"/>
        <c:minorTickMark val="out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23248"/>
        <c:crosses val="autoZero"/>
        <c:crossBetween val="between"/>
      </c:valAx>
      <c:spPr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Galbraith</a:t>
            </a:r>
            <a:r>
              <a:rPr lang="en-GB" baseline="0"/>
              <a:t> plot</a:t>
            </a:r>
            <a:endParaRPr lang="en-GB"/>
          </a:p>
        </c:rich>
      </c:tx>
      <c:layout>
        <c:manualLayout>
          <c:xMode val="edge"/>
          <c:yMode val="edge"/>
          <c:x val="0.3967068566415725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6196940899628922E-2"/>
          <c:y val="0.11451786930181398"/>
          <c:w val="0.86965933568648746"/>
          <c:h val="0.77797533623152992"/>
        </c:manualLayout>
      </c:layout>
      <c:scatterChart>
        <c:scatterStyle val="smoothMarker"/>
        <c:varyColors val="0"/>
        <c:ser>
          <c:idx val="1"/>
          <c:order val="1"/>
          <c:tx>
            <c:v>Regression slope</c:v>
          </c:tx>
          <c:marker>
            <c:symbol val="none"/>
          </c:marker>
          <c:xVal>
            <c:numRef>
              <c:f>Calculations!$IR$3:$IR$4</c:f>
              <c:numCache>
                <c:formatCode>0.00</c:formatCode>
                <c:ptCount val="2"/>
                <c:pt idx="0">
                  <c:v>0</c:v>
                </c:pt>
                <c:pt idx="1">
                  <c:v>3.1724621556501278</c:v>
                </c:pt>
              </c:numCache>
            </c:numRef>
          </c:xVal>
          <c:yVal>
            <c:numRef>
              <c:f>Calculations!$IS$3:$IS$4</c:f>
              <c:numCache>
                <c:formatCode>0.00</c:formatCode>
                <c:ptCount val="2"/>
                <c:pt idx="0">
                  <c:v>0</c:v>
                </c:pt>
                <c:pt idx="1">
                  <c:v>1.3417564805326032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41-4EEE-A8E2-78F041712456}"/>
            </c:ext>
          </c:extLst>
        </c:ser>
        <c:ser>
          <c:idx val="2"/>
          <c:order val="2"/>
          <c:tx>
            <c:v>Lower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Calculations!$IR$6:$IR$7</c:f>
              <c:numCache>
                <c:formatCode>0.00</c:formatCode>
                <c:ptCount val="2"/>
                <c:pt idx="0">
                  <c:v>0</c:v>
                </c:pt>
                <c:pt idx="1">
                  <c:v>3.1724621556501278</c:v>
                </c:pt>
              </c:numCache>
            </c:numRef>
          </c:xVal>
          <c:yVal>
            <c:numRef>
              <c:f>Calculations!$IS$6:$IS$7</c:f>
              <c:numCache>
                <c:formatCode>0.00</c:formatCode>
                <c:ptCount val="2"/>
                <c:pt idx="0">
                  <c:v>-2.2009851600916384</c:v>
                </c:pt>
                <c:pt idx="1">
                  <c:v>-0.85922867955903515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941-4EEE-A8E2-78F041712456}"/>
            </c:ext>
          </c:extLst>
        </c:ser>
        <c:ser>
          <c:idx val="3"/>
          <c:order val="3"/>
          <c:tx>
            <c:v>Upper bound</c:v>
          </c:tx>
          <c:spPr>
            <a:ln>
              <a:solidFill>
                <a:schemeClr val="accent2">
                  <a:lumMod val="40000"/>
                  <a:lumOff val="60000"/>
                </a:schemeClr>
              </a:solidFill>
            </a:ln>
          </c:spPr>
          <c:marker>
            <c:symbol val="none"/>
          </c:marker>
          <c:xVal>
            <c:numRef>
              <c:f>Calculations!$IR$9:$IR$10</c:f>
              <c:numCache>
                <c:formatCode>0.00</c:formatCode>
                <c:ptCount val="2"/>
                <c:pt idx="0">
                  <c:v>0</c:v>
                </c:pt>
                <c:pt idx="1">
                  <c:v>3.1724621556501278</c:v>
                </c:pt>
              </c:numCache>
            </c:numRef>
          </c:xVal>
          <c:yVal>
            <c:numRef>
              <c:f>Calculations!$IS$9:$IS$10</c:f>
              <c:numCache>
                <c:formatCode>0.00</c:formatCode>
                <c:ptCount val="2"/>
                <c:pt idx="0">
                  <c:v>2.2009851600916384</c:v>
                </c:pt>
                <c:pt idx="1">
                  <c:v>3.5427416406242416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941-4EEE-A8E2-78F04171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512664"/>
        <c:axId val="313512272"/>
      </c:scatterChart>
      <c:scatterChart>
        <c:scatterStyle val="lineMarker"/>
        <c:varyColors val="0"/>
        <c:ser>
          <c:idx val="4"/>
          <c:order val="0"/>
          <c:tx>
            <c:strRef>
              <c:f>Calculations!$FY$1</c:f>
              <c:strCache>
                <c:ptCount val="1"/>
                <c:pt idx="0">
                  <c:v>Z-value</c:v>
                </c:pt>
              </c:strCache>
            </c:strRef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Calculations!$IM$2:$IM$201</c:f>
              <c:numCache>
                <c:formatCode>0.00</c:formatCode>
                <c:ptCount val="200"/>
                <c:pt idx="0">
                  <c:v>1.5876233637753885</c:v>
                </c:pt>
                <c:pt idx="1">
                  <c:v>2.3944045349362075</c:v>
                </c:pt>
                <c:pt idx="2">
                  <c:v>2.1943507233977582</c:v>
                </c:pt>
                <c:pt idx="3">
                  <c:v>3.1724621556501278</c:v>
                </c:pt>
                <c:pt idx="4">
                  <c:v>2.194884563747074</c:v>
                </c:pt>
                <c:pt idx="5">
                  <c:v>2.1170992484699291</c:v>
                </c:pt>
                <c:pt idx="6">
                  <c:v>1.9971303709214194</c:v>
                </c:pt>
                <c:pt idx="7">
                  <c:v>1.9234949378461419</c:v>
                </c:pt>
                <c:pt idx="8">
                  <c:v>1.4053190492176657</c:v>
                </c:pt>
                <c:pt idx="9">
                  <c:v>1.7739126723585432</c:v>
                </c:pt>
                <c:pt idx="10">
                  <c:v>1.96040710185251</c:v>
                </c:pt>
                <c:pt idx="11">
                  <c:v>1.6417025204876192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Calculations!$IL$2:$IL$201</c:f>
              <c:numCache>
                <c:formatCode>0.00</c:formatCode>
                <c:ptCount val="200"/>
                <c:pt idx="0">
                  <c:v>1.67661389901569</c:v>
                </c:pt>
                <c:pt idx="1">
                  <c:v>1.6149182244590508</c:v>
                </c:pt>
                <c:pt idx="2">
                  <c:v>-0.68058869128891031</c:v>
                </c:pt>
                <c:pt idx="3">
                  <c:v>1.5402551718397999</c:v>
                </c:pt>
                <c:pt idx="4">
                  <c:v>1.4811038057949506</c:v>
                </c:pt>
                <c:pt idx="5">
                  <c:v>1.5958097163288587</c:v>
                </c:pt>
                <c:pt idx="6">
                  <c:v>-0.24996711411342473</c:v>
                </c:pt>
                <c:pt idx="7">
                  <c:v>2.0808467689073327</c:v>
                </c:pt>
                <c:pt idx="8">
                  <c:v>0.35317695340640431</c:v>
                </c:pt>
                <c:pt idx="9">
                  <c:v>1.3084361123379575</c:v>
                </c:pt>
                <c:pt idx="10">
                  <c:v>-1.236408813223721</c:v>
                </c:pt>
                <c:pt idx="11">
                  <c:v>0.88487191378685892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41-4EEE-A8E2-78F04171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512664"/>
        <c:axId val="313512272"/>
      </c:scatterChart>
      <c:valAx>
        <c:axId val="313512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n-US" b="1"/>
                  <a:t>Inverse standard error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13512272"/>
        <c:crossesAt val="0"/>
        <c:crossBetween val="midCat"/>
      </c:valAx>
      <c:valAx>
        <c:axId val="3135122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Z-score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13512664"/>
        <c:crossesAt val="0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44048033818782"/>
          <c:y val="9.4060057637561451E-2"/>
          <c:w val="0.84637214595963117"/>
          <c:h val="0.83795941988320499"/>
        </c:manualLayout>
      </c:layout>
      <c:scatterChart>
        <c:scatterStyle val="lineMarker"/>
        <c:varyColors val="0"/>
        <c:ser>
          <c:idx val="0"/>
          <c:order val="0"/>
          <c:tx>
            <c:v>Studies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Calculations!$GD$2:$GD$201</c:f>
              <c:numCache>
                <c:formatCode>0.00</c:formatCode>
                <c:ptCount val="200"/>
                <c:pt idx="0">
                  <c:v>1.0560526742493137</c:v>
                </c:pt>
                <c:pt idx="1">
                  <c:v>0.67445504754779284</c:v>
                </c:pt>
                <c:pt idx="2">
                  <c:v>-0.31015492830383962</c:v>
                </c:pt>
                <c:pt idx="3">
                  <c:v>0.48550781578170082</c:v>
                </c:pt>
                <c:pt idx="4">
                  <c:v>0.67479804189174875</c:v>
                </c:pt>
                <c:pt idx="5">
                  <c:v>0.7537718023763802</c:v>
                </c:pt>
                <c:pt idx="6">
                  <c:v>-0.12516314295400605</c:v>
                </c:pt>
                <c:pt idx="7">
                  <c:v>1.0818051703517284</c:v>
                </c:pt>
                <c:pt idx="8">
                  <c:v>0.25131442828090617</c:v>
                </c:pt>
                <c:pt idx="9">
                  <c:v>0.73759894313077912</c:v>
                </c:pt>
                <c:pt idx="10">
                  <c:v>-0.63068982562619869</c:v>
                </c:pt>
                <c:pt idx="11">
                  <c:v>0.5389965007326869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Calculations!$GE$2:$GE$201</c:f>
              <c:numCache>
                <c:formatCode>0.00</c:formatCode>
                <c:ptCount val="200"/>
                <c:pt idx="0">
                  <c:v>0.62987231280219214</c:v>
                </c:pt>
                <c:pt idx="1">
                  <c:v>0.41764037171214358</c:v>
                </c:pt>
                <c:pt idx="2">
                  <c:v>0.45571566538442332</c:v>
                </c:pt>
                <c:pt idx="3">
                  <c:v>0.31521258597805762</c:v>
                </c:pt>
                <c:pt idx="4">
                  <c:v>0.45560482611113501</c:v>
                </c:pt>
                <c:pt idx="5">
                  <c:v>0.4723444121586271</c:v>
                </c:pt>
                <c:pt idx="6">
                  <c:v>0.50071843809506955</c:v>
                </c:pt>
                <c:pt idx="7">
                  <c:v>0.51988699337039213</c:v>
                </c:pt>
                <c:pt idx="8">
                  <c:v>0.71158218523878625</c:v>
                </c:pt>
                <c:pt idx="9">
                  <c:v>0.56372560813291261</c:v>
                </c:pt>
                <c:pt idx="10">
                  <c:v>0.51009813168654516</c:v>
                </c:pt>
                <c:pt idx="11">
                  <c:v>0.60912375264123952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E7-45A7-80AA-41AA77B431B5}"/>
            </c:ext>
          </c:extLst>
        </c:ser>
        <c:ser>
          <c:idx val="1"/>
          <c:order val="1"/>
          <c:tx>
            <c:v>Diagonals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Calculations!$GH$3:$GH$5</c:f>
              <c:numCache>
                <c:formatCode>0.00</c:formatCode>
                <c:ptCount val="3"/>
                <c:pt idx="0">
                  <c:v>-1.4564796658938781</c:v>
                </c:pt>
                <c:pt idx="1">
                  <c:v>0.42293852998149922</c:v>
                </c:pt>
                <c:pt idx="2">
                  <c:v>2.3023567258568765</c:v>
                </c:pt>
              </c:numCache>
            </c:numRef>
          </c:xVal>
          <c:yVal>
            <c:numRef>
              <c:f>Calculations!$GI$3:$GI$5</c:f>
              <c:numCache>
                <c:formatCode>0.00</c:formatCode>
                <c:ptCount val="3"/>
                <c:pt idx="0">
                  <c:v>0.85389862228654345</c:v>
                </c:pt>
                <c:pt idx="1">
                  <c:v>0</c:v>
                </c:pt>
                <c:pt idx="2">
                  <c:v>0.85389862228654345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E7-45A7-80AA-41AA77B431B5}"/>
            </c:ext>
          </c:extLst>
        </c:ser>
        <c:ser>
          <c:idx val="2"/>
          <c:order val="2"/>
          <c:tx>
            <c:v>Mid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Calculations!$GH$7:$GH$8</c:f>
              <c:numCache>
                <c:formatCode>0.00</c:formatCode>
                <c:ptCount val="2"/>
                <c:pt idx="0">
                  <c:v>0.42293852998149922</c:v>
                </c:pt>
                <c:pt idx="1">
                  <c:v>0.42293852998149922</c:v>
                </c:pt>
              </c:numCache>
            </c:numRef>
          </c:xVal>
          <c:yVal>
            <c:numRef>
              <c:f>Calculations!$GI$7:$GI$8</c:f>
              <c:numCache>
                <c:formatCode>0.00</c:formatCode>
                <c:ptCount val="2"/>
                <c:pt idx="0">
                  <c:v>0</c:v>
                </c:pt>
                <c:pt idx="1">
                  <c:v>0.85389862228654345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E7-45A7-80AA-41AA77B431B5}"/>
            </c:ext>
          </c:extLst>
        </c:ser>
        <c:ser>
          <c:idx val="3"/>
          <c:order val="3"/>
          <c:tx>
            <c:v>Combined Effect Size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Calculations!$GH$16</c:f>
                <c:numCache>
                  <c:formatCode>General</c:formatCode>
                  <c:ptCount val="1"/>
                  <c:pt idx="0">
                    <c:v>0.47553791340576224</c:v>
                  </c:pt>
                </c:numCache>
              </c:numRef>
            </c:plus>
            <c:minus>
              <c:numRef>
                <c:f>Calculations!$GH$16</c:f>
                <c:numCache>
                  <c:formatCode>General</c:formatCode>
                  <c:ptCount val="1"/>
                  <c:pt idx="0">
                    <c:v>0.47553791340576224</c:v>
                  </c:pt>
                </c:numCache>
              </c:numRef>
            </c:minus>
            <c:spPr>
              <a:ln w="19050">
                <a:solidFill>
                  <a:schemeClr val="accent3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0.42293852998149922</c:v>
                </c:pt>
              </c:numCache>
            </c:numRef>
          </c:xVal>
          <c:yVal>
            <c:numRef>
              <c:f>Calculations!$GH$17</c:f>
              <c:numCache>
                <c:formatCode>0.00</c:formatCode>
                <c:ptCount val="1"/>
                <c:pt idx="0">
                  <c:v>0.78274040376266496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5E7-45A7-80AA-41AA77B431B5}"/>
            </c:ext>
          </c:extLst>
        </c:ser>
        <c:ser>
          <c:idx val="4"/>
          <c:order val="4"/>
          <c:tx>
            <c:v>Combined Effect Size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Calculations!$GH$15</c:f>
                <c:numCache>
                  <c:formatCode>General</c:formatCode>
                  <c:ptCount val="1"/>
                  <c:pt idx="0">
                    <c:v>0.30586509133101669</c:v>
                  </c:pt>
                </c:numCache>
              </c:numRef>
            </c:plus>
            <c:minus>
              <c:numRef>
                <c:f>Calculations!$GH$15</c:f>
                <c:numCache>
                  <c:formatCode>General</c:formatCode>
                  <c:ptCount val="1"/>
                  <c:pt idx="0">
                    <c:v>0.30586509133101669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Analysis'!$I$29</c:f>
              <c:numCache>
                <c:formatCode>0.00</c:formatCode>
                <c:ptCount val="1"/>
                <c:pt idx="0">
                  <c:v>0.42293852998149922</c:v>
                </c:pt>
              </c:numCache>
            </c:numRef>
          </c:xVal>
          <c:yVal>
            <c:numRef>
              <c:f>Calculations!$GH$17</c:f>
              <c:numCache>
                <c:formatCode>0.00</c:formatCode>
                <c:ptCount val="1"/>
                <c:pt idx="0">
                  <c:v>0.78274040376266496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E7-45A7-80AA-41AA77B431B5}"/>
            </c:ext>
          </c:extLst>
        </c:ser>
        <c:ser>
          <c:idx val="5"/>
          <c:order val="5"/>
          <c:tx>
            <c:v>Adjusted CES PI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Calculations!$GH$21</c:f>
                <c:numCache>
                  <c:formatCode>General</c:formatCode>
                  <c:ptCount val="1"/>
                  <c:pt idx="0">
                    <c:v>0.47553791340576224</c:v>
                  </c:pt>
                </c:numCache>
              </c:numRef>
            </c:plus>
            <c:minus>
              <c:numRef>
                <c:f>Calculations!$GH$21</c:f>
                <c:numCache>
                  <c:formatCode>General</c:formatCode>
                  <c:ptCount val="1"/>
                  <c:pt idx="0">
                    <c:v>0.47553791340576224</c:v>
                  </c:pt>
                </c:numCache>
              </c:numRef>
            </c:minus>
            <c:spPr>
              <a:ln w="19050">
                <a:solidFill>
                  <a:schemeClr val="accent2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0.42293852998149922</c:v>
                </c:pt>
              </c:numCache>
            </c:numRef>
          </c:xVal>
          <c:yVal>
            <c:numRef>
              <c:f>Calculations!$GH$22</c:f>
              <c:numCache>
                <c:formatCode>0.00</c:formatCode>
                <c:ptCount val="1"/>
                <c:pt idx="0">
                  <c:v>0.85389862228654345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5E7-45A7-80AA-41AA77B431B5}"/>
            </c:ext>
          </c:extLst>
        </c:ser>
        <c:ser>
          <c:idx val="6"/>
          <c:order val="6"/>
          <c:tx>
            <c:v>Adjusted CES</c:v>
          </c:tx>
          <c:spPr>
            <a:ln w="28575"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>
                <a:noFill/>
              </a:ln>
            </c:spPr>
          </c:marker>
          <c:errBars>
            <c:errDir val="x"/>
            <c:errBarType val="both"/>
            <c:errValType val="cust"/>
            <c:noEndCap val="0"/>
            <c:plus>
              <c:numRef>
                <c:f>Calculations!$GH$20</c:f>
                <c:numCache>
                  <c:formatCode>General</c:formatCode>
                  <c:ptCount val="1"/>
                  <c:pt idx="0">
                    <c:v>0.30586509133101669</c:v>
                  </c:pt>
                </c:numCache>
              </c:numRef>
            </c:plus>
            <c:minus>
              <c:numRef>
                <c:f>Calculations!$GH$20</c:f>
                <c:numCache>
                  <c:formatCode>General</c:formatCode>
                  <c:ptCount val="1"/>
                  <c:pt idx="0">
                    <c:v>0.30586509133101669</c:v>
                  </c:pt>
                </c:numCache>
              </c:numRef>
            </c:minus>
            <c:spPr>
              <a:ln w="19050">
                <a:solidFill>
                  <a:schemeClr val="tx1"/>
                </a:solidFill>
              </a:ln>
            </c:spPr>
          </c:errBars>
          <c:xVal>
            <c:numRef>
              <c:f>'Publication Bias Analysis'!$I$37</c:f>
              <c:numCache>
                <c:formatCode>0.00</c:formatCode>
                <c:ptCount val="1"/>
                <c:pt idx="0">
                  <c:v>0.42293852998149922</c:v>
                </c:pt>
              </c:numCache>
            </c:numRef>
          </c:xVal>
          <c:yVal>
            <c:numRef>
              <c:f>Calculations!$GH$22</c:f>
              <c:numCache>
                <c:formatCode>0.00</c:formatCode>
                <c:ptCount val="1"/>
                <c:pt idx="0">
                  <c:v>0.85389862228654345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5E7-45A7-80AA-41AA77B431B5}"/>
            </c:ext>
          </c:extLst>
        </c:ser>
        <c:ser>
          <c:idx val="7"/>
          <c:order val="7"/>
          <c:tx>
            <c:v>Inputed data points</c:v>
          </c:tx>
          <c:spPr>
            <a:ln w="28575">
              <a:noFill/>
            </a:ln>
          </c:spPr>
          <c:marker>
            <c:symbol val="circle"/>
            <c:size val="7"/>
            <c:spPr>
              <a:noFill/>
              <a:ln w="19050">
                <a:solidFill>
                  <a:schemeClr val="accent6"/>
                </a:solidFill>
              </a:ln>
            </c:spPr>
          </c:marker>
          <c:xVal>
            <c:numRef>
              <c:f>Calculations!$HH$2:$HH$41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xVal>
          <c:yVal>
            <c:numRef>
              <c:f>Calculations!$HI$2:$HI$41</c:f>
              <c:numCache>
                <c:formatCode>0.00</c:formatCode>
                <c:ptCount val="40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5E7-45A7-80AA-41AA77B43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511488"/>
        <c:axId val="313511096"/>
      </c:scatterChart>
      <c:valAx>
        <c:axId val="313511488"/>
        <c:scaling>
          <c:orientation val="minMax"/>
        </c:scaling>
        <c:delete val="0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chemeClr val="tx1"/>
                    </a:solidFill>
                  </a:rPr>
                  <a:t>Effect size</a:t>
                </a:r>
                <a:endParaRPr lang="en-GB" b="1" baseline="-2500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5625135093407443"/>
              <c:y val="0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nextTo"/>
        <c:spPr>
          <a:noFill/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1096"/>
        <c:crossesAt val="0"/>
        <c:crossBetween val="midCat"/>
      </c:valAx>
      <c:valAx>
        <c:axId val="31351109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chemeClr val="tx1"/>
                    </a:solidFill>
                  </a:rPr>
                  <a:t>Standard error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1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3.4413172401892671E-3"/>
          <c:y val="0.9283860133597045"/>
          <c:w val="0.99081037880645539"/>
          <c:h val="7.1613986640295557E-2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>
                <a:solidFill>
                  <a:sysClr val="windowText" lastClr="000000"/>
                </a:solidFill>
              </a:rPr>
              <a:t>Normal</a:t>
            </a:r>
            <a:r>
              <a:rPr lang="en-US" sz="1800" b="1" baseline="0">
                <a:solidFill>
                  <a:sysClr val="windowText" lastClr="000000"/>
                </a:solidFill>
              </a:rPr>
              <a:t> </a:t>
            </a:r>
            <a:r>
              <a:rPr lang="en-US" sz="1800" b="1">
                <a:solidFill>
                  <a:sysClr val="windowText" lastClr="000000"/>
                </a:solidFill>
              </a:rPr>
              <a:t>quantile plot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9.0480839895013127E-2"/>
          <c:y val="0.11116713515023482"/>
          <c:w val="0.86827386576677912"/>
          <c:h val="0.77311102187614578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Calculations!$IU$1</c:f>
              <c:strCache>
                <c:ptCount val="1"/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Calculations!$IX$2:$IX$201</c:f>
              <c:numCache>
                <c:formatCode>0.00</c:formatCode>
                <c:ptCount val="200"/>
                <c:pt idx="0">
                  <c:v>1.1024403670151643</c:v>
                </c:pt>
                <c:pt idx="1">
                  <c:v>0.78503604987689113</c:v>
                </c:pt>
                <c:pt idx="2">
                  <c:v>-1.1024403670151643</c:v>
                </c:pt>
                <c:pt idx="3">
                  <c:v>0.30974253153853021</c:v>
                </c:pt>
                <c:pt idx="4">
                  <c:v>0.10179559909470504</c:v>
                </c:pt>
                <c:pt idx="5">
                  <c:v>0.53218973091930399</c:v>
                </c:pt>
                <c:pt idx="6">
                  <c:v>-0.78503604987689179</c:v>
                </c:pt>
                <c:pt idx="7">
                  <c:v>1.6067550689692418</c:v>
                </c:pt>
                <c:pt idx="8">
                  <c:v>-0.53218973091930433</c:v>
                </c:pt>
                <c:pt idx="9">
                  <c:v>-0.10179559909470488</c:v>
                </c:pt>
                <c:pt idx="10">
                  <c:v>-1.6067550689692427</c:v>
                </c:pt>
                <c:pt idx="11">
                  <c:v>-0.30974253153853021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Calculations!$IY$2:$IY$201</c:f>
              <c:numCache>
                <c:formatCode>0.00</c:formatCode>
                <c:ptCount val="200"/>
                <c:pt idx="0">
                  <c:v>1.67661389901569</c:v>
                </c:pt>
                <c:pt idx="1">
                  <c:v>1.6149182244590508</c:v>
                </c:pt>
                <c:pt idx="2">
                  <c:v>-0.68058869128891031</c:v>
                </c:pt>
                <c:pt idx="3">
                  <c:v>1.5402551718397999</c:v>
                </c:pt>
                <c:pt idx="4">
                  <c:v>1.4811038057949506</c:v>
                </c:pt>
                <c:pt idx="5">
                  <c:v>1.5958097163288587</c:v>
                </c:pt>
                <c:pt idx="6">
                  <c:v>-0.24996711411342473</c:v>
                </c:pt>
                <c:pt idx="7">
                  <c:v>2.0808467689073327</c:v>
                </c:pt>
                <c:pt idx="8">
                  <c:v>0.35317695340640431</c:v>
                </c:pt>
                <c:pt idx="9">
                  <c:v>1.3084361123379575</c:v>
                </c:pt>
                <c:pt idx="10">
                  <c:v>-1.236408813223721</c:v>
                </c:pt>
                <c:pt idx="11">
                  <c:v>0.88487191378685892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3B-49E0-B76D-E1D3DF594152}"/>
            </c:ext>
          </c:extLst>
        </c:ser>
        <c:ser>
          <c:idx val="1"/>
          <c:order val="1"/>
          <c:tx>
            <c:v>Regression line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Calculations!$JD$3:$JD$4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Calculations!$JE$3:$JE$4</c:f>
              <c:numCache>
                <c:formatCode>0.00</c:formatCode>
                <c:ptCount val="2"/>
                <c:pt idx="0">
                  <c:v>-0.85455274881005205</c:v>
                </c:pt>
                <c:pt idx="1">
                  <c:v>2.5827307400185262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3B-49E0-B76D-E1D3DF594152}"/>
            </c:ext>
          </c:extLst>
        </c:ser>
        <c:ser>
          <c:idx val="2"/>
          <c:order val="2"/>
          <c:tx>
            <c:strRef>
              <c:f>Calculations!$JC$5</c:f>
              <c:strCache>
                <c:ptCount val="1"/>
                <c:pt idx="0">
                  <c:v>Horizontal</c:v>
                </c:pt>
              </c:strCache>
            </c:strRef>
          </c:tx>
          <c:spPr>
            <a:ln w="127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Calculations!$JD$6:$JD$7</c:f>
              <c:numCache>
                <c:formatCode>0.00</c:formatCode>
                <c:ptCount val="2"/>
                <c:pt idx="0">
                  <c:v>-1.6067550689692427</c:v>
                </c:pt>
                <c:pt idx="1">
                  <c:v>1.6067550689692418</c:v>
                </c:pt>
              </c:numCache>
            </c:numRef>
          </c:xVal>
          <c:yVal>
            <c:numRef>
              <c:f>Calculations!$JE$6:$JE$7</c:f>
              <c:numCache>
                <c:formatCode>0.00</c:formatCode>
                <c:ptCount val="2"/>
                <c:pt idx="0">
                  <c:v>0.86408899560423758</c:v>
                </c:pt>
                <c:pt idx="1">
                  <c:v>0.86408899560423758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3B-49E0-B76D-E1D3DF59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510312"/>
        <c:axId val="313509920"/>
      </c:scatterChart>
      <c:valAx>
        <c:axId val="313510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Normal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in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09920"/>
        <c:crossesAt val="0"/>
        <c:crossBetween val="midCat"/>
      </c:valAx>
      <c:valAx>
        <c:axId val="3135099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Sample Quantile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0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Standardized Residual</a:t>
            </a:r>
            <a:r>
              <a:rPr lang="nl-NL" baseline="0"/>
              <a:t> Histogram</a:t>
            </a:r>
            <a:endParaRPr lang="nl-NL"/>
          </a:p>
        </c:rich>
      </c:tx>
      <c:layout>
        <c:manualLayout>
          <c:xMode val="edge"/>
          <c:yMode val="edge"/>
          <c:x val="0.2268532901978084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65521956814222"/>
          <c:y val="0.10790787410744274"/>
          <c:w val="0.83898343589404267"/>
          <c:h val="0.76981273664204697"/>
        </c:manualLayout>
      </c:layout>
      <c:lineChart>
        <c:grouping val="standard"/>
        <c:varyColors val="0"/>
        <c:ser>
          <c:idx val="0"/>
          <c:order val="0"/>
          <c:tx>
            <c:strRef>
              <c:f>'Publication Bias Analysis'!$Z$29</c:f>
              <c:strCache>
                <c:ptCount val="1"/>
                <c:pt idx="0">
                  <c:v>Proportion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errBars>
            <c:errDir val="y"/>
            <c:errBarType val="minus"/>
            <c:errValType val="fixedVal"/>
            <c:noEndCap val="1"/>
            <c:val val="1"/>
            <c:spPr>
              <a:ln w="254000">
                <a:solidFill>
                  <a:schemeClr val="accent1"/>
                </a:solidFill>
              </a:ln>
            </c:spPr>
          </c:errBars>
          <c:cat>
            <c:strRef>
              <c:f>'Publication Bias Analysis'!$Y$30:$Y$39</c:f>
              <c:strCache>
                <c:ptCount val="10"/>
                <c:pt idx="1">
                  <c:v>-∞; -1.75</c:v>
                </c:pt>
                <c:pt idx="2">
                  <c:v>-1.75; -1.25</c:v>
                </c:pt>
                <c:pt idx="3">
                  <c:v>-1.25; -0.75</c:v>
                </c:pt>
                <c:pt idx="4">
                  <c:v>-0.75; -0.25</c:v>
                </c:pt>
                <c:pt idx="5">
                  <c:v>-0.25; 0.25</c:v>
                </c:pt>
                <c:pt idx="6">
                  <c:v>0.25; 0.75</c:v>
                </c:pt>
                <c:pt idx="7">
                  <c:v>0.75; 1.25</c:v>
                </c:pt>
                <c:pt idx="8">
                  <c:v>1.25; 1.75</c:v>
                </c:pt>
                <c:pt idx="9">
                  <c:v>1.75; ∞</c:v>
                </c:pt>
              </c:strCache>
            </c:strRef>
          </c:cat>
          <c:val>
            <c:numRef>
              <c:f>'Publication Bias Analysis'!$Z$30:$Z$40</c:f>
              <c:numCache>
                <c:formatCode>0.00</c:formatCode>
                <c:ptCount val="11"/>
                <c:pt idx="1">
                  <c:v>8.3333333333333329E-2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0</c:v>
                </c:pt>
                <c:pt idx="5">
                  <c:v>0.25</c:v>
                </c:pt>
                <c:pt idx="6">
                  <c:v>0.33333333333333331</c:v>
                </c:pt>
                <c:pt idx="7">
                  <c:v>8.3333333333333329E-2</c:v>
                </c:pt>
                <c:pt idx="8">
                  <c:v>8.3333333333333329E-2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67-4537-AC34-5B35A64D52F0}"/>
            </c:ext>
          </c:extLst>
        </c:ser>
        <c:ser>
          <c:idx val="1"/>
          <c:order val="1"/>
          <c:tx>
            <c:strRef>
              <c:f>'Publication Bias Analysis'!$AA$29</c:f>
              <c:strCache>
                <c:ptCount val="1"/>
                <c:pt idx="0">
                  <c:v>Probability</c:v>
                </c:pt>
              </c:strCache>
            </c:strRef>
          </c:tx>
          <c:marker>
            <c:symbol val="none"/>
          </c:marker>
          <c:cat>
            <c:strRef>
              <c:f>'Publication Bias Analysis'!$Y$30:$Y$39</c:f>
              <c:strCache>
                <c:ptCount val="10"/>
                <c:pt idx="1">
                  <c:v>-∞; -1.75</c:v>
                </c:pt>
                <c:pt idx="2">
                  <c:v>-1.75; -1.25</c:v>
                </c:pt>
                <c:pt idx="3">
                  <c:v>-1.25; -0.75</c:v>
                </c:pt>
                <c:pt idx="4">
                  <c:v>-0.75; -0.25</c:v>
                </c:pt>
                <c:pt idx="5">
                  <c:v>-0.25; 0.25</c:v>
                </c:pt>
                <c:pt idx="6">
                  <c:v>0.25; 0.75</c:v>
                </c:pt>
                <c:pt idx="7">
                  <c:v>0.75; 1.25</c:v>
                </c:pt>
                <c:pt idx="8">
                  <c:v>1.25; 1.75</c:v>
                </c:pt>
                <c:pt idx="9">
                  <c:v>1.75; ∞</c:v>
                </c:pt>
              </c:strCache>
            </c:strRef>
          </c:cat>
          <c:val>
            <c:numRef>
              <c:f>'Publication Bias Analysis'!$AA$30:$AA$40</c:f>
              <c:numCache>
                <c:formatCode>0.00</c:formatCode>
                <c:ptCount val="11"/>
                <c:pt idx="1">
                  <c:v>4.00591568638171E-2</c:v>
                </c:pt>
                <c:pt idx="2">
                  <c:v>6.5590616803038154E-2</c:v>
                </c:pt>
                <c:pt idx="3">
                  <c:v>0.12097757871001295</c:v>
                </c:pt>
                <c:pt idx="4">
                  <c:v>0.17466632194020809</c:v>
                </c:pt>
                <c:pt idx="5">
                  <c:v>0.1974126513658474</c:v>
                </c:pt>
                <c:pt idx="6">
                  <c:v>0.17466632194020804</c:v>
                </c:pt>
                <c:pt idx="7">
                  <c:v>0.12097757871001302</c:v>
                </c:pt>
                <c:pt idx="8">
                  <c:v>6.5590616803038126E-2</c:v>
                </c:pt>
                <c:pt idx="9">
                  <c:v>4.0059156863817114E-2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967-4537-AC34-5B35A64D5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509136"/>
        <c:axId val="313508744"/>
      </c:lineChart>
      <c:catAx>
        <c:axId val="313509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Z-score</a:t>
                </a:r>
              </a:p>
            </c:rich>
          </c:tx>
          <c:overlay val="0"/>
        </c:title>
        <c:numFmt formatCode="General" sourceLinked="1"/>
        <c:majorTickMark val="in"/>
        <c:minorTickMark val="none"/>
        <c:tickLblPos val="nextTo"/>
        <c:crossAx val="313508744"/>
        <c:crosses val="autoZero"/>
        <c:auto val="1"/>
        <c:lblAlgn val="ctr"/>
        <c:lblOffset val="100"/>
        <c:noMultiLvlLbl val="0"/>
      </c:catAx>
      <c:valAx>
        <c:axId val="313508744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Probability</a:t>
                </a:r>
              </a:p>
            </c:rich>
          </c:tx>
          <c:layout>
            <c:manualLayout>
              <c:xMode val="edge"/>
              <c:yMode val="edge"/>
              <c:x val="0"/>
              <c:y val="0.41932374947562751"/>
            </c:manualLayout>
          </c:layout>
          <c:overlay val="0"/>
        </c:title>
        <c:numFmt formatCode="General" sourceLinked="1"/>
        <c:majorTickMark val="in"/>
        <c:minorTickMark val="none"/>
        <c:tickLblPos val="low"/>
        <c:crossAx val="313509136"/>
        <c:crossesAt val="6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1942083972177E-2"/>
          <c:y val="1.4583962003231227E-2"/>
          <c:w val="0.91168674103870162"/>
          <c:h val="0.97803210978828081"/>
        </c:manualLayout>
      </c:layout>
      <c:bubbleChart>
        <c:varyColors val="0"/>
        <c:ser>
          <c:idx val="0"/>
          <c:order val="0"/>
          <c:tx>
            <c:strRef>
              <c:f>'Forest Plot'!$B$8</c:f>
              <c:strCache>
                <c:ptCount val="1"/>
                <c:pt idx="0">
                  <c:v>Odds Ratio</c:v>
                </c:pt>
              </c:strCache>
            </c:strRef>
          </c:tx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Calculations!$AY$2:$AY$201</c:f>
                <c:numCache>
                  <c:formatCode>General</c:formatCode>
                  <c:ptCount val="200"/>
                  <c:pt idx="0">
                    <c:v>7.1593457117642512</c:v>
                  </c:pt>
                  <c:pt idx="1">
                    <c:v>2.522437929900839</c:v>
                  </c:pt>
                  <c:pt idx="2">
                    <c:v>1.0835185489095127</c:v>
                  </c:pt>
                  <c:pt idx="3">
                    <c:v>1.3967389450369216</c:v>
                  </c:pt>
                  <c:pt idx="4">
                    <c:v>2.8890814998071672</c:v>
                  </c:pt>
                  <c:pt idx="5">
                    <c:v>3.3078130960595002</c:v>
                  </c:pt>
                  <c:pt idx="6">
                    <c:v>1.495970218725259</c:v>
                  </c:pt>
                  <c:pt idx="7">
                    <c:v>5.3022872912392058</c:v>
                  </c:pt>
                  <c:pt idx="8">
                    <c:v>4.0156581436972587</c:v>
                  </c:pt>
                  <c:pt idx="9">
                    <c:v>4.2570158521251509</c:v>
                  </c:pt>
                  <c:pt idx="10">
                    <c:v>0.93448726342502608</c:v>
                  </c:pt>
                  <c:pt idx="11">
                    <c:v>4.0275717820582377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Calculations!$AX$2:$AX$201</c:f>
                <c:numCache>
                  <c:formatCode>General</c:formatCode>
                  <c:ptCount val="200"/>
                  <c:pt idx="0">
                    <c:v>2.0512666707497038</c:v>
                  </c:pt>
                  <c:pt idx="1">
                    <c:v>1.1039040547403447</c:v>
                  </c:pt>
                  <c:pt idx="2">
                    <c:v>0.43733904616342489</c:v>
                  </c:pt>
                  <c:pt idx="3">
                    <c:v>0.75112404710303815</c:v>
                  </c:pt>
                  <c:pt idx="4">
                    <c:v>1.1690573509882052</c:v>
                  </c:pt>
                  <c:pt idx="5">
                    <c:v>1.2938237897830041</c:v>
                  </c:pt>
                  <c:pt idx="6">
                    <c:v>0.55500183686525628</c:v>
                  </c:pt>
                  <c:pt idx="7">
                    <c:v>1.8954438881158746</c:v>
                  </c:pt>
                  <c:pt idx="8">
                    <c:v>0.97389668630950554</c:v>
                  </c:pt>
                  <c:pt idx="9">
                    <c:v>1.4021957135961325</c:v>
                  </c:pt>
                  <c:pt idx="10">
                    <c:v>0.33909664333605821</c:v>
                  </c:pt>
                  <c:pt idx="11">
                    <c:v>1.2024695446793969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Calculations!$AW$2:$AW$201</c:f>
              <c:numCache>
                <c:formatCode>0.00</c:formatCode>
                <c:ptCount val="200"/>
                <c:pt idx="0">
                  <c:v>2.875</c:v>
                </c:pt>
                <c:pt idx="1">
                  <c:v>1.962962962962963</c:v>
                </c:pt>
                <c:pt idx="2">
                  <c:v>0.73333333333333328</c:v>
                </c:pt>
                <c:pt idx="3">
                  <c:v>1.625</c:v>
                </c:pt>
                <c:pt idx="4">
                  <c:v>1.9636363636363636</c:v>
                </c:pt>
                <c:pt idx="5">
                  <c:v>2.125</c:v>
                </c:pt>
                <c:pt idx="6">
                  <c:v>0.88235294117647056</c:v>
                </c:pt>
                <c:pt idx="7">
                  <c:v>2.95</c:v>
                </c:pt>
                <c:pt idx="8">
                  <c:v>1.2857142857142858</c:v>
                </c:pt>
                <c:pt idx="9">
                  <c:v>2.0909090909090908</c:v>
                </c:pt>
                <c:pt idx="10">
                  <c:v>0.53222453222453225</c:v>
                </c:pt>
                <c:pt idx="11">
                  <c:v>1.7142857142857142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Calculations!$AK$2:$AK$201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Calculations!$AU$2:$AU$201</c:f>
              <c:numCache>
                <c:formatCode>0.00%</c:formatCode>
                <c:ptCount val="200"/>
                <c:pt idx="0">
                  <c:v>5.1911222229913095E-2</c:v>
                </c:pt>
                <c:pt idx="1">
                  <c:v>0.10910214442402615</c:v>
                </c:pt>
                <c:pt idx="2">
                  <c:v>9.3666807462248092E-2</c:v>
                </c:pt>
                <c:pt idx="3">
                  <c:v>0.17372656692886568</c:v>
                </c:pt>
                <c:pt idx="4">
                  <c:v>9.3707077815565476E-2</c:v>
                </c:pt>
                <c:pt idx="5">
                  <c:v>8.7895795786908593E-2</c:v>
                </c:pt>
                <c:pt idx="6">
                  <c:v>7.9169129881670117E-2</c:v>
                </c:pt>
                <c:pt idx="7">
                  <c:v>7.3965629307414502E-2</c:v>
                </c:pt>
                <c:pt idx="8">
                  <c:v>4.1250171440869357E-2</c:v>
                </c:pt>
                <c:pt idx="9">
                  <c:v>6.3785661360044266E-2</c:v>
                </c:pt>
                <c:pt idx="10">
                  <c:v>7.6558921359227802E-2</c:v>
                </c:pt>
                <c:pt idx="11">
                  <c:v>5.526087200324676E-2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54AF-496D-B896-5D129CEFBCF1}"/>
            </c:ext>
          </c:extLst>
        </c:ser>
        <c:ser>
          <c:idx val="2"/>
          <c:order val="1"/>
          <c:tx>
            <c:v>Combined Effect Size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Calculations!$BB$7</c:f>
                <c:numCache>
                  <c:formatCode>General</c:formatCode>
                  <c:ptCount val="1"/>
                  <c:pt idx="0">
                    <c:v>0.96371971094815234</c:v>
                  </c:pt>
                </c:numCache>
              </c:numRef>
            </c:plus>
            <c:minus>
              <c:numRef>
                <c:f>Calculations!$BB$6</c:f>
                <c:numCache>
                  <c:formatCode>General</c:formatCode>
                  <c:ptCount val="1"/>
                  <c:pt idx="0">
                    <c:v>0.59058274410682832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Calculations!$BB$2</c:f>
              <c:numCache>
                <c:formatCode>0.00</c:formatCode>
                <c:ptCount val="1"/>
                <c:pt idx="0">
                  <c:v>1.5253279144642675</c:v>
                </c:pt>
              </c:numCache>
            </c:numRef>
          </c:xVal>
          <c:yVal>
            <c:numRef>
              <c:f>Calculations!$BB$3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Calculations!$BB$8</c:f>
              <c:numCache>
                <c:formatCode>0.00%</c:formatCode>
                <c:ptCount val="1"/>
                <c:pt idx="0">
                  <c:v>0.17372656692886568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54AF-496D-B896-5D129CEFBCF1}"/>
            </c:ext>
          </c:extLst>
        </c:ser>
        <c:ser>
          <c:idx val="1"/>
          <c:order val="2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Calculations!$BB$5</c:f>
                <c:numCache>
                  <c:formatCode>General</c:formatCode>
                  <c:ptCount val="1"/>
                  <c:pt idx="0">
                    <c:v>0.59092105191755739</c:v>
                  </c:pt>
                </c:numCache>
              </c:numRef>
            </c:plus>
            <c:minus>
              <c:numRef>
                <c:f>Calculations!$BB$4</c:f>
                <c:numCache>
                  <c:formatCode>General</c:formatCode>
                  <c:ptCount val="1"/>
                  <c:pt idx="0">
                    <c:v>0.42591792839737774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Calculations!$BB$2</c:f>
              <c:numCache>
                <c:formatCode>0.00</c:formatCode>
                <c:ptCount val="1"/>
                <c:pt idx="0">
                  <c:v>1.5253279144642675</c:v>
                </c:pt>
              </c:numCache>
            </c:numRef>
          </c:xVal>
          <c:yVal>
            <c:numRef>
              <c:f>Calculations!$BB$3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Calculations!$BB$8</c:f>
              <c:numCache>
                <c:formatCode>0.00%</c:formatCode>
                <c:ptCount val="1"/>
                <c:pt idx="0">
                  <c:v>0.17372656692886568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54AF-496D-B896-5D129CEFB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13522072"/>
        <c:axId val="313521680"/>
      </c:bubbleChart>
      <c:valAx>
        <c:axId val="313522072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Effect Size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nextTo"/>
        <c:crossAx val="313521680"/>
        <c:crossesAt val="0"/>
        <c:crossBetween val="midCat"/>
      </c:valAx>
      <c:valAx>
        <c:axId val="313521680"/>
        <c:scaling>
          <c:orientation val="maxMin"/>
          <c:max val="204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crossAx val="313522072"/>
        <c:crosses val="autoZero"/>
        <c:crossBetween val="midCat"/>
        <c:majorUnit val="1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269039717142797E-2"/>
          <c:y val="1.4261174148910953E-2"/>
          <c:w val="0.91168674103870162"/>
          <c:h val="0.97929717381186943"/>
        </c:manualLayout>
      </c:layout>
      <c:bubbleChart>
        <c:varyColors val="0"/>
        <c:ser>
          <c:idx val="0"/>
          <c:order val="0"/>
          <c:tx>
            <c:v>Effect Size</c:v>
          </c:tx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Calculations!$AY$2:$AY$201</c:f>
                <c:numCache>
                  <c:formatCode>General</c:formatCode>
                  <c:ptCount val="200"/>
                  <c:pt idx="0">
                    <c:v>7.1593457117642512</c:v>
                  </c:pt>
                  <c:pt idx="1">
                    <c:v>2.522437929900839</c:v>
                  </c:pt>
                  <c:pt idx="2">
                    <c:v>1.0835185489095127</c:v>
                  </c:pt>
                  <c:pt idx="3">
                    <c:v>1.3967389450369216</c:v>
                  </c:pt>
                  <c:pt idx="4">
                    <c:v>2.8890814998071672</c:v>
                  </c:pt>
                  <c:pt idx="5">
                    <c:v>3.3078130960595002</c:v>
                  </c:pt>
                  <c:pt idx="6">
                    <c:v>1.495970218725259</c:v>
                  </c:pt>
                  <c:pt idx="7">
                    <c:v>5.3022872912392058</c:v>
                  </c:pt>
                  <c:pt idx="8">
                    <c:v>4.0156581436972587</c:v>
                  </c:pt>
                  <c:pt idx="9">
                    <c:v>4.2570158521251509</c:v>
                  </c:pt>
                  <c:pt idx="10">
                    <c:v>0.93448726342502608</c:v>
                  </c:pt>
                  <c:pt idx="11">
                    <c:v>4.0275717820582377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Calculations!$AX$2:$AX$201</c:f>
                <c:numCache>
                  <c:formatCode>General</c:formatCode>
                  <c:ptCount val="200"/>
                  <c:pt idx="0">
                    <c:v>2.0512666707497038</c:v>
                  </c:pt>
                  <c:pt idx="1">
                    <c:v>1.1039040547403447</c:v>
                  </c:pt>
                  <c:pt idx="2">
                    <c:v>0.43733904616342489</c:v>
                  </c:pt>
                  <c:pt idx="3">
                    <c:v>0.75112404710303815</c:v>
                  </c:pt>
                  <c:pt idx="4">
                    <c:v>1.1690573509882052</c:v>
                  </c:pt>
                  <c:pt idx="5">
                    <c:v>1.2938237897830041</c:v>
                  </c:pt>
                  <c:pt idx="6">
                    <c:v>0.55500183686525628</c:v>
                  </c:pt>
                  <c:pt idx="7">
                    <c:v>1.8954438881158746</c:v>
                  </c:pt>
                  <c:pt idx="8">
                    <c:v>0.97389668630950554</c:v>
                  </c:pt>
                  <c:pt idx="9">
                    <c:v>1.4021957135961325</c:v>
                  </c:pt>
                  <c:pt idx="10">
                    <c:v>0.33909664333605821</c:v>
                  </c:pt>
                  <c:pt idx="11">
                    <c:v>1.2024695446793969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Calculations!$AW$2:$AW$201</c:f>
              <c:numCache>
                <c:formatCode>0.00</c:formatCode>
                <c:ptCount val="200"/>
                <c:pt idx="0">
                  <c:v>2.875</c:v>
                </c:pt>
                <c:pt idx="1">
                  <c:v>1.962962962962963</c:v>
                </c:pt>
                <c:pt idx="2">
                  <c:v>0.73333333333333328</c:v>
                </c:pt>
                <c:pt idx="3">
                  <c:v>1.625</c:v>
                </c:pt>
                <c:pt idx="4">
                  <c:v>1.9636363636363636</c:v>
                </c:pt>
                <c:pt idx="5">
                  <c:v>2.125</c:v>
                </c:pt>
                <c:pt idx="6">
                  <c:v>0.88235294117647056</c:v>
                </c:pt>
                <c:pt idx="7">
                  <c:v>2.95</c:v>
                </c:pt>
                <c:pt idx="8">
                  <c:v>1.2857142857142858</c:v>
                </c:pt>
                <c:pt idx="9">
                  <c:v>2.0909090909090908</c:v>
                </c:pt>
                <c:pt idx="10">
                  <c:v>0.53222453222453225</c:v>
                </c:pt>
                <c:pt idx="11">
                  <c:v>1.7142857142857142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Calculations!$AK$2:$AK$201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Calculations!$AU$2:$AU$201</c:f>
              <c:numCache>
                <c:formatCode>0.00%</c:formatCode>
                <c:ptCount val="200"/>
                <c:pt idx="0">
                  <c:v>5.1911222229913095E-2</c:v>
                </c:pt>
                <c:pt idx="1">
                  <c:v>0.10910214442402615</c:v>
                </c:pt>
                <c:pt idx="2">
                  <c:v>9.3666807462248092E-2</c:v>
                </c:pt>
                <c:pt idx="3">
                  <c:v>0.17372656692886568</c:v>
                </c:pt>
                <c:pt idx="4">
                  <c:v>9.3707077815565476E-2</c:v>
                </c:pt>
                <c:pt idx="5">
                  <c:v>8.7895795786908593E-2</c:v>
                </c:pt>
                <c:pt idx="6">
                  <c:v>7.9169129881670117E-2</c:v>
                </c:pt>
                <c:pt idx="7">
                  <c:v>7.3965629307414502E-2</c:v>
                </c:pt>
                <c:pt idx="8">
                  <c:v>4.1250171440869357E-2</c:v>
                </c:pt>
                <c:pt idx="9">
                  <c:v>6.3785661360044266E-2</c:v>
                </c:pt>
                <c:pt idx="10">
                  <c:v>7.6558921359227802E-2</c:v>
                </c:pt>
                <c:pt idx="11">
                  <c:v>5.526087200324676E-2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F776-4D5D-A661-B66BE6632C5D}"/>
            </c:ext>
          </c:extLst>
        </c:ser>
        <c:ser>
          <c:idx val="2"/>
          <c:order val="1"/>
          <c:tx>
            <c:v>Combined Effect Size PI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Calculations!$BB$7</c:f>
                <c:numCache>
                  <c:formatCode>General</c:formatCode>
                  <c:ptCount val="1"/>
                  <c:pt idx="0">
                    <c:v>0.96371971094815234</c:v>
                  </c:pt>
                </c:numCache>
              </c:numRef>
            </c:plus>
            <c:minus>
              <c:numRef>
                <c:f>Calculations!$BB$6</c:f>
                <c:numCache>
                  <c:formatCode>General</c:formatCode>
                  <c:ptCount val="1"/>
                  <c:pt idx="0">
                    <c:v>0.59058274410682832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Calculations!$BB$2</c:f>
              <c:numCache>
                <c:formatCode>0.00</c:formatCode>
                <c:ptCount val="1"/>
                <c:pt idx="0">
                  <c:v>1.5253279144642675</c:v>
                </c:pt>
              </c:numCache>
            </c:numRef>
          </c:xVal>
          <c:yVal>
            <c:numRef>
              <c:f>Calculations!$BB$3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Calculations!$BB$8</c:f>
              <c:numCache>
                <c:formatCode>0.00%</c:formatCode>
                <c:ptCount val="1"/>
                <c:pt idx="0">
                  <c:v>0.17372656692886568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F776-4D5D-A661-B66BE6632C5D}"/>
            </c:ext>
          </c:extLst>
        </c:ser>
        <c:ser>
          <c:idx val="1"/>
          <c:order val="2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Calculations!$BB$5</c:f>
                <c:numCache>
                  <c:formatCode>General</c:formatCode>
                  <c:ptCount val="1"/>
                  <c:pt idx="0">
                    <c:v>0.59092105191755739</c:v>
                  </c:pt>
                </c:numCache>
              </c:numRef>
            </c:plus>
            <c:minus>
              <c:numRef>
                <c:f>Calculations!$BB$4</c:f>
                <c:numCache>
                  <c:formatCode>General</c:formatCode>
                  <c:ptCount val="1"/>
                  <c:pt idx="0">
                    <c:v>0.42591792839737774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Calculations!$BB$2</c:f>
              <c:numCache>
                <c:formatCode>0.00</c:formatCode>
                <c:ptCount val="1"/>
                <c:pt idx="0">
                  <c:v>1.5253279144642675</c:v>
                </c:pt>
              </c:numCache>
            </c:numRef>
          </c:xVal>
          <c:yVal>
            <c:numRef>
              <c:f>Calculations!$BB$3</c:f>
              <c:numCache>
                <c:formatCode>0</c:formatCode>
                <c:ptCount val="1"/>
                <c:pt idx="0">
                  <c:v>13</c:v>
                </c:pt>
              </c:numCache>
            </c:numRef>
          </c:yVal>
          <c:bubbleSize>
            <c:numRef>
              <c:f>Calculations!$BB$8</c:f>
              <c:numCache>
                <c:formatCode>0.00%</c:formatCode>
                <c:ptCount val="1"/>
                <c:pt idx="0">
                  <c:v>0.17372656692886568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F776-4D5D-A661-B66BE6632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13520896"/>
        <c:axId val="313520504"/>
      </c:bubbleChart>
      <c:valAx>
        <c:axId val="313520896"/>
        <c:scaling>
          <c:logBase val="2"/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Effect Size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nextTo"/>
        <c:crossAx val="313520504"/>
        <c:crossesAt val="0"/>
        <c:crossBetween val="midCat"/>
      </c:valAx>
      <c:valAx>
        <c:axId val="313520504"/>
        <c:scaling>
          <c:orientation val="maxMin"/>
          <c:max val="204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crossAx val="313520896"/>
        <c:crossesAt val="1"/>
        <c:crossBetween val="midCat"/>
        <c:majorUnit val="1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721729953468609E-2"/>
          <c:y val="1.2694941338848475E-2"/>
          <c:w val="0.92527127320573177"/>
          <c:h val="0.98037739251123357"/>
        </c:manualLayout>
      </c:layout>
      <c:bubbleChart>
        <c:varyColors val="0"/>
        <c:ser>
          <c:idx val="0"/>
          <c:order val="0"/>
          <c:tx>
            <c:strRef>
              <c:f>'Subgroup Analysis'!$H$1</c:f>
              <c:strCache>
                <c:ptCount val="1"/>
                <c:pt idx="0">
                  <c:v>Odds Ratio</c:v>
                </c:pt>
              </c:strCache>
            </c:strRef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Calculations!$DN$2:$DN$201</c:f>
                <c:numCache>
                  <c:formatCode>General</c:formatCode>
                  <c:ptCount val="200"/>
                  <c:pt idx="0">
                    <c:v>7.1577625688835429</c:v>
                  </c:pt>
                  <c:pt idx="1">
                    <c:v>2.5221637674360338</c:v>
                  </c:pt>
                  <c:pt idx="2">
                    <c:v>1.0831899924686414</c:v>
                  </c:pt>
                  <c:pt idx="3">
                    <c:v>1.3967133827563005</c:v>
                  </c:pt>
                  <c:pt idx="4">
                    <c:v>2.8884660790852825</c:v>
                  </c:pt>
                  <c:pt idx="5">
                    <c:v>3.3070146550668484</c:v>
                  </c:pt>
                  <c:pt idx="6">
                    <c:v>1.4957649539237328</c:v>
                  </c:pt>
                  <c:pt idx="7">
                    <c:v>5.3016594001803119</c:v>
                  </c:pt>
                  <c:pt idx="8">
                    <c:v>4.0141612607620818</c:v>
                  </c:pt>
                  <c:pt idx="9">
                    <c:v>4.2568651150776571</c:v>
                  </c:pt>
                  <c:pt idx="10">
                    <c:v>0.93425447828886976</c:v>
                  </c:pt>
                  <c:pt idx="11">
                    <c:v>4.0266957144811855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Calculations!$DM$2:$DM$201</c:f>
                <c:numCache>
                  <c:formatCode>General</c:formatCode>
                  <c:ptCount val="200"/>
                  <c:pt idx="0">
                    <c:v>2.0511366878514887</c:v>
                  </c:pt>
                  <c:pt idx="1">
                    <c:v>1.103851543022873</c:v>
                  </c:pt>
                  <c:pt idx="2">
                    <c:v>0.437285509372496</c:v>
                  </c:pt>
                  <c:pt idx="3">
                    <c:v>0.7511166545215765</c:v>
                  </c:pt>
                  <c:pt idx="4">
                    <c:v>1.1689565698535671</c:v>
                  </c:pt>
                  <c:pt idx="5">
                    <c:v>1.2937016168507687</c:v>
                  </c:pt>
                  <c:pt idx="6">
                    <c:v>0.55497358189118851</c:v>
                  </c:pt>
                  <c:pt idx="7">
                    <c:v>1.8953636440920196</c:v>
                  </c:pt>
                  <c:pt idx="8">
                    <c:v>0.97380861736536817</c:v>
                  </c:pt>
                  <c:pt idx="9">
                    <c:v>1.4021793591043537</c:v>
                  </c:pt>
                  <c:pt idx="10">
                    <c:v>0.33906598670777499</c:v>
                  </c:pt>
                  <c:pt idx="11">
                    <c:v>1.2023914420836705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Calculations!$DL$2:$DL$201</c:f>
              <c:numCache>
                <c:formatCode>0.00</c:formatCode>
                <c:ptCount val="200"/>
                <c:pt idx="0">
                  <c:v>2.875</c:v>
                </c:pt>
                <c:pt idx="1">
                  <c:v>1.962962962962963</c:v>
                </c:pt>
                <c:pt idx="2">
                  <c:v>0.73333333333333328</c:v>
                </c:pt>
                <c:pt idx="3">
                  <c:v>1.625</c:v>
                </c:pt>
                <c:pt idx="4">
                  <c:v>1.9636363636363636</c:v>
                </c:pt>
                <c:pt idx="5">
                  <c:v>2.125</c:v>
                </c:pt>
                <c:pt idx="6">
                  <c:v>0.88235294117647056</c:v>
                </c:pt>
                <c:pt idx="7">
                  <c:v>2.95</c:v>
                </c:pt>
                <c:pt idx="8">
                  <c:v>1.2857142857142858</c:v>
                </c:pt>
                <c:pt idx="9">
                  <c:v>2.0909090909090908</c:v>
                </c:pt>
                <c:pt idx="10">
                  <c:v>0.53222453222453225</c:v>
                </c:pt>
                <c:pt idx="11">
                  <c:v>1.7142857142857142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Calculations!$CY$2:$CY$201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Calculations!$DF$2:$DF$201</c:f>
              <c:numCache>
                <c:formatCode>0.00%</c:formatCode>
                <c:ptCount val="200"/>
                <c:pt idx="0">
                  <c:v>8.2492569365469989E-2</c:v>
                </c:pt>
                <c:pt idx="1">
                  <c:v>0.16887588401038506</c:v>
                </c:pt>
                <c:pt idx="2">
                  <c:v>0.14600662252158145</c:v>
                </c:pt>
                <c:pt idx="3">
                  <c:v>0.26124527185523194</c:v>
                </c:pt>
                <c:pt idx="4">
                  <c:v>0.25565758424503837</c:v>
                </c:pt>
                <c:pt idx="5">
                  <c:v>0.24235476227572561</c:v>
                </c:pt>
                <c:pt idx="6">
                  <c:v>0.12423084454817189</c:v>
                </c:pt>
                <c:pt idx="7">
                  <c:v>0.11634408900929062</c:v>
                </c:pt>
                <c:pt idx="8">
                  <c:v>0.12436157865011298</c:v>
                </c:pt>
                <c:pt idx="9">
                  <c:v>0.10080471868986911</c:v>
                </c:pt>
                <c:pt idx="10">
                  <c:v>0.21557089987927947</c:v>
                </c:pt>
                <c:pt idx="11">
                  <c:v>0.16205517494984353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6D5C-4493-8A6A-6AD3A36E2858}"/>
            </c:ext>
          </c:extLst>
        </c:ser>
        <c:ser>
          <c:idx val="2"/>
          <c:order val="1"/>
          <c:tx>
            <c:v>Subgroup PI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Calculations!$EO$2:$EO$201</c:f>
                <c:numCache>
                  <c:formatCode>General</c:formatCode>
                  <c:ptCount val="200"/>
                  <c:pt idx="0">
                    <c:v>1.514452044730213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2.6419504362592212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Calculations!$EN$2:$EN$201</c:f>
                <c:numCache>
                  <c:formatCode>General</c:formatCode>
                  <c:ptCount val="200"/>
                  <c:pt idx="0">
                    <c:v>0.77697753759988541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0.91590391311551833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Calculations!$DP$2:$DP$201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6D5C-4493-8A6A-6AD3A36E2858}"/>
            </c:ext>
          </c:extLst>
        </c:ser>
        <c:ser>
          <c:idx val="1"/>
          <c:order val="2"/>
          <c:tx>
            <c:v>Subgroup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Calculations!$EI$2:$EI$201</c:f>
                <c:numCache>
                  <c:formatCode>General</c:formatCode>
                  <c:ptCount val="200"/>
                  <c:pt idx="0">
                    <c:v>0.95114477644511575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1.5230500229459216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Calculations!$EH$2:$EH$201</c:f>
                <c:numCache>
                  <c:formatCode>General</c:formatCode>
                  <c:ptCount val="200"/>
                  <c:pt idx="0">
                    <c:v>0.59591264018102053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0.72998742938595407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Calculations!$DP$2:$DP$201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6D5C-4493-8A6A-6AD3A36E2858}"/>
            </c:ext>
          </c:extLst>
        </c:ser>
        <c:ser>
          <c:idx val="4"/>
          <c:order val="3"/>
          <c:tx>
            <c:v>Combined Effect Size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Calculations!$EY$30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Calculations!$EY$29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Calculations!$EY$25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6D5C-4493-8A6A-6AD3A36E2858}"/>
            </c:ext>
          </c:extLst>
        </c:ser>
        <c:ser>
          <c:idx val="3"/>
          <c:order val="4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Calculations!$EY$28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Calculations!$EY$27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Calculations!$EY$25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6D5C-4493-8A6A-6AD3A36E2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"/>
        <c:showNegBubbles val="0"/>
        <c:axId val="313519720"/>
        <c:axId val="313519328"/>
      </c:bubbleChart>
      <c:valAx>
        <c:axId val="313519720"/>
        <c:scaling>
          <c:logBase val="2"/>
          <c:orientation val="minMax"/>
        </c:scaling>
        <c:delete val="0"/>
        <c:axPos val="t"/>
        <c:numFmt formatCode="0.00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9328"/>
        <c:crossesAt val="0"/>
        <c:crossBetween val="midCat"/>
      </c:valAx>
      <c:valAx>
        <c:axId val="313519328"/>
        <c:scaling>
          <c:orientation val="maxMin"/>
          <c:max val="210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9720"/>
        <c:crossesAt val="1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721729953468609E-2"/>
          <c:y val="1.2552121463491793E-2"/>
          <c:w val="0.92527127320573177"/>
          <c:h val="0.98064400411935104"/>
        </c:manualLayout>
      </c:layout>
      <c:bubbleChart>
        <c:varyColors val="0"/>
        <c:ser>
          <c:idx val="0"/>
          <c:order val="0"/>
          <c:tx>
            <c:strRef>
              <c:f>'Subgroup Analysis'!$H$1</c:f>
              <c:strCache>
                <c:ptCount val="1"/>
                <c:pt idx="0">
                  <c:v>Odds Ratio</c:v>
                </c:pt>
              </c:strCache>
            </c:strRef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Calculations!$DN$2:$DN$201</c:f>
                <c:numCache>
                  <c:formatCode>General</c:formatCode>
                  <c:ptCount val="200"/>
                  <c:pt idx="0">
                    <c:v>7.1577625688835429</c:v>
                  </c:pt>
                  <c:pt idx="1">
                    <c:v>2.5221637674360338</c:v>
                  </c:pt>
                  <c:pt idx="2">
                    <c:v>1.0831899924686414</c:v>
                  </c:pt>
                  <c:pt idx="3">
                    <c:v>1.3967133827563005</c:v>
                  </c:pt>
                  <c:pt idx="4">
                    <c:v>2.8884660790852825</c:v>
                  </c:pt>
                  <c:pt idx="5">
                    <c:v>3.3070146550668484</c:v>
                  </c:pt>
                  <c:pt idx="6">
                    <c:v>1.4957649539237328</c:v>
                  </c:pt>
                  <c:pt idx="7">
                    <c:v>5.3016594001803119</c:v>
                  </c:pt>
                  <c:pt idx="8">
                    <c:v>4.0141612607620818</c:v>
                  </c:pt>
                  <c:pt idx="9">
                    <c:v>4.2568651150776571</c:v>
                  </c:pt>
                  <c:pt idx="10">
                    <c:v>0.93425447828886976</c:v>
                  </c:pt>
                  <c:pt idx="11">
                    <c:v>4.0266957144811855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plus>
            <c:minus>
              <c:numRef>
                <c:f>Calculations!$DM$2:$DM$201</c:f>
                <c:numCache>
                  <c:formatCode>General</c:formatCode>
                  <c:ptCount val="200"/>
                  <c:pt idx="0">
                    <c:v>2.0511366878514887</c:v>
                  </c:pt>
                  <c:pt idx="1">
                    <c:v>1.103851543022873</c:v>
                  </c:pt>
                  <c:pt idx="2">
                    <c:v>0.437285509372496</c:v>
                  </c:pt>
                  <c:pt idx="3">
                    <c:v>0.7511166545215765</c:v>
                  </c:pt>
                  <c:pt idx="4">
                    <c:v>1.1689565698535671</c:v>
                  </c:pt>
                  <c:pt idx="5">
                    <c:v>1.2937016168507687</c:v>
                  </c:pt>
                  <c:pt idx="6">
                    <c:v>0.55497358189118851</c:v>
                  </c:pt>
                  <c:pt idx="7">
                    <c:v>1.8953636440920196</c:v>
                  </c:pt>
                  <c:pt idx="8">
                    <c:v>0.97380861736536817</c:v>
                  </c:pt>
                  <c:pt idx="9">
                    <c:v>1.4021793591043537</c:v>
                  </c:pt>
                  <c:pt idx="10">
                    <c:v>0.33906598670777499</c:v>
                  </c:pt>
                  <c:pt idx="11">
                    <c:v>1.2023914420836705</c:v>
                  </c:pt>
                  <c:pt idx="12">
                    <c:v>#N/A</c:v>
                  </c:pt>
                  <c:pt idx="13">
                    <c:v>#N/A</c:v>
                  </c:pt>
                  <c:pt idx="14">
                    <c:v>#N/A</c:v>
                  </c:pt>
                  <c:pt idx="15">
                    <c:v>#N/A</c:v>
                  </c:pt>
                  <c:pt idx="16">
                    <c:v>#N/A</c:v>
                  </c:pt>
                  <c:pt idx="17">
                    <c:v>#N/A</c:v>
                  </c:pt>
                  <c:pt idx="18">
                    <c:v>#N/A</c:v>
                  </c:pt>
                  <c:pt idx="19">
                    <c:v>#N/A</c:v>
                  </c:pt>
                  <c:pt idx="20">
                    <c:v>#N/A</c:v>
                  </c:pt>
                  <c:pt idx="21">
                    <c:v>#N/A</c:v>
                  </c:pt>
                  <c:pt idx="22">
                    <c:v>#N/A</c:v>
                  </c:pt>
                  <c:pt idx="23">
                    <c:v>#N/A</c:v>
                  </c:pt>
                  <c:pt idx="24">
                    <c:v>#N/A</c:v>
                  </c:pt>
                  <c:pt idx="25">
                    <c:v>#N/A</c:v>
                  </c:pt>
                  <c:pt idx="26">
                    <c:v>#N/A</c:v>
                  </c:pt>
                  <c:pt idx="27">
                    <c:v>#N/A</c:v>
                  </c:pt>
                  <c:pt idx="28">
                    <c:v>#N/A</c:v>
                  </c:pt>
                  <c:pt idx="29">
                    <c:v>#N/A</c:v>
                  </c:pt>
                  <c:pt idx="30">
                    <c:v>#N/A</c:v>
                  </c:pt>
                  <c:pt idx="31">
                    <c:v>#N/A</c:v>
                  </c:pt>
                  <c:pt idx="32">
                    <c:v>#N/A</c:v>
                  </c:pt>
                  <c:pt idx="33">
                    <c:v>#N/A</c:v>
                  </c:pt>
                  <c:pt idx="34">
                    <c:v>#N/A</c:v>
                  </c:pt>
                  <c:pt idx="35">
                    <c:v>#N/A</c:v>
                  </c:pt>
                  <c:pt idx="36">
                    <c:v>#N/A</c:v>
                  </c:pt>
                  <c:pt idx="37">
                    <c:v>#N/A</c:v>
                  </c:pt>
                  <c:pt idx="38">
                    <c:v>#N/A</c:v>
                  </c:pt>
                  <c:pt idx="39">
                    <c:v>#N/A</c:v>
                  </c:pt>
                  <c:pt idx="40">
                    <c:v>#N/A</c:v>
                  </c:pt>
                  <c:pt idx="41">
                    <c:v>#N/A</c:v>
                  </c:pt>
                  <c:pt idx="42">
                    <c:v>#N/A</c:v>
                  </c:pt>
                  <c:pt idx="43">
                    <c:v>#N/A</c:v>
                  </c:pt>
                  <c:pt idx="44">
                    <c:v>#N/A</c:v>
                  </c:pt>
                  <c:pt idx="45">
                    <c:v>#N/A</c:v>
                  </c:pt>
                  <c:pt idx="46">
                    <c:v>#N/A</c:v>
                  </c:pt>
                  <c:pt idx="47">
                    <c:v>#N/A</c:v>
                  </c:pt>
                  <c:pt idx="48">
                    <c:v>#N/A</c:v>
                  </c:pt>
                  <c:pt idx="49">
                    <c:v>#N/A</c:v>
                  </c:pt>
                  <c:pt idx="50">
                    <c:v>#N/A</c:v>
                  </c:pt>
                  <c:pt idx="51">
                    <c:v>#N/A</c:v>
                  </c:pt>
                  <c:pt idx="52">
                    <c:v>#N/A</c:v>
                  </c:pt>
                  <c:pt idx="53">
                    <c:v>#N/A</c:v>
                  </c:pt>
                  <c:pt idx="54">
                    <c:v>#N/A</c:v>
                  </c:pt>
                  <c:pt idx="55">
                    <c:v>#N/A</c:v>
                  </c:pt>
                  <c:pt idx="56">
                    <c:v>#N/A</c:v>
                  </c:pt>
                  <c:pt idx="57">
                    <c:v>#N/A</c:v>
                  </c:pt>
                  <c:pt idx="58">
                    <c:v>#N/A</c:v>
                  </c:pt>
                  <c:pt idx="59">
                    <c:v>#N/A</c:v>
                  </c:pt>
                  <c:pt idx="60">
                    <c:v>#N/A</c:v>
                  </c:pt>
                  <c:pt idx="61">
                    <c:v>#N/A</c:v>
                  </c:pt>
                  <c:pt idx="62">
                    <c:v>#N/A</c:v>
                  </c:pt>
                  <c:pt idx="63">
                    <c:v>#N/A</c:v>
                  </c:pt>
                  <c:pt idx="64">
                    <c:v>#N/A</c:v>
                  </c:pt>
                  <c:pt idx="65">
                    <c:v>#N/A</c:v>
                  </c:pt>
                  <c:pt idx="66">
                    <c:v>#N/A</c:v>
                  </c:pt>
                  <c:pt idx="67">
                    <c:v>#N/A</c:v>
                  </c:pt>
                  <c:pt idx="68">
                    <c:v>#N/A</c:v>
                  </c:pt>
                  <c:pt idx="69">
                    <c:v>#N/A</c:v>
                  </c:pt>
                  <c:pt idx="70">
                    <c:v>#N/A</c:v>
                  </c:pt>
                  <c:pt idx="71">
                    <c:v>#N/A</c:v>
                  </c:pt>
                  <c:pt idx="72">
                    <c:v>#N/A</c:v>
                  </c:pt>
                  <c:pt idx="73">
                    <c:v>#N/A</c:v>
                  </c:pt>
                  <c:pt idx="74">
                    <c:v>#N/A</c:v>
                  </c:pt>
                  <c:pt idx="75">
                    <c:v>#N/A</c:v>
                  </c:pt>
                  <c:pt idx="76">
                    <c:v>#N/A</c:v>
                  </c:pt>
                  <c:pt idx="77">
                    <c:v>#N/A</c:v>
                  </c:pt>
                  <c:pt idx="78">
                    <c:v>#N/A</c:v>
                  </c:pt>
                  <c:pt idx="79">
                    <c:v>#N/A</c:v>
                  </c:pt>
                  <c:pt idx="80">
                    <c:v>#N/A</c:v>
                  </c:pt>
                  <c:pt idx="81">
                    <c:v>#N/A</c:v>
                  </c:pt>
                  <c:pt idx="82">
                    <c:v>#N/A</c:v>
                  </c:pt>
                  <c:pt idx="83">
                    <c:v>#N/A</c:v>
                  </c:pt>
                  <c:pt idx="84">
                    <c:v>#N/A</c:v>
                  </c:pt>
                  <c:pt idx="85">
                    <c:v>#N/A</c:v>
                  </c:pt>
                  <c:pt idx="86">
                    <c:v>#N/A</c:v>
                  </c:pt>
                  <c:pt idx="87">
                    <c:v>#N/A</c:v>
                  </c:pt>
                  <c:pt idx="88">
                    <c:v>#N/A</c:v>
                  </c:pt>
                  <c:pt idx="89">
                    <c:v>#N/A</c:v>
                  </c:pt>
                  <c:pt idx="90">
                    <c:v>#N/A</c:v>
                  </c:pt>
                  <c:pt idx="91">
                    <c:v>#N/A</c:v>
                  </c:pt>
                  <c:pt idx="92">
                    <c:v>#N/A</c:v>
                  </c:pt>
                  <c:pt idx="93">
                    <c:v>#N/A</c:v>
                  </c:pt>
                  <c:pt idx="94">
                    <c:v>#N/A</c:v>
                  </c:pt>
                  <c:pt idx="95">
                    <c:v>#N/A</c:v>
                  </c:pt>
                  <c:pt idx="96">
                    <c:v>#N/A</c:v>
                  </c:pt>
                  <c:pt idx="97">
                    <c:v>#N/A</c:v>
                  </c:pt>
                  <c:pt idx="98">
                    <c:v>#N/A</c:v>
                  </c:pt>
                  <c:pt idx="99">
                    <c:v>#N/A</c:v>
                  </c:pt>
                  <c:pt idx="100">
                    <c:v>#N/A</c:v>
                  </c:pt>
                  <c:pt idx="101">
                    <c:v>#N/A</c:v>
                  </c:pt>
                  <c:pt idx="102">
                    <c:v>#N/A</c:v>
                  </c:pt>
                  <c:pt idx="103">
                    <c:v>#N/A</c:v>
                  </c:pt>
                  <c:pt idx="104">
                    <c:v>#N/A</c:v>
                  </c:pt>
                  <c:pt idx="105">
                    <c:v>#N/A</c:v>
                  </c:pt>
                  <c:pt idx="106">
                    <c:v>#N/A</c:v>
                  </c:pt>
                  <c:pt idx="107">
                    <c:v>#N/A</c:v>
                  </c:pt>
                  <c:pt idx="108">
                    <c:v>#N/A</c:v>
                  </c:pt>
                  <c:pt idx="109">
                    <c:v>#N/A</c:v>
                  </c:pt>
                  <c:pt idx="110">
                    <c:v>#N/A</c:v>
                  </c:pt>
                  <c:pt idx="111">
                    <c:v>#N/A</c:v>
                  </c:pt>
                  <c:pt idx="112">
                    <c:v>#N/A</c:v>
                  </c:pt>
                  <c:pt idx="113">
                    <c:v>#N/A</c:v>
                  </c:pt>
                  <c:pt idx="114">
                    <c:v>#N/A</c:v>
                  </c:pt>
                  <c:pt idx="115">
                    <c:v>#N/A</c:v>
                  </c:pt>
                  <c:pt idx="116">
                    <c:v>#N/A</c:v>
                  </c:pt>
                  <c:pt idx="117">
                    <c:v>#N/A</c:v>
                  </c:pt>
                  <c:pt idx="118">
                    <c:v>#N/A</c:v>
                  </c:pt>
                  <c:pt idx="119">
                    <c:v>#N/A</c:v>
                  </c:pt>
                  <c:pt idx="120">
                    <c:v>#N/A</c:v>
                  </c:pt>
                  <c:pt idx="121">
                    <c:v>#N/A</c:v>
                  </c:pt>
                  <c:pt idx="122">
                    <c:v>#N/A</c:v>
                  </c:pt>
                  <c:pt idx="123">
                    <c:v>#N/A</c:v>
                  </c:pt>
                  <c:pt idx="124">
                    <c:v>#N/A</c:v>
                  </c:pt>
                  <c:pt idx="125">
                    <c:v>#N/A</c:v>
                  </c:pt>
                  <c:pt idx="126">
                    <c:v>#N/A</c:v>
                  </c:pt>
                  <c:pt idx="127">
                    <c:v>#N/A</c:v>
                  </c:pt>
                  <c:pt idx="128">
                    <c:v>#N/A</c:v>
                  </c:pt>
                  <c:pt idx="129">
                    <c:v>#N/A</c:v>
                  </c:pt>
                  <c:pt idx="130">
                    <c:v>#N/A</c:v>
                  </c:pt>
                  <c:pt idx="131">
                    <c:v>#N/A</c:v>
                  </c:pt>
                  <c:pt idx="132">
                    <c:v>#N/A</c:v>
                  </c:pt>
                  <c:pt idx="133">
                    <c:v>#N/A</c:v>
                  </c:pt>
                  <c:pt idx="134">
                    <c:v>#N/A</c:v>
                  </c:pt>
                  <c:pt idx="135">
                    <c:v>#N/A</c:v>
                  </c:pt>
                  <c:pt idx="136">
                    <c:v>#N/A</c:v>
                  </c:pt>
                  <c:pt idx="137">
                    <c:v>#N/A</c:v>
                  </c:pt>
                  <c:pt idx="138">
                    <c:v>#N/A</c:v>
                  </c:pt>
                  <c:pt idx="139">
                    <c:v>#N/A</c:v>
                  </c:pt>
                  <c:pt idx="140">
                    <c:v>#N/A</c:v>
                  </c:pt>
                  <c:pt idx="141">
                    <c:v>#N/A</c:v>
                  </c:pt>
                  <c:pt idx="142">
                    <c:v>#N/A</c:v>
                  </c:pt>
                  <c:pt idx="143">
                    <c:v>#N/A</c:v>
                  </c:pt>
                  <c:pt idx="144">
                    <c:v>#N/A</c:v>
                  </c:pt>
                  <c:pt idx="145">
                    <c:v>#N/A</c:v>
                  </c:pt>
                  <c:pt idx="146">
                    <c:v>#N/A</c:v>
                  </c:pt>
                  <c:pt idx="147">
                    <c:v>#N/A</c:v>
                  </c:pt>
                  <c:pt idx="148">
                    <c:v>#N/A</c:v>
                  </c:pt>
                  <c:pt idx="149">
                    <c:v>#N/A</c:v>
                  </c:pt>
                  <c:pt idx="150">
                    <c:v>#N/A</c:v>
                  </c:pt>
                  <c:pt idx="151">
                    <c:v>#N/A</c:v>
                  </c:pt>
                  <c:pt idx="152">
                    <c:v>#N/A</c:v>
                  </c:pt>
                  <c:pt idx="153">
                    <c:v>#N/A</c:v>
                  </c:pt>
                  <c:pt idx="154">
                    <c:v>#N/A</c:v>
                  </c:pt>
                  <c:pt idx="155">
                    <c:v>#N/A</c:v>
                  </c:pt>
                  <c:pt idx="156">
                    <c:v>#N/A</c:v>
                  </c:pt>
                  <c:pt idx="157">
                    <c:v>#N/A</c:v>
                  </c:pt>
                  <c:pt idx="158">
                    <c:v>#N/A</c:v>
                  </c:pt>
                  <c:pt idx="159">
                    <c:v>#N/A</c:v>
                  </c:pt>
                  <c:pt idx="160">
                    <c:v>#N/A</c:v>
                  </c:pt>
                  <c:pt idx="161">
                    <c:v>#N/A</c:v>
                  </c:pt>
                  <c:pt idx="162">
                    <c:v>#N/A</c:v>
                  </c:pt>
                  <c:pt idx="163">
                    <c:v>#N/A</c:v>
                  </c:pt>
                  <c:pt idx="164">
                    <c:v>#N/A</c:v>
                  </c:pt>
                  <c:pt idx="165">
                    <c:v>#N/A</c:v>
                  </c:pt>
                  <c:pt idx="166">
                    <c:v>#N/A</c:v>
                  </c:pt>
                  <c:pt idx="167">
                    <c:v>#N/A</c:v>
                  </c:pt>
                  <c:pt idx="168">
                    <c:v>#N/A</c:v>
                  </c:pt>
                  <c:pt idx="169">
                    <c:v>#N/A</c:v>
                  </c:pt>
                  <c:pt idx="170">
                    <c:v>#N/A</c:v>
                  </c:pt>
                  <c:pt idx="171">
                    <c:v>#N/A</c:v>
                  </c:pt>
                  <c:pt idx="172">
                    <c:v>#N/A</c:v>
                  </c:pt>
                  <c:pt idx="173">
                    <c:v>#N/A</c:v>
                  </c:pt>
                  <c:pt idx="174">
                    <c:v>#N/A</c:v>
                  </c:pt>
                  <c:pt idx="175">
                    <c:v>#N/A</c:v>
                  </c:pt>
                  <c:pt idx="176">
                    <c:v>#N/A</c:v>
                  </c:pt>
                  <c:pt idx="177">
                    <c:v>#N/A</c:v>
                  </c:pt>
                  <c:pt idx="178">
                    <c:v>#N/A</c:v>
                  </c:pt>
                  <c:pt idx="179">
                    <c:v>#N/A</c:v>
                  </c:pt>
                  <c:pt idx="180">
                    <c:v>#N/A</c:v>
                  </c:pt>
                  <c:pt idx="181">
                    <c:v>#N/A</c:v>
                  </c:pt>
                  <c:pt idx="182">
                    <c:v>#N/A</c:v>
                  </c:pt>
                  <c:pt idx="183">
                    <c:v>#N/A</c:v>
                  </c:pt>
                  <c:pt idx="184">
                    <c:v>#N/A</c:v>
                  </c:pt>
                  <c:pt idx="185">
                    <c:v>#N/A</c:v>
                  </c:pt>
                  <c:pt idx="186">
                    <c:v>#N/A</c:v>
                  </c:pt>
                  <c:pt idx="187">
                    <c:v>#N/A</c:v>
                  </c:pt>
                  <c:pt idx="188">
                    <c:v>#N/A</c:v>
                  </c:pt>
                  <c:pt idx="189">
                    <c:v>#N/A</c:v>
                  </c:pt>
                  <c:pt idx="190">
                    <c:v>#N/A</c:v>
                  </c:pt>
                  <c:pt idx="191">
                    <c:v>#N/A</c:v>
                  </c:pt>
                  <c:pt idx="192">
                    <c:v>#N/A</c:v>
                  </c:pt>
                  <c:pt idx="193">
                    <c:v>#N/A</c:v>
                  </c:pt>
                  <c:pt idx="194">
                    <c:v>#N/A</c:v>
                  </c:pt>
                  <c:pt idx="195">
                    <c:v>#N/A</c:v>
                  </c:pt>
                  <c:pt idx="196">
                    <c:v>#N/A</c:v>
                  </c:pt>
                  <c:pt idx="197">
                    <c:v>#N/A</c:v>
                  </c:pt>
                  <c:pt idx="198">
                    <c:v>#N/A</c:v>
                  </c:pt>
                  <c:pt idx="199">
                    <c:v>#N/A</c:v>
                  </c:pt>
                </c:numCache>
              </c:numRef>
            </c:minus>
          </c:errBars>
          <c:xVal>
            <c:numRef>
              <c:f>Calculations!$DL$2:$DL$201</c:f>
              <c:numCache>
                <c:formatCode>0.00</c:formatCode>
                <c:ptCount val="200"/>
                <c:pt idx="0">
                  <c:v>2.875</c:v>
                </c:pt>
                <c:pt idx="1">
                  <c:v>1.962962962962963</c:v>
                </c:pt>
                <c:pt idx="2">
                  <c:v>0.73333333333333328</c:v>
                </c:pt>
                <c:pt idx="3">
                  <c:v>1.625</c:v>
                </c:pt>
                <c:pt idx="4">
                  <c:v>1.9636363636363636</c:v>
                </c:pt>
                <c:pt idx="5">
                  <c:v>2.125</c:v>
                </c:pt>
                <c:pt idx="6">
                  <c:v>0.88235294117647056</c:v>
                </c:pt>
                <c:pt idx="7">
                  <c:v>2.95</c:v>
                </c:pt>
                <c:pt idx="8">
                  <c:v>1.2857142857142858</c:v>
                </c:pt>
                <c:pt idx="9">
                  <c:v>2.0909090909090908</c:v>
                </c:pt>
                <c:pt idx="10">
                  <c:v>0.53222453222453225</c:v>
                </c:pt>
                <c:pt idx="11">
                  <c:v>1.7142857142857142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Calculations!$CY$2:$CY$201</c:f>
              <c:numCache>
                <c:formatCode>0</c:formatCode>
                <c:ptCount val="2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9</c:v>
                </c:pt>
                <c:pt idx="5">
                  <c:v>10</c:v>
                </c:pt>
                <c:pt idx="6">
                  <c:v>5</c:v>
                </c:pt>
                <c:pt idx="7">
                  <c:v>6</c:v>
                </c:pt>
                <c:pt idx="8">
                  <c:v>11</c:v>
                </c:pt>
                <c:pt idx="9">
                  <c:v>7</c:v>
                </c:pt>
                <c:pt idx="10">
                  <c:v>12</c:v>
                </c:pt>
                <c:pt idx="11">
                  <c:v>13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Calculations!$DF$2:$DF$201</c:f>
              <c:numCache>
                <c:formatCode>0.00%</c:formatCode>
                <c:ptCount val="200"/>
                <c:pt idx="0">
                  <c:v>8.2492569365469989E-2</c:v>
                </c:pt>
                <c:pt idx="1">
                  <c:v>0.16887588401038506</c:v>
                </c:pt>
                <c:pt idx="2">
                  <c:v>0.14600662252158145</c:v>
                </c:pt>
                <c:pt idx="3">
                  <c:v>0.26124527185523194</c:v>
                </c:pt>
                <c:pt idx="4">
                  <c:v>0.25565758424503837</c:v>
                </c:pt>
                <c:pt idx="5">
                  <c:v>0.24235476227572561</c:v>
                </c:pt>
                <c:pt idx="6">
                  <c:v>0.12423084454817189</c:v>
                </c:pt>
                <c:pt idx="7">
                  <c:v>0.11634408900929062</c:v>
                </c:pt>
                <c:pt idx="8">
                  <c:v>0.12436157865011298</c:v>
                </c:pt>
                <c:pt idx="9">
                  <c:v>0.10080471868986911</c:v>
                </c:pt>
                <c:pt idx="10">
                  <c:v>0.21557089987927947</c:v>
                </c:pt>
                <c:pt idx="11">
                  <c:v>0.16205517494984353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D0FD-4CB8-A386-2FF8565A03DD}"/>
            </c:ext>
          </c:extLst>
        </c:ser>
        <c:ser>
          <c:idx val="2"/>
          <c:order val="1"/>
          <c:tx>
            <c:v>Subgroup PI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Calculations!$EO$2:$EO$201</c:f>
                <c:numCache>
                  <c:formatCode>General</c:formatCode>
                  <c:ptCount val="200"/>
                  <c:pt idx="0">
                    <c:v>1.514452044730213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2.6419504362592212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Calculations!$EN$2:$EN$201</c:f>
                <c:numCache>
                  <c:formatCode>General</c:formatCode>
                  <c:ptCount val="200"/>
                  <c:pt idx="0">
                    <c:v>0.77697753759988541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0.91590391311551833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Calculations!$DP$2:$DP$201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D0FD-4CB8-A386-2FF8565A03DD}"/>
            </c:ext>
          </c:extLst>
        </c:ser>
        <c:ser>
          <c:idx val="1"/>
          <c:order val="2"/>
          <c:tx>
            <c:v>Subgroup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Calculations!$EI$2:$EI$201</c:f>
                <c:numCache>
                  <c:formatCode>General</c:formatCode>
                  <c:ptCount val="200"/>
                  <c:pt idx="0">
                    <c:v>0.95114477644511575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1.5230500229459216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Calculations!$EH$2:$EH$201</c:f>
                <c:numCache>
                  <c:formatCode>General</c:formatCode>
                  <c:ptCount val="200"/>
                  <c:pt idx="0">
                    <c:v>0.59591264018102053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0.72998742938595407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Calculations!$DP$2:$DP$201</c:f>
              <c:numCache>
                <c:formatCode>0</c:formatCode>
                <c:ptCount val="200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D0FD-4CB8-A386-2FF8565A03DD}"/>
            </c:ext>
          </c:extLst>
        </c:ser>
        <c:ser>
          <c:idx val="4"/>
          <c:order val="3"/>
          <c:tx>
            <c:v>Combined Effect Size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Calculations!$EY$30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Calculations!$EY$29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Calculations!$EY$25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D0FD-4CB8-A386-2FF8565A03DD}"/>
            </c:ext>
          </c:extLst>
        </c:ser>
        <c:ser>
          <c:idx val="3"/>
          <c:order val="4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Calculations!$EY$28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Calculations!$EY$27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Calculations!$EY$25</c:f>
              <c:numCache>
                <c:formatCode>0</c:formatCode>
                <c:ptCount val="1"/>
                <c:pt idx="0">
                  <c:v>15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4-D0FD-4CB8-A386-2FF8565A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13518544"/>
        <c:axId val="313518152"/>
      </c:bubbleChart>
      <c:valAx>
        <c:axId val="313518544"/>
        <c:scaling>
          <c:orientation val="minMax"/>
        </c:scaling>
        <c:delete val="0"/>
        <c:axPos val="t"/>
        <c:numFmt formatCode="0.00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8152"/>
        <c:crossesAt val="0"/>
        <c:crossBetween val="midCat"/>
      </c:valAx>
      <c:valAx>
        <c:axId val="313518152"/>
        <c:scaling>
          <c:orientation val="maxMin"/>
          <c:max val="210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85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721729953468609E-2"/>
          <c:y val="0.13759943468604885"/>
          <c:w val="0.92527127320573177"/>
          <c:h val="0.83892825896762901"/>
        </c:manualLayout>
      </c:layout>
      <c:bubbleChart>
        <c:varyColors val="0"/>
        <c:ser>
          <c:idx val="2"/>
          <c:order val="0"/>
          <c:tx>
            <c:v>Subgroup PI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Calculations!$EO$2:$EO$201</c:f>
                <c:numCache>
                  <c:formatCode>General</c:formatCode>
                  <c:ptCount val="200"/>
                  <c:pt idx="0">
                    <c:v>1.514452044730213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2.6419504362592212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Calculations!$EN$2:$EN$201</c:f>
                <c:numCache>
                  <c:formatCode>General</c:formatCode>
                  <c:ptCount val="200"/>
                  <c:pt idx="0">
                    <c:v>0.77697753759988541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0.91590391311551833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Calculations!$DR$2:$DR$201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2913-4041-8394-A42F2A0B1F52}"/>
            </c:ext>
          </c:extLst>
        </c:ser>
        <c:ser>
          <c:idx val="1"/>
          <c:order val="1"/>
          <c:tx>
            <c:v>Subgroup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Calculations!$EI$2:$EI$201</c:f>
                <c:numCache>
                  <c:formatCode>General</c:formatCode>
                  <c:ptCount val="200"/>
                  <c:pt idx="0">
                    <c:v>0.95114477644511575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1.5230500229459216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Calculations!$EH$2:$EH$201</c:f>
                <c:numCache>
                  <c:formatCode>General</c:formatCode>
                  <c:ptCount val="200"/>
                  <c:pt idx="0">
                    <c:v>0.59591264018102053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0.72998742938595407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Calculations!$DR$2:$DR$201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2913-4041-8394-A42F2A0B1F52}"/>
            </c:ext>
          </c:extLst>
        </c:ser>
        <c:ser>
          <c:idx val="4"/>
          <c:order val="2"/>
          <c:tx>
            <c:v>Combined Effect Size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Calculations!$EY$30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Calculations!$EY$29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Calculations!$EY$26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2913-4041-8394-A42F2A0B1F52}"/>
            </c:ext>
          </c:extLst>
        </c:ser>
        <c:ser>
          <c:idx val="3"/>
          <c:order val="3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Calculations!$EY$28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Calculations!$EY$27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Calculations!$EY$26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2913-4041-8394-A42F2A0B1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13517368"/>
        <c:axId val="313516976"/>
      </c:bubbleChart>
      <c:valAx>
        <c:axId val="313517368"/>
        <c:scaling>
          <c:orientation val="minMax"/>
        </c:scaling>
        <c:delete val="0"/>
        <c:axPos val="t"/>
        <c:numFmt formatCode="0.00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6976"/>
        <c:crossesAt val="0"/>
        <c:crossBetween val="midCat"/>
      </c:valAx>
      <c:valAx>
        <c:axId val="313516976"/>
        <c:scaling>
          <c:orientation val="maxMin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7368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1721729953468609E-2"/>
          <c:y val="0.13804187659822265"/>
          <c:w val="0.92527127320573177"/>
          <c:h val="0.83841034340160858"/>
        </c:manualLayout>
      </c:layout>
      <c:bubbleChart>
        <c:varyColors val="0"/>
        <c:ser>
          <c:idx val="2"/>
          <c:order val="0"/>
          <c:tx>
            <c:v>Subgroup PI</c:v>
          </c:tx>
          <c:spPr>
            <a:solidFill>
              <a:schemeClr val="accent2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Calculations!$EO$2:$EO$201</c:f>
                <c:numCache>
                  <c:formatCode>General</c:formatCode>
                  <c:ptCount val="200"/>
                  <c:pt idx="0">
                    <c:v>1.514452044730213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2.6419504362592212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Calculations!$EN$2:$EN$201</c:f>
                <c:numCache>
                  <c:formatCode>General</c:formatCode>
                  <c:ptCount val="200"/>
                  <c:pt idx="0">
                    <c:v>0.77697753759988541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0.91590391311551833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  <c:spPr>
              <a:ln>
                <a:solidFill>
                  <a:schemeClr val="accent2"/>
                </a:solidFill>
              </a:ln>
            </c:spPr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Calculations!$DR$2:$DR$201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7C0D-4C5C-8167-41445D0F239E}"/>
            </c:ext>
          </c:extLst>
        </c:ser>
        <c:ser>
          <c:idx val="1"/>
          <c:order val="1"/>
          <c:tx>
            <c:v>Subgroup CI</c:v>
          </c:tx>
          <c:spPr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Calculations!$EI$2:$EI$201</c:f>
                <c:numCache>
                  <c:formatCode>General</c:formatCode>
                  <c:ptCount val="200"/>
                  <c:pt idx="0">
                    <c:v>0.95114477644511575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1.5230500229459216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plus>
            <c:minus>
              <c:numRef>
                <c:f>Calculations!$EH$2:$EH$201</c:f>
                <c:numCache>
                  <c:formatCode>General</c:formatCode>
                  <c:ptCount val="200"/>
                  <c:pt idx="0">
                    <c:v>0.59591264018102053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0.72998742938595407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  <c:pt idx="31">
                    <c:v>0</c:v>
                  </c:pt>
                  <c:pt idx="32">
                    <c:v>0</c:v>
                  </c:pt>
                  <c:pt idx="33">
                    <c:v>0</c:v>
                  </c:pt>
                  <c:pt idx="34">
                    <c:v>0</c:v>
                  </c:pt>
                  <c:pt idx="35">
                    <c:v>0</c:v>
                  </c:pt>
                  <c:pt idx="36">
                    <c:v>0</c:v>
                  </c:pt>
                  <c:pt idx="37">
                    <c:v>0</c:v>
                  </c:pt>
                  <c:pt idx="38">
                    <c:v>0</c:v>
                  </c:pt>
                  <c:pt idx="39">
                    <c:v>0</c:v>
                  </c:pt>
                  <c:pt idx="40">
                    <c:v>0</c:v>
                  </c:pt>
                  <c:pt idx="41">
                    <c:v>0</c:v>
                  </c:pt>
                  <c:pt idx="42">
                    <c:v>0</c:v>
                  </c:pt>
                  <c:pt idx="43">
                    <c:v>0</c:v>
                  </c:pt>
                  <c:pt idx="44">
                    <c:v>0</c:v>
                  </c:pt>
                  <c:pt idx="45">
                    <c:v>0</c:v>
                  </c:pt>
                  <c:pt idx="46">
                    <c:v>0</c:v>
                  </c:pt>
                  <c:pt idx="47">
                    <c:v>0</c:v>
                  </c:pt>
                  <c:pt idx="48">
                    <c:v>0</c:v>
                  </c:pt>
                  <c:pt idx="49">
                    <c:v>0</c:v>
                  </c:pt>
                  <c:pt idx="50">
                    <c:v>0</c:v>
                  </c:pt>
                  <c:pt idx="51">
                    <c:v>0</c:v>
                  </c:pt>
                  <c:pt idx="52">
                    <c:v>0</c:v>
                  </c:pt>
                  <c:pt idx="53">
                    <c:v>0</c:v>
                  </c:pt>
                  <c:pt idx="54">
                    <c:v>0</c:v>
                  </c:pt>
                  <c:pt idx="55">
                    <c:v>0</c:v>
                  </c:pt>
                  <c:pt idx="56">
                    <c:v>0</c:v>
                  </c:pt>
                  <c:pt idx="57">
                    <c:v>0</c:v>
                  </c:pt>
                  <c:pt idx="58">
                    <c:v>0</c:v>
                  </c:pt>
                  <c:pt idx="59">
                    <c:v>0</c:v>
                  </c:pt>
                  <c:pt idx="60">
                    <c:v>0</c:v>
                  </c:pt>
                  <c:pt idx="61">
                    <c:v>0</c:v>
                  </c:pt>
                  <c:pt idx="62">
                    <c:v>0</c:v>
                  </c:pt>
                  <c:pt idx="63">
                    <c:v>0</c:v>
                  </c:pt>
                  <c:pt idx="64">
                    <c:v>0</c:v>
                  </c:pt>
                  <c:pt idx="65">
                    <c:v>0</c:v>
                  </c:pt>
                  <c:pt idx="66">
                    <c:v>0</c:v>
                  </c:pt>
                  <c:pt idx="67">
                    <c:v>0</c:v>
                  </c:pt>
                  <c:pt idx="68">
                    <c:v>0</c:v>
                  </c:pt>
                  <c:pt idx="69">
                    <c:v>0</c:v>
                  </c:pt>
                  <c:pt idx="70">
                    <c:v>0</c:v>
                  </c:pt>
                  <c:pt idx="71">
                    <c:v>0</c:v>
                  </c:pt>
                  <c:pt idx="72">
                    <c:v>0</c:v>
                  </c:pt>
                  <c:pt idx="73">
                    <c:v>0</c:v>
                  </c:pt>
                  <c:pt idx="74">
                    <c:v>0</c:v>
                  </c:pt>
                  <c:pt idx="75">
                    <c:v>0</c:v>
                  </c:pt>
                  <c:pt idx="76">
                    <c:v>0</c:v>
                  </c:pt>
                  <c:pt idx="77">
                    <c:v>0</c:v>
                  </c:pt>
                  <c:pt idx="78">
                    <c:v>0</c:v>
                  </c:pt>
                  <c:pt idx="79">
                    <c:v>0</c:v>
                  </c:pt>
                  <c:pt idx="80">
                    <c:v>0</c:v>
                  </c:pt>
                  <c:pt idx="81">
                    <c:v>0</c:v>
                  </c:pt>
                  <c:pt idx="82">
                    <c:v>0</c:v>
                  </c:pt>
                  <c:pt idx="83">
                    <c:v>0</c:v>
                  </c:pt>
                  <c:pt idx="84">
                    <c:v>0</c:v>
                  </c:pt>
                  <c:pt idx="85">
                    <c:v>0</c:v>
                  </c:pt>
                  <c:pt idx="86">
                    <c:v>0</c:v>
                  </c:pt>
                  <c:pt idx="87">
                    <c:v>0</c:v>
                  </c:pt>
                  <c:pt idx="88">
                    <c:v>0</c:v>
                  </c:pt>
                  <c:pt idx="89">
                    <c:v>0</c:v>
                  </c:pt>
                  <c:pt idx="90">
                    <c:v>0</c:v>
                  </c:pt>
                  <c:pt idx="91">
                    <c:v>0</c:v>
                  </c:pt>
                  <c:pt idx="92">
                    <c:v>0</c:v>
                  </c:pt>
                  <c:pt idx="93">
                    <c:v>0</c:v>
                  </c:pt>
                  <c:pt idx="94">
                    <c:v>0</c:v>
                  </c:pt>
                  <c:pt idx="95">
                    <c:v>0</c:v>
                  </c:pt>
                  <c:pt idx="96">
                    <c:v>0</c:v>
                  </c:pt>
                  <c:pt idx="97">
                    <c:v>0</c:v>
                  </c:pt>
                  <c:pt idx="98">
                    <c:v>0</c:v>
                  </c:pt>
                  <c:pt idx="99">
                    <c:v>0</c:v>
                  </c:pt>
                  <c:pt idx="100">
                    <c:v>0</c:v>
                  </c:pt>
                  <c:pt idx="101">
                    <c:v>0</c:v>
                  </c:pt>
                  <c:pt idx="102">
                    <c:v>0</c:v>
                  </c:pt>
                  <c:pt idx="103">
                    <c:v>0</c:v>
                  </c:pt>
                  <c:pt idx="104">
                    <c:v>0</c:v>
                  </c:pt>
                  <c:pt idx="105">
                    <c:v>0</c:v>
                  </c:pt>
                  <c:pt idx="106">
                    <c:v>0</c:v>
                  </c:pt>
                  <c:pt idx="107">
                    <c:v>0</c:v>
                  </c:pt>
                  <c:pt idx="108">
                    <c:v>0</c:v>
                  </c:pt>
                  <c:pt idx="109">
                    <c:v>0</c:v>
                  </c:pt>
                  <c:pt idx="110">
                    <c:v>0</c:v>
                  </c:pt>
                  <c:pt idx="111">
                    <c:v>0</c:v>
                  </c:pt>
                  <c:pt idx="112">
                    <c:v>0</c:v>
                  </c:pt>
                  <c:pt idx="113">
                    <c:v>0</c:v>
                  </c:pt>
                  <c:pt idx="114">
                    <c:v>0</c:v>
                  </c:pt>
                  <c:pt idx="115">
                    <c:v>0</c:v>
                  </c:pt>
                  <c:pt idx="116">
                    <c:v>0</c:v>
                  </c:pt>
                  <c:pt idx="117">
                    <c:v>0</c:v>
                  </c:pt>
                  <c:pt idx="118">
                    <c:v>0</c:v>
                  </c:pt>
                  <c:pt idx="119">
                    <c:v>0</c:v>
                  </c:pt>
                  <c:pt idx="120">
                    <c:v>0</c:v>
                  </c:pt>
                  <c:pt idx="121">
                    <c:v>0</c:v>
                  </c:pt>
                  <c:pt idx="122">
                    <c:v>0</c:v>
                  </c:pt>
                  <c:pt idx="123">
                    <c:v>0</c:v>
                  </c:pt>
                  <c:pt idx="124">
                    <c:v>0</c:v>
                  </c:pt>
                  <c:pt idx="125">
                    <c:v>0</c:v>
                  </c:pt>
                  <c:pt idx="126">
                    <c:v>0</c:v>
                  </c:pt>
                  <c:pt idx="127">
                    <c:v>0</c:v>
                  </c:pt>
                  <c:pt idx="128">
                    <c:v>0</c:v>
                  </c:pt>
                  <c:pt idx="129">
                    <c:v>0</c:v>
                  </c:pt>
                  <c:pt idx="130">
                    <c:v>0</c:v>
                  </c:pt>
                  <c:pt idx="131">
                    <c:v>0</c:v>
                  </c:pt>
                  <c:pt idx="132">
                    <c:v>0</c:v>
                  </c:pt>
                  <c:pt idx="133">
                    <c:v>0</c:v>
                  </c:pt>
                  <c:pt idx="134">
                    <c:v>0</c:v>
                  </c:pt>
                  <c:pt idx="135">
                    <c:v>0</c:v>
                  </c:pt>
                  <c:pt idx="136">
                    <c:v>0</c:v>
                  </c:pt>
                  <c:pt idx="137">
                    <c:v>0</c:v>
                  </c:pt>
                  <c:pt idx="138">
                    <c:v>0</c:v>
                  </c:pt>
                  <c:pt idx="139">
                    <c:v>0</c:v>
                  </c:pt>
                  <c:pt idx="140">
                    <c:v>0</c:v>
                  </c:pt>
                  <c:pt idx="141">
                    <c:v>0</c:v>
                  </c:pt>
                  <c:pt idx="142">
                    <c:v>0</c:v>
                  </c:pt>
                  <c:pt idx="143">
                    <c:v>0</c:v>
                  </c:pt>
                  <c:pt idx="144">
                    <c:v>0</c:v>
                  </c:pt>
                  <c:pt idx="145">
                    <c:v>0</c:v>
                  </c:pt>
                  <c:pt idx="146">
                    <c:v>0</c:v>
                  </c:pt>
                  <c:pt idx="147">
                    <c:v>0</c:v>
                  </c:pt>
                  <c:pt idx="148">
                    <c:v>0</c:v>
                  </c:pt>
                  <c:pt idx="149">
                    <c:v>0</c:v>
                  </c:pt>
                  <c:pt idx="150">
                    <c:v>0</c:v>
                  </c:pt>
                  <c:pt idx="151">
                    <c:v>0</c:v>
                  </c:pt>
                  <c:pt idx="152">
                    <c:v>0</c:v>
                  </c:pt>
                  <c:pt idx="153">
                    <c:v>0</c:v>
                  </c:pt>
                  <c:pt idx="154">
                    <c:v>0</c:v>
                  </c:pt>
                  <c:pt idx="155">
                    <c:v>0</c:v>
                  </c:pt>
                  <c:pt idx="156">
                    <c:v>0</c:v>
                  </c:pt>
                  <c:pt idx="157">
                    <c:v>0</c:v>
                  </c:pt>
                  <c:pt idx="158">
                    <c:v>0</c:v>
                  </c:pt>
                  <c:pt idx="159">
                    <c:v>0</c:v>
                  </c:pt>
                  <c:pt idx="160">
                    <c:v>0</c:v>
                  </c:pt>
                  <c:pt idx="161">
                    <c:v>0</c:v>
                  </c:pt>
                  <c:pt idx="162">
                    <c:v>0</c:v>
                  </c:pt>
                  <c:pt idx="163">
                    <c:v>0</c:v>
                  </c:pt>
                  <c:pt idx="164">
                    <c:v>0</c:v>
                  </c:pt>
                  <c:pt idx="165">
                    <c:v>0</c:v>
                  </c:pt>
                  <c:pt idx="166">
                    <c:v>0</c:v>
                  </c:pt>
                  <c:pt idx="167">
                    <c:v>0</c:v>
                  </c:pt>
                  <c:pt idx="168">
                    <c:v>0</c:v>
                  </c:pt>
                  <c:pt idx="169">
                    <c:v>0</c:v>
                  </c:pt>
                  <c:pt idx="170">
                    <c:v>0</c:v>
                  </c:pt>
                  <c:pt idx="171">
                    <c:v>0</c:v>
                  </c:pt>
                  <c:pt idx="172">
                    <c:v>0</c:v>
                  </c:pt>
                  <c:pt idx="173">
                    <c:v>0</c:v>
                  </c:pt>
                  <c:pt idx="174">
                    <c:v>0</c:v>
                  </c:pt>
                  <c:pt idx="175">
                    <c:v>0</c:v>
                  </c:pt>
                  <c:pt idx="176">
                    <c:v>0</c:v>
                  </c:pt>
                  <c:pt idx="177">
                    <c:v>0</c:v>
                  </c:pt>
                  <c:pt idx="178">
                    <c:v>0</c:v>
                  </c:pt>
                  <c:pt idx="179">
                    <c:v>0</c:v>
                  </c:pt>
                  <c:pt idx="180">
                    <c:v>0</c:v>
                  </c:pt>
                  <c:pt idx="181">
                    <c:v>0</c:v>
                  </c:pt>
                  <c:pt idx="182">
                    <c:v>0</c:v>
                  </c:pt>
                  <c:pt idx="183">
                    <c:v>0</c:v>
                  </c:pt>
                  <c:pt idx="184">
                    <c:v>0</c:v>
                  </c:pt>
                  <c:pt idx="185">
                    <c:v>0</c:v>
                  </c:pt>
                  <c:pt idx="186">
                    <c:v>0</c:v>
                  </c:pt>
                  <c:pt idx="187">
                    <c:v>0</c:v>
                  </c:pt>
                  <c:pt idx="188">
                    <c:v>0</c:v>
                  </c:pt>
                  <c:pt idx="189">
                    <c:v>0</c:v>
                  </c:pt>
                  <c:pt idx="190">
                    <c:v>0</c:v>
                  </c:pt>
                  <c:pt idx="191">
                    <c:v>0</c:v>
                  </c:pt>
                  <c:pt idx="192">
                    <c:v>0</c:v>
                  </c:pt>
                  <c:pt idx="193">
                    <c:v>0</c:v>
                  </c:pt>
                  <c:pt idx="194">
                    <c:v>0</c:v>
                  </c:pt>
                  <c:pt idx="195">
                    <c:v>0</c:v>
                  </c:pt>
                  <c:pt idx="196">
                    <c:v>0</c:v>
                  </c:pt>
                  <c:pt idx="197">
                    <c:v>0</c:v>
                  </c:pt>
                  <c:pt idx="198">
                    <c:v>0</c:v>
                  </c:pt>
                  <c:pt idx="199">
                    <c:v>0</c:v>
                  </c:pt>
                </c:numCache>
              </c:numRef>
            </c:minus>
          </c:errBars>
          <c:xVal>
            <c:numRef>
              <c:f>Calculations!$EQ$2:$EQ$201</c:f>
              <c:numCache>
                <c:formatCode>0.00</c:formatCode>
                <c:ptCount val="200"/>
                <c:pt idx="0">
                  <c:v>1.5955740966645304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1.4019162927427145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Calculations!$DR$2:$DR$201</c:f>
              <c:numCache>
                <c:formatCode>0</c:formatCode>
                <c:ptCount val="20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yVal>
          <c:bubbleSize>
            <c:numRef>
              <c:f>Calculations!$ER$2:$ER$201</c:f>
              <c:numCache>
                <c:formatCode>0.00%</c:formatCode>
                <c:ptCount val="200"/>
                <c:pt idx="0">
                  <c:v>0.65771972193884187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0.34228027806115818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1-7C0D-4C5C-8167-41445D0F239E}"/>
            </c:ext>
          </c:extLst>
        </c:ser>
        <c:ser>
          <c:idx val="4"/>
          <c:order val="2"/>
          <c:tx>
            <c:v>Combined Effect Size PI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Calculations!$EY$30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Calculations!$EY$29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accent3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Calculations!$EY$26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2-7C0D-4C5C-8167-41445D0F239E}"/>
            </c:ext>
          </c:extLst>
        </c:ser>
        <c:ser>
          <c:idx val="3"/>
          <c:order val="3"/>
          <c:tx>
            <c:v>Combined Effect Size CI</c:v>
          </c:tx>
          <c:spPr>
            <a:solidFill>
              <a:schemeClr val="accent3"/>
            </a:solidFill>
            <a:ln w="25400">
              <a:noFill/>
            </a:ln>
          </c:spPr>
          <c:invertIfNegative val="0"/>
          <c:errBars>
            <c:errDir val="x"/>
            <c:errBarType val="both"/>
            <c:errValType val="cust"/>
            <c:noEndCap val="0"/>
            <c:plus>
              <c:numRef>
                <c:f>Calculations!$EY$28</c:f>
                <c:numCache>
                  <c:formatCode>General</c:formatCode>
                  <c:ptCount val="1"/>
                  <c:pt idx="0">
                    <c:v>0.2208494619499819</c:v>
                  </c:pt>
                </c:numCache>
              </c:numRef>
            </c:plus>
            <c:minus>
              <c:numRef>
                <c:f>Calculations!$EY$27</c:f>
                <c:numCache>
                  <c:formatCode>General</c:formatCode>
                  <c:ptCount val="1"/>
                  <c:pt idx="0">
                    <c:v>0.1929352509671407</c:v>
                  </c:pt>
                </c:numCache>
              </c:numRef>
            </c:minus>
            <c:spPr>
              <a:ln w="25400">
                <a:solidFill>
                  <a:schemeClr val="tx1"/>
                </a:solidFill>
              </a:ln>
            </c:spPr>
          </c:errBars>
          <c:xVal>
            <c:numRef>
              <c:f>Calculations!$EY$24</c:f>
              <c:numCache>
                <c:formatCode>0.00</c:formatCode>
                <c:ptCount val="1"/>
                <c:pt idx="0">
                  <c:v>1.5264499646244674</c:v>
                </c:pt>
              </c:numCache>
            </c:numRef>
          </c:xVal>
          <c:yVal>
            <c:numRef>
              <c:f>Calculations!$EY$26</c:f>
              <c:numCache>
                <c:formatCode>0</c:formatCode>
                <c:ptCount val="1"/>
                <c:pt idx="0">
                  <c:v>3</c:v>
                </c:pt>
              </c:numCache>
            </c:numRef>
          </c:yVal>
          <c:bubbleSize>
            <c:numRef>
              <c:f>Calculations!$EY$31</c:f>
              <c:numCache>
                <c:formatCode>0.00</c:formatCode>
                <c:ptCount val="1"/>
                <c:pt idx="0">
                  <c:v>0.65771972193884187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3-7C0D-4C5C-8167-41445D0F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8"/>
        <c:showNegBubbles val="0"/>
        <c:axId val="313516192"/>
        <c:axId val="313515800"/>
      </c:bubbleChart>
      <c:valAx>
        <c:axId val="313516192"/>
        <c:scaling>
          <c:logBase val="10"/>
          <c:orientation val="minMax"/>
        </c:scaling>
        <c:delete val="0"/>
        <c:axPos val="t"/>
        <c:numFmt formatCode="0.00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5800"/>
        <c:crossesAt val="0"/>
        <c:crossBetween val="midCat"/>
      </c:valAx>
      <c:valAx>
        <c:axId val="313515800"/>
        <c:scaling>
          <c:orientation val="maxMin"/>
          <c:min val="0"/>
        </c:scaling>
        <c:delete val="0"/>
        <c:axPos val="l"/>
        <c:numFmt formatCode="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6192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 algn="ctr">
              <a:defRPr/>
            </a:pPr>
            <a:r>
              <a:rPr lang="nl-NL" sz="1600" b="1" i="0" baseline="0">
                <a:effectLst/>
              </a:rPr>
              <a:t>Regression Analysis</a:t>
            </a:r>
            <a:endParaRPr lang="nl-NL" sz="1200">
              <a:effectLst/>
            </a:endParaRP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2483384927618142"/>
          <c:y val="0.11431013553395031"/>
          <c:w val="0.84582778263828129"/>
          <c:h val="0.79881157217155019"/>
        </c:manualLayout>
      </c:layout>
      <c:bubbleChart>
        <c:varyColors val="0"/>
        <c:ser>
          <c:idx val="0"/>
          <c:order val="0"/>
          <c:tx>
            <c:v>Moderator</c:v>
          </c:tx>
          <c:invertIfNegative val="0"/>
          <c:xVal>
            <c:numRef>
              <c:f>Calculations!$FB$2:$FB$201</c:f>
              <c:numCache>
                <c:formatCode>0.00</c:formatCode>
                <c:ptCount val="200"/>
                <c:pt idx="0">
                  <c:v>15</c:v>
                </c:pt>
                <c:pt idx="1">
                  <c:v>16</c:v>
                </c:pt>
                <c:pt idx="2">
                  <c:v>13</c:v>
                </c:pt>
                <c:pt idx="3">
                  <c:v>18</c:v>
                </c:pt>
                <c:pt idx="4">
                  <c:v>20</c:v>
                </c:pt>
                <c:pt idx="5">
                  <c:v>14</c:v>
                </c:pt>
                <c:pt idx="6">
                  <c:v>19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17</c:v>
                </c:pt>
                <c:pt idx="11">
                  <c:v>18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Calculations!$FC$2:$FC$201</c:f>
              <c:numCache>
                <c:formatCode>0.00</c:formatCode>
                <c:ptCount val="200"/>
                <c:pt idx="0">
                  <c:v>1.0560526742493137</c:v>
                </c:pt>
                <c:pt idx="1">
                  <c:v>0.67445504754779284</c:v>
                </c:pt>
                <c:pt idx="2">
                  <c:v>-0.31015492830383962</c:v>
                </c:pt>
                <c:pt idx="3">
                  <c:v>0.48550781578170082</c:v>
                </c:pt>
                <c:pt idx="4">
                  <c:v>0.67479804189174875</c:v>
                </c:pt>
                <c:pt idx="5">
                  <c:v>0.7537718023763802</c:v>
                </c:pt>
                <c:pt idx="6">
                  <c:v>-0.12516314295400605</c:v>
                </c:pt>
                <c:pt idx="7">
                  <c:v>1.0818051703517284</c:v>
                </c:pt>
                <c:pt idx="8">
                  <c:v>0.25131442828090617</c:v>
                </c:pt>
                <c:pt idx="9">
                  <c:v>0.73759894313077912</c:v>
                </c:pt>
                <c:pt idx="10">
                  <c:v>-0.63068982562619869</c:v>
                </c:pt>
                <c:pt idx="11">
                  <c:v>0.5389965007326869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'Moderator Analysis'!$G$2:$G$201</c:f>
              <c:numCache>
                <c:formatCode>0.00%</c:formatCode>
                <c:ptCount val="200"/>
                <c:pt idx="0">
                  <c:v>4.8676636448938604E-2</c:v>
                </c:pt>
                <c:pt idx="1">
                  <c:v>0.11071861659885102</c:v>
                </c:pt>
                <c:pt idx="2">
                  <c:v>9.2990307164735025E-2</c:v>
                </c:pt>
                <c:pt idx="3">
                  <c:v>0.19436519490901569</c:v>
                </c:pt>
                <c:pt idx="4">
                  <c:v>9.3035557922479431E-2</c:v>
                </c:pt>
                <c:pt idx="5">
                  <c:v>8.6558163602703991E-2</c:v>
                </c:pt>
                <c:pt idx="6">
                  <c:v>7.7026192435819027E-2</c:v>
                </c:pt>
                <c:pt idx="7">
                  <c:v>7.1450898324661893E-2</c:v>
                </c:pt>
                <c:pt idx="8">
                  <c:v>3.8139541200195685E-2</c:v>
                </c:pt>
                <c:pt idx="9">
                  <c:v>6.077011671097278E-2</c:v>
                </c:pt>
                <c:pt idx="10">
                  <c:v>7.421951845547764E-2</c:v>
                </c:pt>
                <c:pt idx="11">
                  <c:v>5.2049256226149421E-2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62C5-48E9-ACBA-C9D8F94936E7}"/>
            </c:ext>
          </c:extLst>
        </c:ser>
        <c:ser>
          <c:idx val="1"/>
          <c:order val="1"/>
          <c:tx>
            <c:v>Regression</c:v>
          </c:tx>
          <c:spPr>
            <a:noFill/>
            <a:ln w="25400">
              <a:noFill/>
            </a:ln>
          </c:spPr>
          <c:invertIfNegative val="0"/>
          <c:trendline>
            <c:spPr>
              <a:ln w="25400">
                <a:solidFill>
                  <a:schemeClr val="accent2">
                    <a:alpha val="81000"/>
                  </a:schemeClr>
                </a:solidFill>
              </a:ln>
            </c:spPr>
            <c:trendlineType val="linear"/>
            <c:dispRSqr val="0"/>
            <c:dispEq val="0"/>
          </c:trendline>
          <c:xVal>
            <c:numRef>
              <c:f>Calculations!$FO$12:$FO$13</c:f>
              <c:numCache>
                <c:formatCode>0.00</c:formatCode>
                <c:ptCount val="2"/>
                <c:pt idx="0">
                  <c:v>11.700000000000001</c:v>
                </c:pt>
                <c:pt idx="1">
                  <c:v>24.200000000000003</c:v>
                </c:pt>
              </c:numCache>
            </c:numRef>
          </c:xVal>
          <c:yVal>
            <c:numRef>
              <c:f>Calculations!$FP$12:$FP$13</c:f>
              <c:numCache>
                <c:formatCode>0.00</c:formatCode>
                <c:ptCount val="2"/>
                <c:pt idx="0">
                  <c:v>0.42636623803442492</c:v>
                </c:pt>
                <c:pt idx="1">
                  <c:v>0.41818038033589844</c:v>
                </c:pt>
              </c:numCache>
            </c:numRef>
          </c:yVal>
          <c:bubbleSize>
            <c:numLit>
              <c:formatCode>General</c:formatCode>
              <c:ptCount val="2"/>
              <c:pt idx="0">
                <c:v>0</c:v>
              </c:pt>
              <c:pt idx="1">
                <c:v>0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62C5-48E9-ACBA-C9D8F9493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313515016"/>
        <c:axId val="313514624"/>
      </c:bubbleChart>
      <c:valAx>
        <c:axId val="313515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Moderator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low"/>
        <c:crossAx val="313514624"/>
        <c:crosses val="autoZero"/>
        <c:crossBetween val="midCat"/>
      </c:valAx>
      <c:valAx>
        <c:axId val="3135146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Effect Size</a:t>
                </a:r>
              </a:p>
            </c:rich>
          </c:tx>
          <c:overlay val="0"/>
        </c:title>
        <c:numFmt formatCode="0.00" sourceLinked="1"/>
        <c:majorTickMark val="in"/>
        <c:minorTickMark val="none"/>
        <c:tickLblPos val="nextTo"/>
        <c:crossAx val="313515016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>
          <a:ln>
            <a:noFill/>
          </a:ln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ysClr val="windowText" lastClr="000000"/>
                </a:solidFill>
              </a:rPr>
              <a:t>L'Abbe</a:t>
            </a:r>
            <a:r>
              <a:rPr lang="en-GB" b="1" baseline="0">
                <a:solidFill>
                  <a:sysClr val="windowText" lastClr="000000"/>
                </a:solidFill>
              </a:rPr>
              <a:t> plot</a:t>
            </a:r>
            <a:endParaRPr lang="en-GB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786669523452425"/>
          <c:y val="9.4205006352990575E-2"/>
          <c:w val="0.83913439391504629"/>
          <c:h val="0.77093295198242773"/>
        </c:manualLayout>
      </c:layout>
      <c:bubbleChart>
        <c:varyColors val="0"/>
        <c:ser>
          <c:idx val="0"/>
          <c:order val="0"/>
          <c:tx>
            <c:v>Risks</c:v>
          </c:tx>
          <c:spPr>
            <a:solidFill>
              <a:schemeClr val="accent1">
                <a:alpha val="75000"/>
              </a:schemeClr>
            </a:solidFill>
            <a:ln w="25400">
              <a:noFill/>
            </a:ln>
            <a:effectLst/>
          </c:spPr>
          <c:invertIfNegative val="0"/>
          <c:xVal>
            <c:numRef>
              <c:f>Calculations!$ID$2:$ID$201</c:f>
              <c:numCache>
                <c:formatCode>0.00</c:formatCode>
                <c:ptCount val="200"/>
                <c:pt idx="0">
                  <c:v>0.08</c:v>
                </c:pt>
                <c:pt idx="1">
                  <c:v>0.18461538461538463</c:v>
                </c:pt>
                <c:pt idx="2">
                  <c:v>0.45</c:v>
                </c:pt>
                <c:pt idx="3">
                  <c:v>0.13333333333333333</c:v>
                </c:pt>
                <c:pt idx="4">
                  <c:v>0.23404255319148937</c:v>
                </c:pt>
                <c:pt idx="5">
                  <c:v>0.22222222222222221</c:v>
                </c:pt>
                <c:pt idx="6">
                  <c:v>0.16666666666666666</c:v>
                </c:pt>
                <c:pt idx="7">
                  <c:v>9.2307692307692313E-2</c:v>
                </c:pt>
                <c:pt idx="8">
                  <c:v>0.1</c:v>
                </c:pt>
                <c:pt idx="9">
                  <c:v>4.1666666666666664E-2</c:v>
                </c:pt>
                <c:pt idx="10">
                  <c:v>0.28888888888888886</c:v>
                </c:pt>
                <c:pt idx="11">
                  <c:v>0.1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xVal>
          <c:yVal>
            <c:numRef>
              <c:f>Calculations!$IC$2:$IC$201</c:f>
              <c:numCache>
                <c:formatCode>0.00</c:formatCode>
                <c:ptCount val="200"/>
                <c:pt idx="0">
                  <c:v>0.2</c:v>
                </c:pt>
                <c:pt idx="1">
                  <c:v>0.30769230769230771</c:v>
                </c:pt>
                <c:pt idx="2">
                  <c:v>0.375</c:v>
                </c:pt>
                <c:pt idx="3">
                  <c:v>0.2</c:v>
                </c:pt>
                <c:pt idx="4">
                  <c:v>0.375</c:v>
                </c:pt>
                <c:pt idx="5">
                  <c:v>0.37777777777777777</c:v>
                </c:pt>
                <c:pt idx="6">
                  <c:v>0.15</c:v>
                </c:pt>
                <c:pt idx="7">
                  <c:v>0.23076923076923078</c:v>
                </c:pt>
                <c:pt idx="8">
                  <c:v>0.125</c:v>
                </c:pt>
                <c:pt idx="9">
                  <c:v>8.3333333333333329E-2</c:v>
                </c:pt>
                <c:pt idx="10">
                  <c:v>0.17777777777777778</c:v>
                </c:pt>
                <c:pt idx="11">
                  <c:v>0.16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</c:numCache>
            </c:numRef>
          </c:yVal>
          <c:bubbleSize>
            <c:numRef>
              <c:f>Calculations!$IF$2:$IF$201</c:f>
              <c:numCache>
                <c:formatCode>0.00</c:formatCode>
                <c:ptCount val="200"/>
                <c:pt idx="0">
                  <c:v>2.5205479452054798</c:v>
                </c:pt>
                <c:pt idx="1">
                  <c:v>5.7331730769230758</c:v>
                </c:pt>
                <c:pt idx="2">
                  <c:v>4.8151750972762644</c:v>
                </c:pt>
                <c:pt idx="3">
                  <c:v>10.064516129032258</c:v>
                </c:pt>
                <c:pt idx="4">
                  <c:v>4.8175182481751824</c:v>
                </c:pt>
                <c:pt idx="5">
                  <c:v>4.4821092278719394</c:v>
                </c:pt>
                <c:pt idx="6">
                  <c:v>3.9885297184567263</c:v>
                </c:pt>
                <c:pt idx="7">
                  <c:v>3.6998327759197336</c:v>
                </c:pt>
                <c:pt idx="8">
                  <c:v>1.974921630094044</c:v>
                </c:pt>
                <c:pt idx="9">
                  <c:v>3.1467661691542288</c:v>
                </c:pt>
                <c:pt idx="10">
                  <c:v>3.8431960049937577</c:v>
                </c:pt>
                <c:pt idx="11">
                  <c:v>2.6951871657754016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</c:numCache>
            </c:numRef>
          </c:bubbleSize>
          <c:bubble3D val="0"/>
          <c:extLst>
            <c:ext xmlns:c16="http://schemas.microsoft.com/office/drawing/2014/chart" uri="{C3380CC4-5D6E-409C-BE32-E72D297353CC}">
              <c16:uniqueId val="{00000000-5050-417F-B64F-165EBE37DD37}"/>
            </c:ext>
          </c:extLst>
        </c:ser>
        <c:ser>
          <c:idx val="1"/>
          <c:order val="1"/>
          <c:tx>
            <c:strRef>
              <c:f>Calculations!$IH$1</c:f>
              <c:strCache>
                <c:ptCount val="1"/>
                <c:pt idx="0">
                  <c:v>Zero effect</c:v>
                </c:pt>
              </c:strCache>
            </c:strRef>
          </c:tx>
          <c:spPr>
            <a:noFill/>
            <a:ln w="25400">
              <a:noFill/>
            </a:ln>
            <a:effectLst/>
          </c:spPr>
          <c:invertIfNegative val="0"/>
          <c:trendline>
            <c:name>Zero effect</c:name>
            <c:spPr>
              <a:ln w="190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Calculations!$IH$3:$IH$4</c:f>
              <c:numCache>
                <c:formatCode>0.00</c:formatCode>
                <c:ptCount val="2"/>
                <c:pt idx="0">
                  <c:v>0</c:v>
                </c:pt>
                <c:pt idx="1">
                  <c:v>0.45</c:v>
                </c:pt>
              </c:numCache>
            </c:numRef>
          </c:xVal>
          <c:yVal>
            <c:numRef>
              <c:f>Calculations!$II$3:$II$4</c:f>
              <c:numCache>
                <c:formatCode>0.00</c:formatCode>
                <c:ptCount val="2"/>
                <c:pt idx="0">
                  <c:v>0</c:v>
                </c:pt>
                <c:pt idx="1">
                  <c:v>0.45</c:v>
                </c:pt>
              </c:numCache>
            </c:numRef>
          </c:yVal>
          <c:bubbleSize>
            <c:numLit>
              <c:formatCode>General</c:formatCode>
              <c:ptCount val="5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</c:v>
              </c:pt>
              <c:pt idx="21">
                <c:v>1</c:v>
              </c:pt>
              <c:pt idx="22">
                <c:v>1</c:v>
              </c:pt>
              <c:pt idx="23">
                <c:v>1</c:v>
              </c:pt>
              <c:pt idx="24">
                <c:v>1</c:v>
              </c:pt>
              <c:pt idx="25">
                <c:v>1</c:v>
              </c:pt>
              <c:pt idx="26">
                <c:v>1</c:v>
              </c:pt>
              <c:pt idx="27">
                <c:v>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1</c:v>
              </c:pt>
              <c:pt idx="46">
                <c:v>1</c:v>
              </c:pt>
              <c:pt idx="47">
                <c:v>1</c:v>
              </c:pt>
              <c:pt idx="48">
                <c:v>1</c:v>
              </c:pt>
              <c:pt idx="49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2-5050-417F-B64F-165EBE37DD37}"/>
            </c:ext>
          </c:extLst>
        </c:ser>
        <c:ser>
          <c:idx val="2"/>
          <c:order val="2"/>
          <c:tx>
            <c:strRef>
              <c:f>Calculations!$IH$5</c:f>
              <c:strCache>
                <c:ptCount val="1"/>
                <c:pt idx="0">
                  <c:v>Observed effect</c:v>
                </c:pt>
              </c:strCache>
            </c:strRef>
          </c:tx>
          <c:spPr>
            <a:noFill/>
            <a:ln w="25400">
              <a:noFill/>
            </a:ln>
          </c:spPr>
          <c:invertIfNegative val="0"/>
          <c:trendline>
            <c:name>Observed effect</c:name>
            <c:spPr>
              <a:ln w="19050">
                <a:solidFill>
                  <a:schemeClr val="accent1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Calculations!$IH$6:$IH$7</c:f>
              <c:numCache>
                <c:formatCode>0.00</c:formatCode>
                <c:ptCount val="2"/>
                <c:pt idx="0">
                  <c:v>0</c:v>
                </c:pt>
                <c:pt idx="1">
                  <c:v>0.45</c:v>
                </c:pt>
              </c:numCache>
            </c:numRef>
          </c:xVal>
          <c:yVal>
            <c:numRef>
              <c:f>Calculations!$II$6:$II$7</c:f>
              <c:numCache>
                <c:formatCode>0.00</c:formatCode>
                <c:ptCount val="2"/>
                <c:pt idx="0">
                  <c:v>0</c:v>
                </c:pt>
                <c:pt idx="1">
                  <c:v>0.60812422060746529</c:v>
                </c:pt>
              </c:numCache>
            </c:numRef>
          </c:yVal>
          <c:bubbleSize>
            <c:numLit>
              <c:formatCode>General</c:formatCode>
              <c:ptCount val="50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>
                <c:v>1</c:v>
              </c:pt>
              <c:pt idx="14">
                <c:v>1</c:v>
              </c:pt>
              <c:pt idx="15">
                <c:v>1</c:v>
              </c:pt>
              <c:pt idx="16">
                <c:v>1</c:v>
              </c:pt>
              <c:pt idx="17">
                <c:v>1</c:v>
              </c:pt>
              <c:pt idx="18">
                <c:v>1</c:v>
              </c:pt>
              <c:pt idx="19">
                <c:v>1</c:v>
              </c:pt>
              <c:pt idx="20">
                <c:v>1</c:v>
              </c:pt>
              <c:pt idx="21">
                <c:v>1</c:v>
              </c:pt>
              <c:pt idx="22">
                <c:v>1</c:v>
              </c:pt>
              <c:pt idx="23">
                <c:v>1</c:v>
              </c:pt>
              <c:pt idx="24">
                <c:v>1</c:v>
              </c:pt>
              <c:pt idx="25">
                <c:v>1</c:v>
              </c:pt>
              <c:pt idx="26">
                <c:v>1</c:v>
              </c:pt>
              <c:pt idx="27">
                <c:v>1</c:v>
              </c:pt>
              <c:pt idx="28">
                <c:v>1</c:v>
              </c:pt>
              <c:pt idx="29">
                <c:v>1</c:v>
              </c:pt>
              <c:pt idx="30">
                <c:v>1</c:v>
              </c:pt>
              <c:pt idx="31">
                <c:v>1</c:v>
              </c:pt>
              <c:pt idx="32">
                <c:v>1</c:v>
              </c:pt>
              <c:pt idx="33">
                <c:v>1</c:v>
              </c:pt>
              <c:pt idx="34">
                <c:v>1</c:v>
              </c:pt>
              <c:pt idx="35">
                <c:v>1</c:v>
              </c:pt>
              <c:pt idx="36">
                <c:v>1</c:v>
              </c:pt>
              <c:pt idx="37">
                <c:v>1</c:v>
              </c:pt>
              <c:pt idx="38">
                <c:v>1</c:v>
              </c:pt>
              <c:pt idx="39">
                <c:v>1</c:v>
              </c:pt>
              <c:pt idx="40">
                <c:v>1</c:v>
              </c:pt>
              <c:pt idx="41">
                <c:v>1</c:v>
              </c:pt>
              <c:pt idx="42">
                <c:v>1</c:v>
              </c:pt>
              <c:pt idx="43">
                <c:v>1</c:v>
              </c:pt>
              <c:pt idx="44">
                <c:v>1</c:v>
              </c:pt>
              <c:pt idx="45">
                <c:v>1</c:v>
              </c:pt>
              <c:pt idx="46">
                <c:v>1</c:v>
              </c:pt>
              <c:pt idx="47">
                <c:v>1</c:v>
              </c:pt>
              <c:pt idx="48">
                <c:v>1</c:v>
              </c:pt>
              <c:pt idx="49">
                <c:v>1</c:v>
              </c:pt>
            </c:numLit>
          </c:bubbleSize>
          <c:bubble3D val="0"/>
          <c:extLst>
            <c:ext xmlns:c16="http://schemas.microsoft.com/office/drawing/2014/chart" uri="{C3380CC4-5D6E-409C-BE32-E72D297353CC}">
              <c16:uniqueId val="{00000004-5050-417F-B64F-165EBE37D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30"/>
        <c:showNegBubbles val="0"/>
        <c:axId val="313514232"/>
        <c:axId val="313513448"/>
      </c:bubbleChart>
      <c:valAx>
        <c:axId val="31351423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Group 2 risk</a:t>
                </a:r>
              </a:p>
            </c:rich>
          </c:tx>
          <c:overlay val="0"/>
        </c:title>
        <c:numFmt formatCode="0.00" sourceLinked="1"/>
        <c:majorTickMark val="none"/>
        <c:minorTickMark val="none"/>
        <c:tickLblPos val="nextTo"/>
        <c:spPr>
          <a:noFill/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3448"/>
        <c:crosses val="autoZero"/>
        <c:crossBetween val="midCat"/>
      </c:valAx>
      <c:valAx>
        <c:axId val="313513448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="1">
                    <a:solidFill>
                      <a:sysClr val="windowText" lastClr="000000"/>
                    </a:solidFill>
                  </a:rPr>
                  <a:t>Group 1 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3514232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>
      <a:solidFill>
        <a:sysClr val="windowText" lastClr="000000"/>
      </a:solidFill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0</xdr:colOff>
      <xdr:row>202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0</xdr:colOff>
      <xdr:row>206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0</xdr:colOff>
      <xdr:row>206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0</xdr:rowOff>
    </xdr:from>
    <xdr:to>
      <xdr:col>22</xdr:col>
      <xdr:colOff>0</xdr:colOff>
      <xdr:row>211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0</xdr:colOff>
      <xdr:row>0</xdr:row>
      <xdr:rowOff>0</xdr:rowOff>
    </xdr:from>
    <xdr:to>
      <xdr:col>20</xdr:col>
      <xdr:colOff>0</xdr:colOff>
      <xdr:row>212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0</xdr:row>
      <xdr:rowOff>1</xdr:rowOff>
    </xdr:from>
    <xdr:to>
      <xdr:col>24</xdr:col>
      <xdr:colOff>0</xdr:colOff>
      <xdr:row>17</xdr:row>
      <xdr:rowOff>133351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0</xdr:colOff>
      <xdr:row>0</xdr:row>
      <xdr:rowOff>0</xdr:rowOff>
    </xdr:from>
    <xdr:to>
      <xdr:col>26</xdr:col>
      <xdr:colOff>0</xdr:colOff>
      <xdr:row>17</xdr:row>
      <xdr:rowOff>123825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14285</xdr:rowOff>
    </xdr:from>
    <xdr:to>
      <xdr:col>16</xdr:col>
      <xdr:colOff>0</xdr:colOff>
      <xdr:row>26</xdr:row>
      <xdr:rowOff>76199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0</xdr:row>
      <xdr:rowOff>9524</xdr:rowOff>
    </xdr:from>
    <xdr:to>
      <xdr:col>43</xdr:col>
      <xdr:colOff>0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49</xdr:col>
      <xdr:colOff>0</xdr:colOff>
      <xdr:row>0</xdr:row>
      <xdr:rowOff>0</xdr:rowOff>
    </xdr:from>
    <xdr:to>
      <xdr:col>54</xdr:col>
      <xdr:colOff>0</xdr:colOff>
      <xdr:row>26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9525</xdr:colOff>
      <xdr:row>0</xdr:row>
      <xdr:rowOff>9525</xdr:rowOff>
    </xdr:from>
    <xdr:to>
      <xdr:col>12</xdr:col>
      <xdr:colOff>0</xdr:colOff>
      <xdr:row>26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60</xdr:col>
      <xdr:colOff>0</xdr:colOff>
      <xdr:row>0</xdr:row>
      <xdr:rowOff>0</xdr:rowOff>
    </xdr:from>
    <xdr:to>
      <xdr:col>67</xdr:col>
      <xdr:colOff>0</xdr:colOff>
      <xdr:row>26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190499</xdr:colOff>
      <xdr:row>0</xdr:row>
      <xdr:rowOff>0</xdr:rowOff>
    </xdr:from>
    <xdr:to>
      <xdr:col>29</xdr:col>
      <xdr:colOff>1257299</xdr:colOff>
      <xdr:row>26</xdr:row>
      <xdr:rowOff>152399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1"/>
  <sheetViews>
    <sheetView showGridLines="0" tabSelected="1" zoomScaleNormal="100" workbookViewId="0">
      <pane ySplit="1" topLeftCell="A2" activePane="bottomLeft" state="frozen"/>
      <selection pane="bottomLeft" activeCell="R32" sqref="R32"/>
    </sheetView>
  </sheetViews>
  <sheetFormatPr defaultColWidth="18" defaultRowHeight="12" x14ac:dyDescent="0.2"/>
  <cols>
    <col min="1" max="1" width="3.1640625" bestFit="1" customWidth="1"/>
    <col min="2" max="2" width="11" style="18" bestFit="1" customWidth="1"/>
    <col min="3" max="3" width="12" bestFit="1" customWidth="1"/>
    <col min="4" max="4" width="3.1640625" bestFit="1" customWidth="1"/>
    <col min="5" max="5" width="4.1640625" bestFit="1" customWidth="1"/>
    <col min="6" max="6" width="3.1640625" bestFit="1" customWidth="1"/>
    <col min="7" max="7" width="4.1640625" bestFit="1" customWidth="1"/>
    <col min="8" max="9" width="4.1640625" style="45" bestFit="1" customWidth="1"/>
    <col min="10" max="10" width="13.33203125" style="45" bestFit="1" customWidth="1"/>
    <col min="11" max="11" width="8.83203125" style="6" bestFit="1" customWidth="1"/>
    <col min="12" max="12" width="9.83203125" style="6" bestFit="1" customWidth="1"/>
    <col min="13" max="13" width="3.33203125" customWidth="1"/>
    <col min="14" max="14" width="8.1640625" bestFit="1" customWidth="1"/>
    <col min="15" max="16" width="10.1640625" bestFit="1" customWidth="1"/>
    <col min="17" max="17" width="5.33203125" bestFit="1" customWidth="1"/>
  </cols>
  <sheetData>
    <row r="1" spans="1:20" ht="27" customHeight="1" x14ac:dyDescent="0.2">
      <c r="A1" s="1" t="s">
        <v>200</v>
      </c>
      <c r="B1" s="1" t="s">
        <v>22</v>
      </c>
      <c r="C1" s="1" t="s">
        <v>267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279</v>
      </c>
      <c r="I1" s="1" t="s">
        <v>280</v>
      </c>
      <c r="J1" s="1" t="s">
        <v>266</v>
      </c>
      <c r="K1" s="1" t="s">
        <v>105</v>
      </c>
      <c r="L1" s="1" t="s">
        <v>108</v>
      </c>
    </row>
    <row r="2" spans="1:20" x14ac:dyDescent="0.2">
      <c r="A2" s="7">
        <f>IF(AND(Sufficient_data="Yes",Include_study?="Yes"),1,"")</f>
        <v>1</v>
      </c>
      <c r="B2" s="16" t="s">
        <v>304</v>
      </c>
      <c r="C2" s="5" t="s">
        <v>11</v>
      </c>
      <c r="D2" s="40">
        <v>10</v>
      </c>
      <c r="E2" s="40"/>
      <c r="F2" s="40">
        <v>4</v>
      </c>
      <c r="G2" s="40"/>
      <c r="H2" s="40">
        <v>50</v>
      </c>
      <c r="I2" s="40">
        <v>50</v>
      </c>
      <c r="J2" s="149" t="str">
        <f t="shared" ref="J2:J33" si="0">IF(AND(OR(AND(a_&lt;&gt;"",b_&lt;&gt;""),AND(OR(a_&lt;&gt;"",b_&lt;&gt;""),n1_&lt;&gt;"")),OR(AND(c_&lt;&gt;"",d_&lt;&gt;""),AND(OR(c_&lt;&gt;"",d_&lt;&gt;""),n2_&lt;&gt;""))),"Yes","No")</f>
        <v>Yes</v>
      </c>
      <c r="K2" s="5" t="s">
        <v>316</v>
      </c>
      <c r="L2" s="40">
        <v>15</v>
      </c>
      <c r="N2" s="1"/>
      <c r="O2" s="1" t="s">
        <v>198</v>
      </c>
      <c r="P2" s="1" t="s">
        <v>199</v>
      </c>
      <c r="Q2" s="1" t="s">
        <v>174</v>
      </c>
      <c r="S2" s="171"/>
      <c r="T2" s="171"/>
    </row>
    <row r="3" spans="1:20" ht="13.5" x14ac:dyDescent="0.25">
      <c r="A3" s="7">
        <f>IF(AND(Sufficient_data="Yes",Include_study?="Yes"),COUNT(A$2:A2)+1,"")</f>
        <v>2</v>
      </c>
      <c r="B3" s="16" t="s">
        <v>305</v>
      </c>
      <c r="C3" s="5" t="s">
        <v>11</v>
      </c>
      <c r="D3" s="40">
        <v>20</v>
      </c>
      <c r="E3" s="40"/>
      <c r="F3" s="40">
        <v>12</v>
      </c>
      <c r="G3" s="40"/>
      <c r="H3" s="40">
        <v>65</v>
      </c>
      <c r="I3" s="40">
        <v>65</v>
      </c>
      <c r="J3" s="149" t="str">
        <f t="shared" si="0"/>
        <v>Yes</v>
      </c>
      <c r="K3" s="5" t="s">
        <v>316</v>
      </c>
      <c r="L3" s="40">
        <v>16</v>
      </c>
      <c r="N3" s="56" t="s">
        <v>24</v>
      </c>
      <c r="O3" s="3" t="s">
        <v>53</v>
      </c>
      <c r="P3" s="3" t="s">
        <v>54</v>
      </c>
      <c r="Q3" s="59" t="s">
        <v>330</v>
      </c>
      <c r="S3" s="171"/>
      <c r="T3" s="171"/>
    </row>
    <row r="4" spans="1:20" ht="13.5" x14ac:dyDescent="0.25">
      <c r="A4" s="7">
        <f>IF(AND(Sufficient_data="Yes",Include_study?="Yes"),COUNT(A$2:A3)+1,"")</f>
        <v>3</v>
      </c>
      <c r="B4" s="16" t="s">
        <v>306</v>
      </c>
      <c r="C4" s="5" t="s">
        <v>11</v>
      </c>
      <c r="D4" s="40">
        <v>15</v>
      </c>
      <c r="E4" s="40">
        <v>25</v>
      </c>
      <c r="F4" s="40">
        <v>18</v>
      </c>
      <c r="G4" s="40">
        <v>22</v>
      </c>
      <c r="H4" s="40"/>
      <c r="I4" s="40"/>
      <c r="J4" s="149" t="str">
        <f t="shared" si="0"/>
        <v>Yes</v>
      </c>
      <c r="K4" s="5" t="s">
        <v>316</v>
      </c>
      <c r="L4" s="40">
        <v>13</v>
      </c>
      <c r="N4" s="56" t="s">
        <v>25</v>
      </c>
      <c r="O4" s="3" t="s">
        <v>55</v>
      </c>
      <c r="P4" s="3" t="s">
        <v>56</v>
      </c>
      <c r="Q4" s="59" t="s">
        <v>331</v>
      </c>
      <c r="S4" s="171"/>
      <c r="T4" s="171"/>
    </row>
    <row r="5" spans="1:20" x14ac:dyDescent="0.2">
      <c r="A5" s="7">
        <f>IF(AND(Sufficient_data="Yes",Include_study?="Yes"),COUNT(A$2:A4)+1,"")</f>
        <v>4</v>
      </c>
      <c r="B5" s="16" t="s">
        <v>307</v>
      </c>
      <c r="C5" s="5" t="s">
        <v>11</v>
      </c>
      <c r="D5" s="40">
        <v>30</v>
      </c>
      <c r="E5" s="40"/>
      <c r="F5" s="40"/>
      <c r="G5" s="40">
        <v>130</v>
      </c>
      <c r="H5" s="40">
        <v>150</v>
      </c>
      <c r="I5" s="40">
        <v>150</v>
      </c>
      <c r="J5" s="149" t="str">
        <f t="shared" si="0"/>
        <v>Yes</v>
      </c>
      <c r="K5" s="5" t="s">
        <v>316</v>
      </c>
      <c r="L5" s="40">
        <v>18</v>
      </c>
      <c r="S5" s="171"/>
      <c r="T5" s="171"/>
    </row>
    <row r="6" spans="1:20" x14ac:dyDescent="0.2">
      <c r="A6" s="7">
        <f>IF(AND(Sufficient_data="Yes",Include_study?="Yes"),COUNT(A$2:A5)+1,"")</f>
        <v>5</v>
      </c>
      <c r="B6" s="16" t="s">
        <v>308</v>
      </c>
      <c r="C6" s="5" t="s">
        <v>11</v>
      </c>
      <c r="D6" s="40">
        <v>18</v>
      </c>
      <c r="E6" s="40"/>
      <c r="F6" s="40"/>
      <c r="G6" s="40">
        <v>36</v>
      </c>
      <c r="H6" s="40">
        <v>48</v>
      </c>
      <c r="I6" s="40">
        <v>47</v>
      </c>
      <c r="J6" s="149" t="str">
        <f t="shared" si="0"/>
        <v>Yes</v>
      </c>
      <c r="K6" s="5" t="s">
        <v>317</v>
      </c>
      <c r="L6" s="40">
        <v>20</v>
      </c>
      <c r="S6" s="171"/>
      <c r="T6" s="171"/>
    </row>
    <row r="7" spans="1:20" x14ac:dyDescent="0.2">
      <c r="A7" s="7">
        <f>IF(AND(Sufficient_data="Yes",Include_study?="Yes"),COUNT(A$2:A6)+1,"")</f>
        <v>6</v>
      </c>
      <c r="B7" s="16" t="s">
        <v>309</v>
      </c>
      <c r="C7" s="5" t="s">
        <v>11</v>
      </c>
      <c r="D7" s="40">
        <v>17</v>
      </c>
      <c r="E7" s="40">
        <v>28</v>
      </c>
      <c r="F7" s="40">
        <v>10</v>
      </c>
      <c r="G7" s="40">
        <v>35</v>
      </c>
      <c r="H7" s="40"/>
      <c r="I7" s="40"/>
      <c r="J7" s="149" t="str">
        <f t="shared" si="0"/>
        <v>Yes</v>
      </c>
      <c r="K7" s="5" t="s">
        <v>317</v>
      </c>
      <c r="L7" s="40">
        <v>14</v>
      </c>
      <c r="S7" s="171"/>
      <c r="T7" s="171"/>
    </row>
    <row r="8" spans="1:20" x14ac:dyDescent="0.2">
      <c r="A8" s="7">
        <f>IF(AND(Sufficient_data="Yes",Include_study?="Yes"),COUNT(A$2:A7)+1,"")</f>
        <v>7</v>
      </c>
      <c r="B8" s="16" t="s">
        <v>310</v>
      </c>
      <c r="C8" s="5" t="s">
        <v>11</v>
      </c>
      <c r="D8" s="40"/>
      <c r="E8" s="40">
        <v>51</v>
      </c>
      <c r="F8" s="40">
        <v>10</v>
      </c>
      <c r="G8" s="40"/>
      <c r="H8" s="40">
        <v>60</v>
      </c>
      <c r="I8" s="40">
        <v>60</v>
      </c>
      <c r="J8" s="149" t="str">
        <f t="shared" si="0"/>
        <v>Yes</v>
      </c>
      <c r="K8" s="5" t="s">
        <v>316</v>
      </c>
      <c r="L8" s="40">
        <v>19</v>
      </c>
      <c r="S8" s="171"/>
      <c r="T8" s="171"/>
    </row>
    <row r="9" spans="1:20" x14ac:dyDescent="0.2">
      <c r="A9" s="7">
        <f>IF(AND(Sufficient_data="Yes",Include_study?="Yes"),COUNT(A$2:A8)+1,"")</f>
        <v>8</v>
      </c>
      <c r="B9" s="16" t="s">
        <v>311</v>
      </c>
      <c r="C9" s="5" t="s">
        <v>11</v>
      </c>
      <c r="D9" s="40"/>
      <c r="E9" s="40">
        <v>50</v>
      </c>
      <c r="F9" s="40">
        <v>6</v>
      </c>
      <c r="G9" s="40"/>
      <c r="H9" s="40">
        <v>65</v>
      </c>
      <c r="I9" s="40">
        <v>65</v>
      </c>
      <c r="J9" s="149" t="str">
        <f t="shared" si="0"/>
        <v>Yes</v>
      </c>
      <c r="K9" s="5" t="s">
        <v>316</v>
      </c>
      <c r="L9" s="40">
        <v>13</v>
      </c>
      <c r="S9" s="171"/>
      <c r="T9" s="171"/>
    </row>
    <row r="10" spans="1:20" x14ac:dyDescent="0.2">
      <c r="A10" s="7">
        <f>IF(AND(Sufficient_data="Yes",Include_study?="Yes"),COUNT(A$2:A9)+1,"")</f>
        <v>9</v>
      </c>
      <c r="B10" s="16" t="s">
        <v>312</v>
      </c>
      <c r="C10" s="5" t="s">
        <v>11</v>
      </c>
      <c r="D10" s="40">
        <v>5</v>
      </c>
      <c r="E10" s="40">
        <v>35</v>
      </c>
      <c r="F10" s="40">
        <v>4</v>
      </c>
      <c r="G10" s="40">
        <v>36</v>
      </c>
      <c r="H10" s="40"/>
      <c r="I10" s="40"/>
      <c r="J10" s="149" t="str">
        <f t="shared" si="0"/>
        <v>Yes</v>
      </c>
      <c r="K10" s="5" t="s">
        <v>317</v>
      </c>
      <c r="L10" s="40">
        <v>19</v>
      </c>
      <c r="S10" s="171"/>
      <c r="T10" s="171"/>
    </row>
    <row r="11" spans="1:20" x14ac:dyDescent="0.2">
      <c r="A11" s="7">
        <f>IF(AND(Sufficient_data="Yes",Include_study?="Yes"),COUNT(A$2:A10)+1,"")</f>
        <v>10</v>
      </c>
      <c r="B11" s="16" t="s">
        <v>313</v>
      </c>
      <c r="C11" s="5" t="s">
        <v>11</v>
      </c>
      <c r="D11" s="40"/>
      <c r="E11" s="40">
        <v>110</v>
      </c>
      <c r="F11" s="40"/>
      <c r="G11" s="40">
        <v>115</v>
      </c>
      <c r="H11" s="40">
        <v>120</v>
      </c>
      <c r="I11" s="40">
        <v>120</v>
      </c>
      <c r="J11" s="149" t="str">
        <f t="shared" si="0"/>
        <v>Yes</v>
      </c>
      <c r="K11" s="5" t="s">
        <v>316</v>
      </c>
      <c r="L11" s="40">
        <v>22</v>
      </c>
      <c r="S11" s="171"/>
      <c r="T11" s="171"/>
    </row>
    <row r="12" spans="1:20" x14ac:dyDescent="0.2">
      <c r="A12" s="7">
        <f>IF(AND(Sufficient_data="Yes",Include_study?="Yes"),COUNT(A$2:A11)+1,"")</f>
        <v>11</v>
      </c>
      <c r="B12" s="16" t="s">
        <v>314</v>
      </c>
      <c r="C12" s="5" t="s">
        <v>11</v>
      </c>
      <c r="D12" s="40"/>
      <c r="E12" s="40">
        <v>37</v>
      </c>
      <c r="F12" s="40"/>
      <c r="G12" s="40">
        <v>32</v>
      </c>
      <c r="H12" s="40">
        <v>45</v>
      </c>
      <c r="I12" s="40">
        <v>45</v>
      </c>
      <c r="J12" s="149" t="str">
        <f t="shared" si="0"/>
        <v>Yes</v>
      </c>
      <c r="K12" s="5" t="s">
        <v>317</v>
      </c>
      <c r="L12" s="40">
        <v>17</v>
      </c>
      <c r="S12" s="171"/>
      <c r="T12" s="171"/>
    </row>
    <row r="13" spans="1:20" x14ac:dyDescent="0.2">
      <c r="A13" s="7">
        <f>IF(AND(Sufficient_data="Yes",Include_study?="Yes"),COUNT(A$2:A12)+1,"")</f>
        <v>12</v>
      </c>
      <c r="B13" s="16" t="s">
        <v>315</v>
      </c>
      <c r="C13" s="5" t="s">
        <v>11</v>
      </c>
      <c r="D13" s="40">
        <v>8</v>
      </c>
      <c r="E13" s="40">
        <v>42</v>
      </c>
      <c r="F13" s="40">
        <v>5</v>
      </c>
      <c r="G13" s="40">
        <v>45</v>
      </c>
      <c r="H13" s="40"/>
      <c r="I13" s="40"/>
      <c r="J13" s="149" t="str">
        <f t="shared" si="0"/>
        <v>Yes</v>
      </c>
      <c r="K13" s="5" t="s">
        <v>317</v>
      </c>
      <c r="L13" s="40">
        <v>18</v>
      </c>
      <c r="S13" s="171"/>
      <c r="T13" s="171"/>
    </row>
    <row r="14" spans="1:20" x14ac:dyDescent="0.2">
      <c r="A14" s="7" t="str">
        <f>IF(AND(Sufficient_data="Yes",Include_study?="Yes"),COUNT(A$2:A13)+1,"")</f>
        <v/>
      </c>
      <c r="B14" s="16"/>
      <c r="C14" s="5" t="s">
        <v>11</v>
      </c>
      <c r="D14" s="40"/>
      <c r="E14" s="40"/>
      <c r="F14" s="40"/>
      <c r="G14" s="40"/>
      <c r="H14" s="40"/>
      <c r="I14" s="40"/>
      <c r="J14" s="149" t="str">
        <f t="shared" si="0"/>
        <v>No</v>
      </c>
      <c r="K14" s="5"/>
      <c r="L14" s="40"/>
    </row>
    <row r="15" spans="1:20" x14ac:dyDescent="0.2">
      <c r="A15" s="7" t="str">
        <f>IF(AND(Sufficient_data="Yes",Include_study?="Yes"),COUNT(A$2:A14)+1,"")</f>
        <v/>
      </c>
      <c r="B15" s="16"/>
      <c r="C15" s="5" t="s">
        <v>11</v>
      </c>
      <c r="D15" s="40"/>
      <c r="E15" s="40"/>
      <c r="F15" s="40"/>
      <c r="G15" s="40"/>
      <c r="H15" s="40"/>
      <c r="I15" s="40"/>
      <c r="J15" s="149" t="str">
        <f>IF(AND(OR(AND(a_&lt;&gt;"",b_&lt;&gt;""),AND(OR(a_&lt;&gt;"",b_&lt;&gt;""),n1_&lt;&gt;"")),OR(AND(c_&lt;&gt;"",d_&lt;&gt;""),AND(OR(c_&lt;&gt;"",d_&lt;&gt;""),n2_&lt;&gt;""))),"Yes","No")</f>
        <v>No</v>
      </c>
      <c r="K15" s="5"/>
      <c r="L15" s="40"/>
    </row>
    <row r="16" spans="1:20" x14ac:dyDescent="0.2">
      <c r="A16" s="7" t="str">
        <f>IF(AND(Sufficient_data="Yes",Include_study?="Yes"),COUNT(A$2:A15)+1,"")</f>
        <v/>
      </c>
      <c r="B16" s="16"/>
      <c r="C16" s="5" t="s">
        <v>11</v>
      </c>
      <c r="D16" s="40"/>
      <c r="E16" s="40"/>
      <c r="F16" s="40"/>
      <c r="G16" s="40"/>
      <c r="H16" s="40"/>
      <c r="I16" s="40"/>
      <c r="J16" s="149" t="str">
        <f t="shared" si="0"/>
        <v>No</v>
      </c>
      <c r="K16" s="5"/>
      <c r="L16" s="40"/>
    </row>
    <row r="17" spans="1:12" x14ac:dyDescent="0.2">
      <c r="A17" s="7" t="str">
        <f>IF(AND(Sufficient_data="Yes",Include_study?="Yes"),COUNT(A$2:A16)+1,"")</f>
        <v/>
      </c>
      <c r="B17" s="16"/>
      <c r="C17" s="5" t="s">
        <v>11</v>
      </c>
      <c r="D17" s="40"/>
      <c r="E17" s="40"/>
      <c r="F17" s="40"/>
      <c r="G17" s="40"/>
      <c r="H17" s="40"/>
      <c r="I17" s="40"/>
      <c r="J17" s="149" t="str">
        <f t="shared" si="0"/>
        <v>No</v>
      </c>
      <c r="K17" s="5"/>
      <c r="L17" s="40"/>
    </row>
    <row r="18" spans="1:12" x14ac:dyDescent="0.2">
      <c r="A18" s="7" t="str">
        <f>IF(AND(Sufficient_data="Yes",Include_study?="Yes"),COUNT(A$2:A17)+1,"")</f>
        <v/>
      </c>
      <c r="B18" s="16"/>
      <c r="C18" s="5" t="s">
        <v>11</v>
      </c>
      <c r="D18" s="40"/>
      <c r="E18" s="40"/>
      <c r="F18" s="40"/>
      <c r="G18" s="40"/>
      <c r="H18" s="40"/>
      <c r="I18" s="40"/>
      <c r="J18" s="149" t="str">
        <f t="shared" si="0"/>
        <v>No</v>
      </c>
      <c r="K18" s="5"/>
      <c r="L18" s="40"/>
    </row>
    <row r="19" spans="1:12" x14ac:dyDescent="0.2">
      <c r="A19" s="7" t="str">
        <f>IF(AND(Sufficient_data="Yes",Include_study?="Yes"),COUNT(A$2:A18)+1,"")</f>
        <v/>
      </c>
      <c r="B19" s="16"/>
      <c r="C19" s="5" t="s">
        <v>11</v>
      </c>
      <c r="D19" s="40"/>
      <c r="E19" s="40"/>
      <c r="F19" s="40"/>
      <c r="G19" s="40"/>
      <c r="H19" s="40"/>
      <c r="I19" s="40"/>
      <c r="J19" s="149" t="str">
        <f t="shared" si="0"/>
        <v>No</v>
      </c>
      <c r="K19" s="5"/>
      <c r="L19" s="40"/>
    </row>
    <row r="20" spans="1:12" x14ac:dyDescent="0.2">
      <c r="A20" s="7" t="str">
        <f>IF(AND(Sufficient_data="Yes",Include_study?="Yes"),COUNT(A$2:A19)+1,"")</f>
        <v/>
      </c>
      <c r="B20" s="16"/>
      <c r="C20" s="5" t="s">
        <v>11</v>
      </c>
      <c r="D20" s="40"/>
      <c r="E20" s="40"/>
      <c r="F20" s="40"/>
      <c r="G20" s="40"/>
      <c r="H20" s="40"/>
      <c r="I20" s="40"/>
      <c r="J20" s="149" t="str">
        <f t="shared" si="0"/>
        <v>No</v>
      </c>
      <c r="K20" s="5"/>
      <c r="L20" s="40"/>
    </row>
    <row r="21" spans="1:12" x14ac:dyDescent="0.2">
      <c r="A21" s="7" t="str">
        <f>IF(AND(Sufficient_data="Yes",Include_study?="Yes"),COUNT(A$2:A20)+1,"")</f>
        <v/>
      </c>
      <c r="B21" s="16"/>
      <c r="C21" s="5" t="s">
        <v>11</v>
      </c>
      <c r="D21" s="40"/>
      <c r="E21" s="40"/>
      <c r="F21" s="40"/>
      <c r="G21" s="40"/>
      <c r="H21" s="40"/>
      <c r="I21" s="40"/>
      <c r="J21" s="149" t="str">
        <f t="shared" si="0"/>
        <v>No</v>
      </c>
      <c r="K21" s="5"/>
      <c r="L21" s="40"/>
    </row>
    <row r="22" spans="1:12" x14ac:dyDescent="0.2">
      <c r="A22" s="7" t="str">
        <f>IF(AND(Sufficient_data="Yes",Include_study?="Yes"),COUNT(A$2:A21)+1,"")</f>
        <v/>
      </c>
      <c r="B22" s="16"/>
      <c r="C22" s="5" t="s">
        <v>11</v>
      </c>
      <c r="D22" s="40"/>
      <c r="E22" s="40"/>
      <c r="F22" s="40"/>
      <c r="G22" s="40"/>
      <c r="H22" s="40"/>
      <c r="I22" s="40"/>
      <c r="J22" s="149" t="str">
        <f t="shared" si="0"/>
        <v>No</v>
      </c>
      <c r="K22" s="5"/>
      <c r="L22" s="40"/>
    </row>
    <row r="23" spans="1:12" x14ac:dyDescent="0.2">
      <c r="A23" s="7" t="str">
        <f>IF(AND(Sufficient_data="Yes",Include_study?="Yes"),COUNT(A$2:A22)+1,"")</f>
        <v/>
      </c>
      <c r="B23" s="16"/>
      <c r="C23" s="5" t="s">
        <v>11</v>
      </c>
      <c r="D23" s="40"/>
      <c r="E23" s="40"/>
      <c r="F23" s="40"/>
      <c r="G23" s="40"/>
      <c r="H23" s="40"/>
      <c r="I23" s="40"/>
      <c r="J23" s="149" t="str">
        <f t="shared" si="0"/>
        <v>No</v>
      </c>
      <c r="K23" s="5"/>
      <c r="L23" s="40"/>
    </row>
    <row r="24" spans="1:12" x14ac:dyDescent="0.2">
      <c r="A24" s="7" t="str">
        <f>IF(AND(Sufficient_data="Yes",Include_study?="Yes"),COUNT(A$2:A23)+1,"")</f>
        <v/>
      </c>
      <c r="B24" s="16"/>
      <c r="C24" s="5" t="s">
        <v>11</v>
      </c>
      <c r="D24" s="40"/>
      <c r="E24" s="40"/>
      <c r="F24" s="40"/>
      <c r="G24" s="40"/>
      <c r="H24" s="40"/>
      <c r="I24" s="40"/>
      <c r="J24" s="149" t="str">
        <f t="shared" si="0"/>
        <v>No</v>
      </c>
      <c r="K24" s="5"/>
      <c r="L24" s="40"/>
    </row>
    <row r="25" spans="1:12" x14ac:dyDescent="0.2">
      <c r="A25" s="7" t="str">
        <f>IF(AND(Sufficient_data="Yes",Include_study?="Yes"),COUNT(A$2:A24)+1,"")</f>
        <v/>
      </c>
      <c r="B25" s="16"/>
      <c r="C25" s="5" t="s">
        <v>11</v>
      </c>
      <c r="D25" s="40"/>
      <c r="E25" s="40"/>
      <c r="F25" s="40"/>
      <c r="G25" s="40"/>
      <c r="H25" s="40"/>
      <c r="I25" s="40"/>
      <c r="J25" s="149" t="str">
        <f t="shared" si="0"/>
        <v>No</v>
      </c>
      <c r="K25" s="5"/>
      <c r="L25" s="40"/>
    </row>
    <row r="26" spans="1:12" x14ac:dyDescent="0.2">
      <c r="A26" s="7" t="str">
        <f>IF(AND(Sufficient_data="Yes",Include_study?="Yes"),COUNT(A$2:A25)+1,"")</f>
        <v/>
      </c>
      <c r="B26" s="16"/>
      <c r="C26" s="5" t="s">
        <v>11</v>
      </c>
      <c r="D26" s="40"/>
      <c r="E26" s="40"/>
      <c r="F26" s="40"/>
      <c r="G26" s="40"/>
      <c r="H26" s="40"/>
      <c r="I26" s="40"/>
      <c r="J26" s="149" t="str">
        <f t="shared" si="0"/>
        <v>No</v>
      </c>
      <c r="K26" s="5"/>
      <c r="L26" s="40"/>
    </row>
    <row r="27" spans="1:12" x14ac:dyDescent="0.2">
      <c r="A27" s="7" t="str">
        <f>IF(AND(Sufficient_data="Yes",Include_study?="Yes"),COUNT(A$2:A26)+1,"")</f>
        <v/>
      </c>
      <c r="B27" s="16"/>
      <c r="C27" s="5" t="s">
        <v>11</v>
      </c>
      <c r="D27" s="40"/>
      <c r="E27" s="40"/>
      <c r="F27" s="40"/>
      <c r="G27" s="40"/>
      <c r="H27" s="40"/>
      <c r="I27" s="40"/>
      <c r="J27" s="149" t="str">
        <f t="shared" si="0"/>
        <v>No</v>
      </c>
      <c r="K27" s="5"/>
      <c r="L27" s="40"/>
    </row>
    <row r="28" spans="1:12" x14ac:dyDescent="0.2">
      <c r="A28" s="7" t="str">
        <f>IF(AND(Sufficient_data="Yes",Include_study?="Yes"),COUNT(A$2:A27)+1,"")</f>
        <v/>
      </c>
      <c r="B28" s="16"/>
      <c r="C28" s="5" t="s">
        <v>11</v>
      </c>
      <c r="D28" s="40"/>
      <c r="E28" s="40"/>
      <c r="F28" s="40"/>
      <c r="G28" s="40"/>
      <c r="H28" s="10"/>
      <c r="I28" s="10"/>
      <c r="J28" s="149" t="str">
        <f t="shared" si="0"/>
        <v>No</v>
      </c>
      <c r="K28" s="5"/>
      <c r="L28" s="40"/>
    </row>
    <row r="29" spans="1:12" x14ac:dyDescent="0.2">
      <c r="A29" s="7" t="str">
        <f>IF(AND(Sufficient_data="Yes",Include_study?="Yes"),COUNT(A$2:A28)+1,"")</f>
        <v/>
      </c>
      <c r="B29" s="16"/>
      <c r="C29" s="5" t="s">
        <v>11</v>
      </c>
      <c r="D29" s="40"/>
      <c r="E29" s="40"/>
      <c r="F29" s="40"/>
      <c r="G29" s="40"/>
      <c r="H29" s="10"/>
      <c r="I29" s="10"/>
      <c r="J29" s="149" t="str">
        <f t="shared" si="0"/>
        <v>No</v>
      </c>
      <c r="K29" s="5"/>
      <c r="L29" s="40"/>
    </row>
    <row r="30" spans="1:12" x14ac:dyDescent="0.2">
      <c r="A30" s="7" t="str">
        <f>IF(AND(Sufficient_data="Yes",Include_study?="Yes"),COUNT(A$2:A29)+1,"")</f>
        <v/>
      </c>
      <c r="B30" s="16"/>
      <c r="C30" s="5" t="s">
        <v>11</v>
      </c>
      <c r="D30" s="40"/>
      <c r="E30" s="40"/>
      <c r="F30" s="40"/>
      <c r="G30" s="40"/>
      <c r="H30" s="10"/>
      <c r="I30" s="10"/>
      <c r="J30" s="149" t="str">
        <f t="shared" si="0"/>
        <v>No</v>
      </c>
      <c r="K30" s="5"/>
      <c r="L30" s="40"/>
    </row>
    <row r="31" spans="1:12" x14ac:dyDescent="0.2">
      <c r="A31" s="7" t="str">
        <f>IF(AND(Sufficient_data="Yes",Include_study?="Yes"),COUNT(A$2:A30)+1,"")</f>
        <v/>
      </c>
      <c r="B31" s="16"/>
      <c r="C31" s="5" t="s">
        <v>11</v>
      </c>
      <c r="D31" s="40"/>
      <c r="E31" s="40"/>
      <c r="F31" s="40"/>
      <c r="G31" s="40"/>
      <c r="H31" s="10"/>
      <c r="I31" s="10"/>
      <c r="J31" s="149" t="str">
        <f t="shared" si="0"/>
        <v>No</v>
      </c>
      <c r="K31" s="5"/>
      <c r="L31" s="40"/>
    </row>
    <row r="32" spans="1:12" x14ac:dyDescent="0.2">
      <c r="A32" s="7" t="str">
        <f>IF(AND(Sufficient_data="Yes",Include_study?="Yes"),COUNT(A$2:A31)+1,"")</f>
        <v/>
      </c>
      <c r="B32" s="16"/>
      <c r="C32" s="5" t="s">
        <v>11</v>
      </c>
      <c r="D32" s="40"/>
      <c r="E32" s="40"/>
      <c r="F32" s="40"/>
      <c r="G32" s="40"/>
      <c r="H32" s="10"/>
      <c r="I32" s="10"/>
      <c r="J32" s="149" t="str">
        <f t="shared" si="0"/>
        <v>No</v>
      </c>
      <c r="K32" s="5"/>
      <c r="L32" s="40"/>
    </row>
    <row r="33" spans="1:15" x14ac:dyDescent="0.2">
      <c r="A33" s="7" t="str">
        <f>IF(AND(Sufficient_data="Yes",Include_study?="Yes"),COUNT(A$2:A32)+1,"")</f>
        <v/>
      </c>
      <c r="B33" s="16"/>
      <c r="C33" s="5" t="s">
        <v>11</v>
      </c>
      <c r="D33" s="40"/>
      <c r="E33" s="40"/>
      <c r="F33" s="40"/>
      <c r="G33" s="40"/>
      <c r="H33" s="10"/>
      <c r="I33" s="10"/>
      <c r="J33" s="149" t="str">
        <f t="shared" si="0"/>
        <v>No</v>
      </c>
      <c r="K33" s="5"/>
      <c r="L33" s="40"/>
    </row>
    <row r="34" spans="1:15" x14ac:dyDescent="0.2">
      <c r="A34" s="7" t="str">
        <f>IF(AND(Sufficient_data="Yes",Include_study?="Yes"),COUNT(A$2:A33)+1,"")</f>
        <v/>
      </c>
      <c r="B34" s="16"/>
      <c r="C34" s="5" t="s">
        <v>11</v>
      </c>
      <c r="D34" s="40"/>
      <c r="E34" s="40"/>
      <c r="F34" s="40"/>
      <c r="G34" s="40"/>
      <c r="H34" s="10"/>
      <c r="I34" s="10"/>
      <c r="J34" s="149" t="str">
        <f t="shared" ref="J34:J65" si="1">IF(AND(OR(AND(a_&lt;&gt;"",b_&lt;&gt;""),AND(OR(a_&lt;&gt;"",b_&lt;&gt;""),n1_&lt;&gt;"")),OR(AND(c_&lt;&gt;"",d_&lt;&gt;""),AND(OR(c_&lt;&gt;"",d_&lt;&gt;""),n2_&lt;&gt;""))),"Yes","No")</f>
        <v>No</v>
      </c>
      <c r="K34" s="5"/>
      <c r="L34" s="40"/>
    </row>
    <row r="35" spans="1:15" x14ac:dyDescent="0.2">
      <c r="A35" s="7" t="str">
        <f>IF(AND(Sufficient_data="Yes",Include_study?="Yes"),COUNT(A$2:A34)+1,"")</f>
        <v/>
      </c>
      <c r="B35" s="16"/>
      <c r="C35" s="5" t="s">
        <v>11</v>
      </c>
      <c r="D35" s="40"/>
      <c r="E35" s="40"/>
      <c r="F35" s="40"/>
      <c r="G35" s="40"/>
      <c r="H35" s="10"/>
      <c r="I35" s="10"/>
      <c r="J35" s="149" t="str">
        <f t="shared" si="1"/>
        <v>No</v>
      </c>
      <c r="K35" s="5"/>
      <c r="L35" s="40"/>
    </row>
    <row r="36" spans="1:15" x14ac:dyDescent="0.2">
      <c r="A36" s="7" t="str">
        <f>IF(AND(Sufficient_data="Yes",Include_study?="Yes"),COUNT(A$2:A35)+1,"")</f>
        <v/>
      </c>
      <c r="B36" s="16"/>
      <c r="C36" s="5" t="s">
        <v>11</v>
      </c>
      <c r="D36" s="40"/>
      <c r="E36" s="40"/>
      <c r="F36" s="40"/>
      <c r="G36" s="40"/>
      <c r="H36" s="10"/>
      <c r="I36" s="10"/>
      <c r="J36" s="149" t="str">
        <f t="shared" si="1"/>
        <v>No</v>
      </c>
      <c r="K36" s="5"/>
      <c r="L36" s="40"/>
    </row>
    <row r="37" spans="1:15" x14ac:dyDescent="0.2">
      <c r="A37" s="7" t="str">
        <f>IF(AND(Sufficient_data="Yes",Include_study?="Yes"),COUNT(A$2:A36)+1,"")</f>
        <v/>
      </c>
      <c r="B37" s="16"/>
      <c r="C37" s="5" t="s">
        <v>276</v>
      </c>
      <c r="D37" s="40"/>
      <c r="E37" s="40"/>
      <c r="F37" s="40"/>
      <c r="G37" s="40"/>
      <c r="H37" s="10"/>
      <c r="I37" s="10"/>
      <c r="J37" s="149" t="str">
        <f t="shared" si="1"/>
        <v>No</v>
      </c>
      <c r="K37" s="5"/>
      <c r="L37" s="40"/>
    </row>
    <row r="38" spans="1:15" x14ac:dyDescent="0.2">
      <c r="A38" s="7" t="str">
        <f>IF(AND(Sufficient_data="Yes",Include_study?="Yes"),COUNT(A$2:A37)+1,"")</f>
        <v/>
      </c>
      <c r="B38" s="16"/>
      <c r="C38" s="5" t="s">
        <v>276</v>
      </c>
      <c r="D38" s="40"/>
      <c r="E38" s="40"/>
      <c r="F38" s="40"/>
      <c r="G38" s="40"/>
      <c r="H38" s="10"/>
      <c r="I38" s="10"/>
      <c r="J38" s="149" t="str">
        <f t="shared" si="1"/>
        <v>No</v>
      </c>
      <c r="K38" s="5"/>
      <c r="L38" s="40"/>
      <c r="O38" s="45"/>
    </row>
    <row r="39" spans="1:15" x14ac:dyDescent="0.2">
      <c r="A39" s="7" t="str">
        <f>IF(AND(Sufficient_data="Yes",Include_study?="Yes"),COUNT(A$2:A38)+1,"")</f>
        <v/>
      </c>
      <c r="B39" s="16"/>
      <c r="C39" s="5" t="s">
        <v>276</v>
      </c>
      <c r="D39" s="40"/>
      <c r="E39" s="40"/>
      <c r="F39" s="40"/>
      <c r="G39" s="40"/>
      <c r="H39" s="10"/>
      <c r="I39" s="10"/>
      <c r="J39" s="149" t="str">
        <f t="shared" si="1"/>
        <v>No</v>
      </c>
      <c r="K39" s="5"/>
      <c r="L39" s="40"/>
      <c r="N39" s="45"/>
      <c r="O39" s="45"/>
    </row>
    <row r="40" spans="1:15" x14ac:dyDescent="0.2">
      <c r="A40" s="7" t="str">
        <f>IF(AND(Sufficient_data="Yes",Include_study?="Yes"),COUNT(A$2:A39)+1,"")</f>
        <v/>
      </c>
      <c r="B40" s="16"/>
      <c r="C40" s="5" t="s">
        <v>276</v>
      </c>
      <c r="D40" s="40"/>
      <c r="E40" s="40"/>
      <c r="F40" s="40"/>
      <c r="G40" s="40"/>
      <c r="H40" s="10"/>
      <c r="I40" s="10"/>
      <c r="J40" s="149" t="str">
        <f t="shared" si="1"/>
        <v>No</v>
      </c>
      <c r="K40" s="5"/>
      <c r="L40" s="40"/>
      <c r="N40" s="45"/>
      <c r="O40" s="45"/>
    </row>
    <row r="41" spans="1:15" x14ac:dyDescent="0.2">
      <c r="A41" s="7" t="str">
        <f>IF(AND(Sufficient_data="Yes",Include_study?="Yes"),COUNT(A$2:A40)+1,"")</f>
        <v/>
      </c>
      <c r="B41" s="16"/>
      <c r="C41" s="5" t="s">
        <v>276</v>
      </c>
      <c r="D41" s="40"/>
      <c r="E41" s="40"/>
      <c r="F41" s="40"/>
      <c r="G41" s="40"/>
      <c r="H41" s="10"/>
      <c r="I41" s="10"/>
      <c r="J41" s="149" t="str">
        <f t="shared" si="1"/>
        <v>No</v>
      </c>
      <c r="K41" s="5"/>
      <c r="L41" s="40"/>
      <c r="N41" s="45"/>
      <c r="O41" s="45"/>
    </row>
    <row r="42" spans="1:15" x14ac:dyDescent="0.2">
      <c r="A42" s="7" t="str">
        <f>IF(AND(Sufficient_data="Yes",Include_study?="Yes"),COUNT(A$2:A41)+1,"")</f>
        <v/>
      </c>
      <c r="B42" s="16"/>
      <c r="C42" s="5" t="s">
        <v>276</v>
      </c>
      <c r="D42" s="40"/>
      <c r="E42" s="40"/>
      <c r="F42" s="40"/>
      <c r="G42" s="40"/>
      <c r="H42" s="10"/>
      <c r="I42" s="10"/>
      <c r="J42" s="149" t="str">
        <f t="shared" si="1"/>
        <v>No</v>
      </c>
      <c r="K42" s="5"/>
      <c r="L42" s="40"/>
      <c r="N42" s="45"/>
      <c r="O42" s="45"/>
    </row>
    <row r="43" spans="1:15" x14ac:dyDescent="0.2">
      <c r="A43" s="7" t="str">
        <f>IF(AND(Sufficient_data="Yes",Include_study?="Yes"),COUNT(A$2:A42)+1,"")</f>
        <v/>
      </c>
      <c r="B43" s="16"/>
      <c r="C43" s="5" t="s">
        <v>276</v>
      </c>
      <c r="D43" s="40"/>
      <c r="E43" s="40"/>
      <c r="F43" s="40"/>
      <c r="G43" s="40"/>
      <c r="H43" s="10"/>
      <c r="I43" s="10"/>
      <c r="J43" s="149" t="str">
        <f t="shared" si="1"/>
        <v>No</v>
      </c>
      <c r="K43" s="5"/>
      <c r="L43" s="40"/>
      <c r="N43" s="45"/>
      <c r="O43" s="45"/>
    </row>
    <row r="44" spans="1:15" x14ac:dyDescent="0.2">
      <c r="A44" s="7" t="str">
        <f>IF(AND(Sufficient_data="Yes",Include_study?="Yes"),COUNT(A$2:A43)+1,"")</f>
        <v/>
      </c>
      <c r="B44" s="16"/>
      <c r="C44" s="5" t="s">
        <v>11</v>
      </c>
      <c r="D44" s="40"/>
      <c r="E44" s="40"/>
      <c r="F44" s="40"/>
      <c r="G44" s="40"/>
      <c r="H44" s="10"/>
      <c r="I44" s="10"/>
      <c r="J44" s="149" t="str">
        <f t="shared" si="1"/>
        <v>No</v>
      </c>
      <c r="K44" s="5"/>
      <c r="L44" s="40"/>
      <c r="O44" s="45"/>
    </row>
    <row r="45" spans="1:15" x14ac:dyDescent="0.2">
      <c r="A45" s="7" t="str">
        <f>IF(AND(Sufficient_data="Yes",Include_study?="Yes"),COUNT(A$2:A44)+1,"")</f>
        <v/>
      </c>
      <c r="B45" s="16"/>
      <c r="C45" s="5" t="s">
        <v>11</v>
      </c>
      <c r="D45" s="40"/>
      <c r="E45" s="40"/>
      <c r="F45" s="40"/>
      <c r="G45" s="40"/>
      <c r="H45" s="10"/>
      <c r="I45" s="10"/>
      <c r="J45" s="149" t="str">
        <f t="shared" si="1"/>
        <v>No</v>
      </c>
      <c r="K45" s="5"/>
      <c r="L45" s="40"/>
    </row>
    <row r="46" spans="1:15" x14ac:dyDescent="0.2">
      <c r="A46" s="7" t="str">
        <f>IF(AND(Sufficient_data="Yes",Include_study?="Yes"),COUNT(A$2:A45)+1,"")</f>
        <v/>
      </c>
      <c r="B46" s="16"/>
      <c r="C46" s="5" t="s">
        <v>11</v>
      </c>
      <c r="D46" s="40"/>
      <c r="E46" s="40"/>
      <c r="F46" s="40"/>
      <c r="G46" s="40"/>
      <c r="H46" s="10"/>
      <c r="I46" s="10"/>
      <c r="J46" s="149" t="str">
        <f t="shared" si="1"/>
        <v>No</v>
      </c>
      <c r="K46" s="5"/>
      <c r="L46" s="40"/>
    </row>
    <row r="47" spans="1:15" x14ac:dyDescent="0.2">
      <c r="A47" s="7" t="str">
        <f>IF(AND(Sufficient_data="Yes",Include_study?="Yes"),COUNT(A$2:A46)+1,"")</f>
        <v/>
      </c>
      <c r="B47" s="16"/>
      <c r="C47" s="5" t="s">
        <v>11</v>
      </c>
      <c r="D47" s="40"/>
      <c r="E47" s="40"/>
      <c r="F47" s="40"/>
      <c r="G47" s="40"/>
      <c r="H47" s="10"/>
      <c r="I47" s="10"/>
      <c r="J47" s="149" t="str">
        <f t="shared" si="1"/>
        <v>No</v>
      </c>
      <c r="K47" s="5"/>
      <c r="L47" s="40"/>
    </row>
    <row r="48" spans="1:15" x14ac:dyDescent="0.2">
      <c r="A48" s="7" t="str">
        <f>IF(AND(Sufficient_data="Yes",Include_study?="Yes"),COUNT(A$2:A47)+1,"")</f>
        <v/>
      </c>
      <c r="B48" s="16"/>
      <c r="C48" s="5" t="s">
        <v>11</v>
      </c>
      <c r="D48" s="40"/>
      <c r="E48" s="40"/>
      <c r="F48" s="40"/>
      <c r="G48" s="40"/>
      <c r="H48" s="10"/>
      <c r="I48" s="10"/>
      <c r="J48" s="149" t="str">
        <f t="shared" si="1"/>
        <v>No</v>
      </c>
      <c r="K48" s="5"/>
      <c r="L48" s="40"/>
    </row>
    <row r="49" spans="1:12" x14ac:dyDescent="0.2">
      <c r="A49" s="7" t="str">
        <f>IF(AND(Sufficient_data="Yes",Include_study?="Yes"),COUNT(A$2:A48)+1,"")</f>
        <v/>
      </c>
      <c r="B49" s="16"/>
      <c r="C49" s="5" t="s">
        <v>11</v>
      </c>
      <c r="D49" s="40"/>
      <c r="E49" s="40"/>
      <c r="F49" s="40"/>
      <c r="G49" s="40"/>
      <c r="H49" s="10"/>
      <c r="I49" s="10"/>
      <c r="J49" s="149" t="str">
        <f t="shared" si="1"/>
        <v>No</v>
      </c>
      <c r="K49" s="5"/>
      <c r="L49" s="40"/>
    </row>
    <row r="50" spans="1:12" x14ac:dyDescent="0.2">
      <c r="A50" s="7" t="str">
        <f>IF(AND(Sufficient_data="Yes",Include_study?="Yes"),COUNT(A$2:A49)+1,"")</f>
        <v/>
      </c>
      <c r="B50" s="16"/>
      <c r="C50" s="5" t="s">
        <v>11</v>
      </c>
      <c r="D50" s="40"/>
      <c r="E50" s="40"/>
      <c r="F50" s="40"/>
      <c r="G50" s="40"/>
      <c r="H50" s="10"/>
      <c r="I50" s="10"/>
      <c r="J50" s="149" t="str">
        <f t="shared" si="1"/>
        <v>No</v>
      </c>
      <c r="K50" s="5"/>
      <c r="L50" s="40"/>
    </row>
    <row r="51" spans="1:12" x14ac:dyDescent="0.2">
      <c r="A51" s="7" t="str">
        <f>IF(AND(Sufficient_data="Yes",Include_study?="Yes"),COUNT(A$2:A50)+1,"")</f>
        <v/>
      </c>
      <c r="B51" s="16"/>
      <c r="C51" s="5" t="s">
        <v>11</v>
      </c>
      <c r="D51" s="40"/>
      <c r="E51" s="40"/>
      <c r="F51" s="40"/>
      <c r="G51" s="40"/>
      <c r="H51" s="10"/>
      <c r="I51" s="10"/>
      <c r="J51" s="149" t="str">
        <f t="shared" si="1"/>
        <v>No</v>
      </c>
      <c r="K51" s="5"/>
      <c r="L51" s="40"/>
    </row>
    <row r="52" spans="1:12" x14ac:dyDescent="0.2">
      <c r="A52" s="7" t="str">
        <f>IF(AND(Sufficient_data="Yes",Include_study?="Yes"),COUNT(A$2:A51)+1,"")</f>
        <v/>
      </c>
      <c r="B52" s="16"/>
      <c r="C52" s="5" t="s">
        <v>11</v>
      </c>
      <c r="D52" s="40"/>
      <c r="E52" s="40"/>
      <c r="F52" s="40"/>
      <c r="G52" s="40"/>
      <c r="H52" s="10"/>
      <c r="I52" s="10"/>
      <c r="J52" s="149" t="str">
        <f t="shared" si="1"/>
        <v>No</v>
      </c>
      <c r="K52" s="5"/>
      <c r="L52" s="40"/>
    </row>
    <row r="53" spans="1:12" x14ac:dyDescent="0.2">
      <c r="A53" s="7" t="str">
        <f>IF(AND(Sufficient_data="Yes",Include_study?="Yes"),COUNT(A$2:A52)+1,"")</f>
        <v/>
      </c>
      <c r="B53" s="16"/>
      <c r="C53" s="5" t="s">
        <v>11</v>
      </c>
      <c r="D53" s="40"/>
      <c r="E53" s="40"/>
      <c r="F53" s="40"/>
      <c r="G53" s="40"/>
      <c r="H53" s="10"/>
      <c r="I53" s="10"/>
      <c r="J53" s="149" t="str">
        <f t="shared" si="1"/>
        <v>No</v>
      </c>
      <c r="K53" s="5"/>
      <c r="L53" s="40"/>
    </row>
    <row r="54" spans="1:12" x14ac:dyDescent="0.2">
      <c r="A54" s="7" t="str">
        <f>IF(AND(Sufficient_data="Yes",Include_study?="Yes"),COUNT(A$2:A53)+1,"")</f>
        <v/>
      </c>
      <c r="B54" s="17"/>
      <c r="C54" s="5" t="s">
        <v>276</v>
      </c>
      <c r="D54" s="10"/>
      <c r="E54" s="10"/>
      <c r="F54" s="10"/>
      <c r="G54" s="10"/>
      <c r="H54" s="10"/>
      <c r="I54" s="10"/>
      <c r="J54" s="149" t="str">
        <f t="shared" si="1"/>
        <v>No</v>
      </c>
      <c r="K54" s="5"/>
      <c r="L54" s="10"/>
    </row>
    <row r="55" spans="1:12" x14ac:dyDescent="0.2">
      <c r="A55" s="7" t="str">
        <f>IF(AND(Sufficient_data="Yes",Include_study?="Yes"),COUNT(A$2:A54)+1,"")</f>
        <v/>
      </c>
      <c r="B55" s="17"/>
      <c r="C55" s="13" t="s">
        <v>11</v>
      </c>
      <c r="D55" s="10"/>
      <c r="E55" s="10"/>
      <c r="F55" s="10"/>
      <c r="G55" s="10"/>
      <c r="H55" s="10"/>
      <c r="I55" s="10"/>
      <c r="J55" s="149" t="str">
        <f t="shared" si="1"/>
        <v>No</v>
      </c>
      <c r="K55" s="5"/>
      <c r="L55" s="10"/>
    </row>
    <row r="56" spans="1:12" x14ac:dyDescent="0.2">
      <c r="A56" s="7" t="str">
        <f>IF(AND(Sufficient_data="Yes",Include_study?="Yes"),COUNT(A$2:A55)+1,"")</f>
        <v/>
      </c>
      <c r="B56" s="17"/>
      <c r="C56" s="13" t="s">
        <v>11</v>
      </c>
      <c r="D56" s="10"/>
      <c r="E56" s="10"/>
      <c r="F56" s="10"/>
      <c r="G56" s="10"/>
      <c r="H56" s="10"/>
      <c r="I56" s="10"/>
      <c r="J56" s="149" t="str">
        <f t="shared" si="1"/>
        <v>No</v>
      </c>
      <c r="K56" s="5"/>
      <c r="L56" s="10"/>
    </row>
    <row r="57" spans="1:12" x14ac:dyDescent="0.2">
      <c r="A57" s="7" t="str">
        <f>IF(AND(Sufficient_data="Yes",Include_study?="Yes"),COUNT(A$2:A56)+1,"")</f>
        <v/>
      </c>
      <c r="B57" s="17"/>
      <c r="C57" s="13" t="s">
        <v>11</v>
      </c>
      <c r="D57" s="10"/>
      <c r="E57" s="10"/>
      <c r="F57" s="10"/>
      <c r="G57" s="10"/>
      <c r="H57" s="10"/>
      <c r="I57" s="10"/>
      <c r="J57" s="149" t="str">
        <f t="shared" si="1"/>
        <v>No</v>
      </c>
      <c r="K57" s="5"/>
      <c r="L57" s="10"/>
    </row>
    <row r="58" spans="1:12" x14ac:dyDescent="0.2">
      <c r="A58" s="7" t="str">
        <f>IF(AND(Sufficient_data="Yes",Include_study?="Yes"),COUNT(A$2:A57)+1,"")</f>
        <v/>
      </c>
      <c r="B58" s="17"/>
      <c r="C58" s="13" t="s">
        <v>11</v>
      </c>
      <c r="D58" s="10"/>
      <c r="E58" s="10"/>
      <c r="F58" s="10"/>
      <c r="G58" s="10"/>
      <c r="H58" s="10"/>
      <c r="I58" s="10"/>
      <c r="J58" s="149" t="str">
        <f t="shared" si="1"/>
        <v>No</v>
      </c>
      <c r="K58" s="5"/>
      <c r="L58" s="10"/>
    </row>
    <row r="59" spans="1:12" x14ac:dyDescent="0.2">
      <c r="A59" s="7" t="str">
        <f>IF(AND(Sufficient_data="Yes",Include_study?="Yes"),COUNT(A$2:A58)+1,"")</f>
        <v/>
      </c>
      <c r="B59" s="17"/>
      <c r="C59" s="13" t="s">
        <v>11</v>
      </c>
      <c r="D59" s="10"/>
      <c r="E59" s="10"/>
      <c r="F59" s="10"/>
      <c r="G59" s="10"/>
      <c r="H59" s="10"/>
      <c r="I59" s="10"/>
      <c r="J59" s="149" t="str">
        <f t="shared" si="1"/>
        <v>No</v>
      </c>
      <c r="K59" s="5"/>
      <c r="L59" s="10"/>
    </row>
    <row r="60" spans="1:12" x14ac:dyDescent="0.2">
      <c r="A60" s="7" t="str">
        <f>IF(AND(Sufficient_data="Yes",Include_study?="Yes"),COUNT(A$2:A59)+1,"")</f>
        <v/>
      </c>
      <c r="B60" s="17"/>
      <c r="C60" s="13" t="s">
        <v>11</v>
      </c>
      <c r="D60" s="10"/>
      <c r="E60" s="10"/>
      <c r="F60" s="10"/>
      <c r="G60" s="10"/>
      <c r="H60" s="10"/>
      <c r="I60" s="10"/>
      <c r="J60" s="149" t="str">
        <f t="shared" si="1"/>
        <v>No</v>
      </c>
      <c r="K60" s="5"/>
      <c r="L60" s="10"/>
    </row>
    <row r="61" spans="1:12" x14ac:dyDescent="0.2">
      <c r="A61" s="7" t="str">
        <f>IF(AND(Sufficient_data="Yes",Include_study?="Yes"),COUNT(A$2:A60)+1,"")</f>
        <v/>
      </c>
      <c r="B61" s="17"/>
      <c r="C61" s="13" t="s">
        <v>11</v>
      </c>
      <c r="D61" s="10"/>
      <c r="E61" s="10"/>
      <c r="F61" s="10"/>
      <c r="G61" s="10"/>
      <c r="H61" s="10"/>
      <c r="I61" s="10"/>
      <c r="J61" s="149" t="str">
        <f t="shared" si="1"/>
        <v>No</v>
      </c>
      <c r="K61" s="5"/>
      <c r="L61" s="10"/>
    </row>
    <row r="62" spans="1:12" x14ac:dyDescent="0.2">
      <c r="A62" s="7" t="str">
        <f>IF(AND(Sufficient_data="Yes",Include_study?="Yes"),COUNT(A$2:A61)+1,"")</f>
        <v/>
      </c>
      <c r="B62" s="17"/>
      <c r="C62" s="13" t="s">
        <v>11</v>
      </c>
      <c r="D62" s="10"/>
      <c r="E62" s="10"/>
      <c r="F62" s="10"/>
      <c r="G62" s="10"/>
      <c r="H62" s="10"/>
      <c r="I62" s="10"/>
      <c r="J62" s="149" t="str">
        <f t="shared" si="1"/>
        <v>No</v>
      </c>
      <c r="K62" s="5"/>
      <c r="L62" s="10"/>
    </row>
    <row r="63" spans="1:12" x14ac:dyDescent="0.2">
      <c r="A63" s="7" t="str">
        <f>IF(AND(Sufficient_data="Yes",Include_study?="Yes"),COUNT(A$2:A62)+1,"")</f>
        <v/>
      </c>
      <c r="B63" s="17"/>
      <c r="C63" s="13" t="s">
        <v>11</v>
      </c>
      <c r="D63" s="10"/>
      <c r="E63" s="10"/>
      <c r="F63" s="10"/>
      <c r="G63" s="10"/>
      <c r="H63" s="10"/>
      <c r="I63" s="10"/>
      <c r="J63" s="149" t="str">
        <f t="shared" si="1"/>
        <v>No</v>
      </c>
      <c r="K63" s="5"/>
      <c r="L63" s="10"/>
    </row>
    <row r="64" spans="1:12" x14ac:dyDescent="0.2">
      <c r="A64" s="7" t="str">
        <f>IF(AND(Sufficient_data="Yes",Include_study?="Yes"),COUNT(A$2:A63)+1,"")</f>
        <v/>
      </c>
      <c r="B64" s="17"/>
      <c r="C64" s="13" t="s">
        <v>11</v>
      </c>
      <c r="D64" s="10"/>
      <c r="E64" s="10"/>
      <c r="F64" s="10"/>
      <c r="G64" s="10"/>
      <c r="H64" s="10"/>
      <c r="I64" s="10"/>
      <c r="J64" s="149" t="str">
        <f t="shared" si="1"/>
        <v>No</v>
      </c>
      <c r="K64" s="5"/>
      <c r="L64" s="10"/>
    </row>
    <row r="65" spans="1:12" x14ac:dyDescent="0.2">
      <c r="A65" s="7" t="str">
        <f>IF(AND(Sufficient_data="Yes",Include_study?="Yes"),COUNT(A$2:A64)+1,"")</f>
        <v/>
      </c>
      <c r="B65" s="17"/>
      <c r="C65" s="13" t="s">
        <v>11</v>
      </c>
      <c r="D65" s="10"/>
      <c r="E65" s="10"/>
      <c r="F65" s="10"/>
      <c r="G65" s="10"/>
      <c r="H65" s="10"/>
      <c r="I65" s="10"/>
      <c r="J65" s="149" t="str">
        <f t="shared" si="1"/>
        <v>No</v>
      </c>
      <c r="K65" s="5"/>
      <c r="L65" s="10"/>
    </row>
    <row r="66" spans="1:12" x14ac:dyDescent="0.2">
      <c r="A66" s="7" t="str">
        <f>IF(AND(Sufficient_data="Yes",Include_study?="Yes"),COUNT(A$2:A65)+1,"")</f>
        <v/>
      </c>
      <c r="B66" s="17"/>
      <c r="C66" s="13" t="s">
        <v>11</v>
      </c>
      <c r="D66" s="10"/>
      <c r="E66" s="10"/>
      <c r="F66" s="10"/>
      <c r="G66" s="10"/>
      <c r="H66" s="10"/>
      <c r="I66" s="10"/>
      <c r="J66" s="149" t="str">
        <f t="shared" ref="J66:J97" si="2">IF(AND(OR(AND(a_&lt;&gt;"",b_&lt;&gt;""),AND(OR(a_&lt;&gt;"",b_&lt;&gt;""),n1_&lt;&gt;"")),OR(AND(c_&lt;&gt;"",d_&lt;&gt;""),AND(OR(c_&lt;&gt;"",d_&lt;&gt;""),n2_&lt;&gt;""))),"Yes","No")</f>
        <v>No</v>
      </c>
      <c r="K66" s="5"/>
      <c r="L66" s="10"/>
    </row>
    <row r="67" spans="1:12" x14ac:dyDescent="0.2">
      <c r="A67" s="7" t="str">
        <f>IF(AND(Sufficient_data="Yes",Include_study?="Yes"),COUNT(A$2:A66)+1,"")</f>
        <v/>
      </c>
      <c r="B67" s="17"/>
      <c r="C67" s="13" t="s">
        <v>11</v>
      </c>
      <c r="D67" s="10"/>
      <c r="E67" s="10"/>
      <c r="F67" s="10"/>
      <c r="G67" s="10"/>
      <c r="H67" s="10"/>
      <c r="I67" s="10"/>
      <c r="J67" s="149" t="str">
        <f t="shared" si="2"/>
        <v>No</v>
      </c>
      <c r="K67" s="5"/>
      <c r="L67" s="10"/>
    </row>
    <row r="68" spans="1:12" x14ac:dyDescent="0.2">
      <c r="A68" s="7" t="str">
        <f>IF(AND(Sufficient_data="Yes",Include_study?="Yes"),COUNT(A$2:A67)+1,"")</f>
        <v/>
      </c>
      <c r="B68" s="17"/>
      <c r="C68" s="13" t="s">
        <v>11</v>
      </c>
      <c r="D68" s="10"/>
      <c r="E68" s="10"/>
      <c r="F68" s="10"/>
      <c r="G68" s="10"/>
      <c r="H68" s="10"/>
      <c r="I68" s="10"/>
      <c r="J68" s="149" t="str">
        <f t="shared" si="2"/>
        <v>No</v>
      </c>
      <c r="K68" s="5"/>
      <c r="L68" s="10"/>
    </row>
    <row r="69" spans="1:12" x14ac:dyDescent="0.2">
      <c r="A69" s="7" t="str">
        <f>IF(AND(Sufficient_data="Yes",Include_study?="Yes"),COUNT(A$2:A68)+1,"")</f>
        <v/>
      </c>
      <c r="B69" s="17"/>
      <c r="C69" s="13" t="s">
        <v>11</v>
      </c>
      <c r="D69" s="10"/>
      <c r="E69" s="10"/>
      <c r="F69" s="10"/>
      <c r="G69" s="10"/>
      <c r="H69" s="10"/>
      <c r="I69" s="10"/>
      <c r="J69" s="149" t="str">
        <f t="shared" si="2"/>
        <v>No</v>
      </c>
      <c r="K69" s="5"/>
      <c r="L69" s="10"/>
    </row>
    <row r="70" spans="1:12" x14ac:dyDescent="0.2">
      <c r="A70" s="7" t="str">
        <f>IF(AND(Sufficient_data="Yes",Include_study?="Yes"),COUNT(A$2:A69)+1,"")</f>
        <v/>
      </c>
      <c r="B70" s="17"/>
      <c r="C70" s="13" t="s">
        <v>11</v>
      </c>
      <c r="D70" s="10"/>
      <c r="E70" s="10"/>
      <c r="F70" s="10"/>
      <c r="G70" s="10"/>
      <c r="H70" s="10"/>
      <c r="I70" s="10"/>
      <c r="J70" s="149" t="str">
        <f t="shared" si="2"/>
        <v>No</v>
      </c>
      <c r="K70" s="5"/>
      <c r="L70" s="10"/>
    </row>
    <row r="71" spans="1:12" x14ac:dyDescent="0.2">
      <c r="A71" s="7" t="str">
        <f>IF(AND(Sufficient_data="Yes",Include_study?="Yes"),COUNT(A$2:A70)+1,"")</f>
        <v/>
      </c>
      <c r="B71" s="17"/>
      <c r="C71" s="13" t="s">
        <v>11</v>
      </c>
      <c r="D71" s="10"/>
      <c r="E71" s="10"/>
      <c r="F71" s="10"/>
      <c r="G71" s="10"/>
      <c r="H71" s="10"/>
      <c r="I71" s="10"/>
      <c r="J71" s="149" t="str">
        <f t="shared" si="2"/>
        <v>No</v>
      </c>
      <c r="K71" s="5"/>
      <c r="L71" s="10"/>
    </row>
    <row r="72" spans="1:12" x14ac:dyDescent="0.2">
      <c r="A72" s="7" t="str">
        <f>IF(AND(Sufficient_data="Yes",Include_study?="Yes"),COUNT(A$2:A71)+1,"")</f>
        <v/>
      </c>
      <c r="B72" s="17"/>
      <c r="C72" s="13" t="s">
        <v>11</v>
      </c>
      <c r="D72" s="10"/>
      <c r="E72" s="10"/>
      <c r="F72" s="10"/>
      <c r="G72" s="10"/>
      <c r="H72" s="10"/>
      <c r="I72" s="10"/>
      <c r="J72" s="149" t="str">
        <f t="shared" si="2"/>
        <v>No</v>
      </c>
      <c r="K72" s="5"/>
      <c r="L72" s="10"/>
    </row>
    <row r="73" spans="1:12" x14ac:dyDescent="0.2">
      <c r="A73" s="7" t="str">
        <f>IF(AND(Sufficient_data="Yes",Include_study?="Yes"),COUNT(A$2:A72)+1,"")</f>
        <v/>
      </c>
      <c r="B73" s="17"/>
      <c r="C73" s="13" t="s">
        <v>11</v>
      </c>
      <c r="D73" s="10"/>
      <c r="E73" s="10"/>
      <c r="F73" s="10"/>
      <c r="G73" s="10"/>
      <c r="H73" s="10"/>
      <c r="I73" s="10"/>
      <c r="J73" s="149" t="str">
        <f t="shared" si="2"/>
        <v>No</v>
      </c>
      <c r="K73" s="5"/>
      <c r="L73" s="10"/>
    </row>
    <row r="74" spans="1:12" x14ac:dyDescent="0.2">
      <c r="A74" s="7" t="str">
        <f>IF(AND(Sufficient_data="Yes",Include_study?="Yes"),COUNT(A$2:A73)+1,"")</f>
        <v/>
      </c>
      <c r="B74" s="17"/>
      <c r="C74" s="13" t="s">
        <v>11</v>
      </c>
      <c r="D74" s="10"/>
      <c r="E74" s="10"/>
      <c r="F74" s="10"/>
      <c r="G74" s="10"/>
      <c r="H74" s="10"/>
      <c r="I74" s="10"/>
      <c r="J74" s="149" t="str">
        <f t="shared" si="2"/>
        <v>No</v>
      </c>
      <c r="K74" s="5"/>
      <c r="L74" s="10"/>
    </row>
    <row r="75" spans="1:12" x14ac:dyDescent="0.2">
      <c r="A75" s="7" t="str">
        <f>IF(AND(Sufficient_data="Yes",Include_study?="Yes"),COUNT(A$2:A74)+1,"")</f>
        <v/>
      </c>
      <c r="B75" s="17"/>
      <c r="C75" s="13" t="s">
        <v>11</v>
      </c>
      <c r="D75" s="10"/>
      <c r="E75" s="10"/>
      <c r="F75" s="10"/>
      <c r="G75" s="10"/>
      <c r="H75" s="10"/>
      <c r="I75" s="10"/>
      <c r="J75" s="149" t="str">
        <f t="shared" si="2"/>
        <v>No</v>
      </c>
      <c r="K75" s="5"/>
      <c r="L75" s="10"/>
    </row>
    <row r="76" spans="1:12" x14ac:dyDescent="0.2">
      <c r="A76" s="7" t="str">
        <f>IF(AND(Sufficient_data="Yes",Include_study?="Yes"),COUNT(A$2:A75)+1,"")</f>
        <v/>
      </c>
      <c r="B76" s="17"/>
      <c r="C76" s="13" t="s">
        <v>11</v>
      </c>
      <c r="D76" s="10"/>
      <c r="E76" s="10"/>
      <c r="F76" s="10"/>
      <c r="G76" s="10"/>
      <c r="H76" s="10"/>
      <c r="I76" s="10"/>
      <c r="J76" s="149" t="str">
        <f t="shared" si="2"/>
        <v>No</v>
      </c>
      <c r="K76" s="5"/>
      <c r="L76" s="10"/>
    </row>
    <row r="77" spans="1:12" x14ac:dyDescent="0.2">
      <c r="A77" s="7" t="str">
        <f>IF(AND(Sufficient_data="Yes",Include_study?="Yes"),COUNT(A$2:A76)+1,"")</f>
        <v/>
      </c>
      <c r="B77" s="17"/>
      <c r="C77" s="13" t="s">
        <v>11</v>
      </c>
      <c r="D77" s="10"/>
      <c r="E77" s="10"/>
      <c r="F77" s="10"/>
      <c r="G77" s="10"/>
      <c r="H77" s="10"/>
      <c r="I77" s="10"/>
      <c r="J77" s="149" t="str">
        <f t="shared" si="2"/>
        <v>No</v>
      </c>
      <c r="K77" s="5"/>
      <c r="L77" s="10"/>
    </row>
    <row r="78" spans="1:12" x14ac:dyDescent="0.2">
      <c r="A78" s="7" t="str">
        <f>IF(AND(Sufficient_data="Yes",Include_study?="Yes"),COUNT(A$2:A77)+1,"")</f>
        <v/>
      </c>
      <c r="B78" s="17"/>
      <c r="C78" s="13" t="s">
        <v>11</v>
      </c>
      <c r="D78" s="10"/>
      <c r="E78" s="10"/>
      <c r="F78" s="10"/>
      <c r="G78" s="10"/>
      <c r="H78" s="10"/>
      <c r="I78" s="10"/>
      <c r="J78" s="149" t="str">
        <f t="shared" si="2"/>
        <v>No</v>
      </c>
      <c r="K78" s="5"/>
      <c r="L78" s="10"/>
    </row>
    <row r="79" spans="1:12" x14ac:dyDescent="0.2">
      <c r="A79" s="7" t="str">
        <f>IF(AND(Sufficient_data="Yes",Include_study?="Yes"),COUNT(A$2:A78)+1,"")</f>
        <v/>
      </c>
      <c r="B79" s="17"/>
      <c r="C79" s="13" t="s">
        <v>11</v>
      </c>
      <c r="D79" s="10"/>
      <c r="E79" s="10"/>
      <c r="F79" s="10"/>
      <c r="G79" s="10"/>
      <c r="H79" s="10"/>
      <c r="I79" s="10"/>
      <c r="J79" s="149" t="str">
        <f t="shared" si="2"/>
        <v>No</v>
      </c>
      <c r="K79" s="5"/>
      <c r="L79" s="10"/>
    </row>
    <row r="80" spans="1:12" x14ac:dyDescent="0.2">
      <c r="A80" s="7" t="str">
        <f>IF(AND(Sufficient_data="Yes",Include_study?="Yes"),COUNT(A$2:A79)+1,"")</f>
        <v/>
      </c>
      <c r="B80" s="17"/>
      <c r="C80" s="13" t="s">
        <v>11</v>
      </c>
      <c r="D80" s="10"/>
      <c r="E80" s="10"/>
      <c r="F80" s="10"/>
      <c r="G80" s="10"/>
      <c r="H80" s="10"/>
      <c r="I80" s="10"/>
      <c r="J80" s="149" t="str">
        <f t="shared" si="2"/>
        <v>No</v>
      </c>
      <c r="K80" s="5"/>
      <c r="L80" s="10"/>
    </row>
    <row r="81" spans="1:12" x14ac:dyDescent="0.2">
      <c r="A81" s="7" t="str">
        <f>IF(AND(Sufficient_data="Yes",Include_study?="Yes"),COUNT(A$2:A80)+1,"")</f>
        <v/>
      </c>
      <c r="B81" s="17"/>
      <c r="C81" s="13" t="s">
        <v>11</v>
      </c>
      <c r="D81" s="10"/>
      <c r="E81" s="10"/>
      <c r="F81" s="10"/>
      <c r="G81" s="10"/>
      <c r="H81" s="10"/>
      <c r="I81" s="10"/>
      <c r="J81" s="149" t="str">
        <f t="shared" si="2"/>
        <v>No</v>
      </c>
      <c r="K81" s="5"/>
      <c r="L81" s="10"/>
    </row>
    <row r="82" spans="1:12" x14ac:dyDescent="0.2">
      <c r="A82" s="7" t="str">
        <f>IF(AND(Sufficient_data="Yes",Include_study?="Yes"),COUNT(A$2:A81)+1,"")</f>
        <v/>
      </c>
      <c r="B82" s="17"/>
      <c r="C82" s="13" t="s">
        <v>11</v>
      </c>
      <c r="D82" s="10"/>
      <c r="E82" s="10"/>
      <c r="F82" s="10"/>
      <c r="G82" s="10"/>
      <c r="H82" s="10"/>
      <c r="I82" s="10"/>
      <c r="J82" s="149" t="str">
        <f t="shared" si="2"/>
        <v>No</v>
      </c>
      <c r="K82" s="5"/>
      <c r="L82" s="10"/>
    </row>
    <row r="83" spans="1:12" x14ac:dyDescent="0.2">
      <c r="A83" s="7" t="str">
        <f>IF(AND(Sufficient_data="Yes",Include_study?="Yes"),COUNT(A$2:A82)+1,"")</f>
        <v/>
      </c>
      <c r="B83" s="17"/>
      <c r="C83" s="13" t="s">
        <v>11</v>
      </c>
      <c r="D83" s="10"/>
      <c r="E83" s="10"/>
      <c r="F83" s="10"/>
      <c r="G83" s="10"/>
      <c r="H83" s="10"/>
      <c r="I83" s="10"/>
      <c r="J83" s="149" t="str">
        <f t="shared" si="2"/>
        <v>No</v>
      </c>
      <c r="K83" s="5"/>
      <c r="L83" s="10"/>
    </row>
    <row r="84" spans="1:12" x14ac:dyDescent="0.2">
      <c r="A84" s="7" t="str">
        <f>IF(AND(Sufficient_data="Yes",Include_study?="Yes"),COUNT(A$2:A83)+1,"")</f>
        <v/>
      </c>
      <c r="B84" s="17"/>
      <c r="C84" s="13" t="s">
        <v>11</v>
      </c>
      <c r="D84" s="10"/>
      <c r="E84" s="10"/>
      <c r="F84" s="10"/>
      <c r="G84" s="10"/>
      <c r="H84" s="10"/>
      <c r="I84" s="10"/>
      <c r="J84" s="149" t="str">
        <f t="shared" si="2"/>
        <v>No</v>
      </c>
      <c r="K84" s="5"/>
      <c r="L84" s="10"/>
    </row>
    <row r="85" spans="1:12" x14ac:dyDescent="0.2">
      <c r="A85" s="7" t="str">
        <f>IF(AND(Sufficient_data="Yes",Include_study?="Yes"),COUNT(A$2:A84)+1,"")</f>
        <v/>
      </c>
      <c r="B85" s="17"/>
      <c r="C85" s="13" t="s">
        <v>11</v>
      </c>
      <c r="D85" s="10"/>
      <c r="E85" s="10"/>
      <c r="F85" s="10"/>
      <c r="G85" s="10"/>
      <c r="H85" s="10"/>
      <c r="I85" s="10"/>
      <c r="J85" s="149" t="str">
        <f t="shared" si="2"/>
        <v>No</v>
      </c>
      <c r="K85" s="5"/>
      <c r="L85" s="10"/>
    </row>
    <row r="86" spans="1:12" x14ac:dyDescent="0.2">
      <c r="A86" s="7" t="str">
        <f>IF(AND(Sufficient_data="Yes",Include_study?="Yes"),COUNT(A$2:A85)+1,"")</f>
        <v/>
      </c>
      <c r="B86" s="17"/>
      <c r="C86" s="13" t="s">
        <v>11</v>
      </c>
      <c r="D86" s="10"/>
      <c r="E86" s="10"/>
      <c r="F86" s="10"/>
      <c r="G86" s="10"/>
      <c r="H86" s="10"/>
      <c r="I86" s="10"/>
      <c r="J86" s="149" t="str">
        <f t="shared" si="2"/>
        <v>No</v>
      </c>
      <c r="K86" s="5"/>
      <c r="L86" s="10"/>
    </row>
    <row r="87" spans="1:12" x14ac:dyDescent="0.2">
      <c r="A87" s="7" t="str">
        <f>IF(AND(Sufficient_data="Yes",Include_study?="Yes"),COUNT(A$2:A86)+1,"")</f>
        <v/>
      </c>
      <c r="B87" s="17"/>
      <c r="C87" s="13" t="s">
        <v>11</v>
      </c>
      <c r="D87" s="10"/>
      <c r="E87" s="10"/>
      <c r="F87" s="10"/>
      <c r="G87" s="10"/>
      <c r="H87" s="10"/>
      <c r="I87" s="10"/>
      <c r="J87" s="149" t="str">
        <f t="shared" si="2"/>
        <v>No</v>
      </c>
      <c r="K87" s="5"/>
      <c r="L87" s="10"/>
    </row>
    <row r="88" spans="1:12" x14ac:dyDescent="0.2">
      <c r="A88" s="7" t="str">
        <f>IF(AND(Sufficient_data="Yes",Include_study?="Yes"),COUNT(A$2:A87)+1,"")</f>
        <v/>
      </c>
      <c r="B88" s="17"/>
      <c r="C88" s="13" t="s">
        <v>11</v>
      </c>
      <c r="D88" s="10"/>
      <c r="E88" s="10"/>
      <c r="F88" s="10"/>
      <c r="G88" s="10"/>
      <c r="H88" s="10"/>
      <c r="I88" s="10"/>
      <c r="J88" s="149" t="str">
        <f t="shared" si="2"/>
        <v>No</v>
      </c>
      <c r="K88" s="5"/>
      <c r="L88" s="10"/>
    </row>
    <row r="89" spans="1:12" x14ac:dyDescent="0.2">
      <c r="A89" s="7" t="str">
        <f>IF(AND(Sufficient_data="Yes",Include_study?="Yes"),COUNT(A$2:A88)+1,"")</f>
        <v/>
      </c>
      <c r="B89" s="17"/>
      <c r="C89" s="13" t="s">
        <v>11</v>
      </c>
      <c r="D89" s="10"/>
      <c r="E89" s="10"/>
      <c r="F89" s="10"/>
      <c r="G89" s="10"/>
      <c r="H89" s="10"/>
      <c r="I89" s="10"/>
      <c r="J89" s="149" t="str">
        <f t="shared" si="2"/>
        <v>No</v>
      </c>
      <c r="K89" s="5"/>
      <c r="L89" s="10"/>
    </row>
    <row r="90" spans="1:12" x14ac:dyDescent="0.2">
      <c r="A90" s="7" t="str">
        <f>IF(AND(Sufficient_data="Yes",Include_study?="Yes"),COUNT(A$2:A89)+1,"")</f>
        <v/>
      </c>
      <c r="B90" s="17"/>
      <c r="C90" s="13" t="s">
        <v>11</v>
      </c>
      <c r="D90" s="10"/>
      <c r="E90" s="10"/>
      <c r="F90" s="10"/>
      <c r="G90" s="10"/>
      <c r="H90" s="10"/>
      <c r="I90" s="10"/>
      <c r="J90" s="149" t="str">
        <f t="shared" si="2"/>
        <v>No</v>
      </c>
      <c r="K90" s="5"/>
      <c r="L90" s="10"/>
    </row>
    <row r="91" spans="1:12" x14ac:dyDescent="0.2">
      <c r="A91" s="7" t="str">
        <f>IF(AND(Sufficient_data="Yes",Include_study?="Yes"),COUNT(A$2:A90)+1,"")</f>
        <v/>
      </c>
      <c r="B91" s="17"/>
      <c r="C91" s="13" t="s">
        <v>11</v>
      </c>
      <c r="D91" s="10"/>
      <c r="E91" s="10"/>
      <c r="F91" s="10"/>
      <c r="G91" s="10"/>
      <c r="H91" s="10"/>
      <c r="I91" s="10"/>
      <c r="J91" s="149" t="str">
        <f t="shared" si="2"/>
        <v>No</v>
      </c>
      <c r="K91" s="5"/>
      <c r="L91" s="10"/>
    </row>
    <row r="92" spans="1:12" x14ac:dyDescent="0.2">
      <c r="A92" s="7" t="str">
        <f>IF(AND(Sufficient_data="Yes",Include_study?="Yes"),COUNT(A$2:A91)+1,"")</f>
        <v/>
      </c>
      <c r="B92" s="17"/>
      <c r="C92" s="13" t="s">
        <v>11</v>
      </c>
      <c r="D92" s="10"/>
      <c r="E92" s="10"/>
      <c r="F92" s="10"/>
      <c r="G92" s="10"/>
      <c r="H92" s="10"/>
      <c r="I92" s="10"/>
      <c r="J92" s="149" t="str">
        <f t="shared" si="2"/>
        <v>No</v>
      </c>
      <c r="K92" s="5"/>
      <c r="L92" s="10"/>
    </row>
    <row r="93" spans="1:12" x14ac:dyDescent="0.2">
      <c r="A93" s="7" t="str">
        <f>IF(AND(Sufficient_data="Yes",Include_study?="Yes"),COUNT(A$2:A92)+1,"")</f>
        <v/>
      </c>
      <c r="B93" s="17"/>
      <c r="C93" s="13" t="s">
        <v>11</v>
      </c>
      <c r="D93" s="10"/>
      <c r="E93" s="10"/>
      <c r="F93" s="10"/>
      <c r="G93" s="10"/>
      <c r="H93" s="10"/>
      <c r="I93" s="10"/>
      <c r="J93" s="149" t="str">
        <f t="shared" si="2"/>
        <v>No</v>
      </c>
      <c r="K93" s="5"/>
      <c r="L93" s="10"/>
    </row>
    <row r="94" spans="1:12" x14ac:dyDescent="0.2">
      <c r="A94" s="7" t="str">
        <f>IF(AND(Sufficient_data="Yes",Include_study?="Yes"),COUNT(A$2:A93)+1,"")</f>
        <v/>
      </c>
      <c r="B94" s="17"/>
      <c r="C94" s="13" t="s">
        <v>11</v>
      </c>
      <c r="D94" s="10"/>
      <c r="E94" s="10"/>
      <c r="F94" s="10"/>
      <c r="G94" s="10"/>
      <c r="H94" s="10"/>
      <c r="I94" s="10"/>
      <c r="J94" s="149" t="str">
        <f t="shared" si="2"/>
        <v>No</v>
      </c>
      <c r="K94" s="5"/>
      <c r="L94" s="10"/>
    </row>
    <row r="95" spans="1:12" x14ac:dyDescent="0.2">
      <c r="A95" s="7" t="str">
        <f>IF(AND(Sufficient_data="Yes",Include_study?="Yes"),COUNT(A$2:A94)+1,"")</f>
        <v/>
      </c>
      <c r="B95" s="17"/>
      <c r="C95" s="13" t="s">
        <v>11</v>
      </c>
      <c r="D95" s="10"/>
      <c r="E95" s="10"/>
      <c r="F95" s="10"/>
      <c r="G95" s="10"/>
      <c r="H95" s="10"/>
      <c r="I95" s="10"/>
      <c r="J95" s="149" t="str">
        <f t="shared" si="2"/>
        <v>No</v>
      </c>
      <c r="K95" s="5"/>
      <c r="L95" s="10"/>
    </row>
    <row r="96" spans="1:12" x14ac:dyDescent="0.2">
      <c r="A96" s="7" t="str">
        <f>IF(AND(Sufficient_data="Yes",Include_study?="Yes"),COUNT(A$2:A95)+1,"")</f>
        <v/>
      </c>
      <c r="B96" s="17"/>
      <c r="C96" s="13" t="s">
        <v>11</v>
      </c>
      <c r="D96" s="10"/>
      <c r="E96" s="10"/>
      <c r="F96" s="10"/>
      <c r="G96" s="10"/>
      <c r="H96" s="10"/>
      <c r="I96" s="10"/>
      <c r="J96" s="149" t="str">
        <f t="shared" si="2"/>
        <v>No</v>
      </c>
      <c r="K96" s="5"/>
      <c r="L96" s="10"/>
    </row>
    <row r="97" spans="1:12" x14ac:dyDescent="0.2">
      <c r="A97" s="7" t="str">
        <f>IF(AND(Sufficient_data="Yes",Include_study?="Yes"),COUNT(A$2:A96)+1,"")</f>
        <v/>
      </c>
      <c r="B97" s="17"/>
      <c r="C97" s="13" t="s">
        <v>11</v>
      </c>
      <c r="D97" s="10"/>
      <c r="E97" s="10"/>
      <c r="F97" s="10"/>
      <c r="G97" s="10"/>
      <c r="H97" s="10"/>
      <c r="I97" s="10"/>
      <c r="J97" s="149" t="str">
        <f t="shared" si="2"/>
        <v>No</v>
      </c>
      <c r="K97" s="5"/>
      <c r="L97" s="10"/>
    </row>
    <row r="98" spans="1:12" x14ac:dyDescent="0.2">
      <c r="A98" s="7" t="str">
        <f>IF(AND(Sufficient_data="Yes",Include_study?="Yes"),COUNT(A$2:A97)+1,"")</f>
        <v/>
      </c>
      <c r="B98" s="17"/>
      <c r="C98" s="13" t="s">
        <v>11</v>
      </c>
      <c r="D98" s="10"/>
      <c r="E98" s="10"/>
      <c r="F98" s="10"/>
      <c r="G98" s="10"/>
      <c r="H98" s="10"/>
      <c r="I98" s="10"/>
      <c r="J98" s="149" t="str">
        <f t="shared" ref="J98:J129" si="3">IF(AND(OR(AND(a_&lt;&gt;"",b_&lt;&gt;""),AND(OR(a_&lt;&gt;"",b_&lt;&gt;""),n1_&lt;&gt;"")),OR(AND(c_&lt;&gt;"",d_&lt;&gt;""),AND(OR(c_&lt;&gt;"",d_&lt;&gt;""),n2_&lt;&gt;""))),"Yes","No")</f>
        <v>No</v>
      </c>
      <c r="K98" s="5"/>
      <c r="L98" s="10"/>
    </row>
    <row r="99" spans="1:12" x14ac:dyDescent="0.2">
      <c r="A99" s="7" t="str">
        <f>IF(AND(Sufficient_data="Yes",Include_study?="Yes"),COUNT(A$2:A98)+1,"")</f>
        <v/>
      </c>
      <c r="B99" s="17"/>
      <c r="C99" s="13" t="s">
        <v>11</v>
      </c>
      <c r="D99" s="10"/>
      <c r="E99" s="10"/>
      <c r="F99" s="10"/>
      <c r="G99" s="10"/>
      <c r="H99" s="10"/>
      <c r="I99" s="10"/>
      <c r="J99" s="149" t="str">
        <f t="shared" si="3"/>
        <v>No</v>
      </c>
      <c r="K99" s="5"/>
      <c r="L99" s="10"/>
    </row>
    <row r="100" spans="1:12" x14ac:dyDescent="0.2">
      <c r="A100" s="7" t="str">
        <f>IF(AND(Sufficient_data="Yes",Include_study?="Yes"),COUNT(A$2:A99)+1,"")</f>
        <v/>
      </c>
      <c r="B100" s="17"/>
      <c r="C100" s="13" t="s">
        <v>11</v>
      </c>
      <c r="D100" s="10"/>
      <c r="E100" s="10"/>
      <c r="F100" s="10"/>
      <c r="G100" s="10"/>
      <c r="H100" s="10"/>
      <c r="I100" s="10"/>
      <c r="J100" s="149" t="str">
        <f t="shared" si="3"/>
        <v>No</v>
      </c>
      <c r="K100" s="5"/>
      <c r="L100" s="10"/>
    </row>
    <row r="101" spans="1:12" x14ac:dyDescent="0.2">
      <c r="A101" s="7" t="str">
        <f>IF(AND(Sufficient_data="Yes",Include_study?="Yes"),COUNT(A$2:A100)+1,"")</f>
        <v/>
      </c>
      <c r="B101" s="17"/>
      <c r="C101" s="13" t="s">
        <v>11</v>
      </c>
      <c r="D101" s="10"/>
      <c r="E101" s="10"/>
      <c r="F101" s="10"/>
      <c r="G101" s="10"/>
      <c r="H101" s="10"/>
      <c r="I101" s="10"/>
      <c r="J101" s="149" t="str">
        <f t="shared" si="3"/>
        <v>No</v>
      </c>
      <c r="K101" s="5"/>
      <c r="L101" s="10"/>
    </row>
    <row r="102" spans="1:12" x14ac:dyDescent="0.2">
      <c r="A102" s="7" t="str">
        <f>IF(AND(Sufficient_data="Yes",Include_study?="Yes"),COUNT(A$2:A101)+1,"")</f>
        <v/>
      </c>
      <c r="B102" s="17"/>
      <c r="C102" s="13" t="s">
        <v>11</v>
      </c>
      <c r="D102" s="10"/>
      <c r="E102" s="10"/>
      <c r="F102" s="10"/>
      <c r="G102" s="10"/>
      <c r="H102" s="10"/>
      <c r="I102" s="10"/>
      <c r="J102" s="149" t="str">
        <f t="shared" si="3"/>
        <v>No</v>
      </c>
      <c r="K102" s="5"/>
      <c r="L102" s="10"/>
    </row>
    <row r="103" spans="1:12" x14ac:dyDescent="0.2">
      <c r="A103" s="7" t="str">
        <f>IF(AND(Sufficient_data="Yes",Include_study?="Yes"),COUNT(A$2:A102)+1,"")</f>
        <v/>
      </c>
      <c r="B103" s="17"/>
      <c r="C103" s="13" t="s">
        <v>11</v>
      </c>
      <c r="D103" s="10"/>
      <c r="E103" s="10"/>
      <c r="F103" s="10"/>
      <c r="G103" s="10"/>
      <c r="H103" s="10"/>
      <c r="I103" s="10"/>
      <c r="J103" s="149" t="str">
        <f t="shared" si="3"/>
        <v>No</v>
      </c>
      <c r="K103" s="5"/>
      <c r="L103" s="10"/>
    </row>
    <row r="104" spans="1:12" x14ac:dyDescent="0.2">
      <c r="A104" s="7" t="str">
        <f>IF(AND(Sufficient_data="Yes",Include_study?="Yes"),COUNT(A$2:A103)+1,"")</f>
        <v/>
      </c>
      <c r="B104" s="17"/>
      <c r="C104" s="13" t="s">
        <v>11</v>
      </c>
      <c r="D104" s="10"/>
      <c r="E104" s="10"/>
      <c r="F104" s="10"/>
      <c r="G104" s="10"/>
      <c r="H104" s="10"/>
      <c r="I104" s="10"/>
      <c r="J104" s="149" t="str">
        <f t="shared" si="3"/>
        <v>No</v>
      </c>
      <c r="K104" s="5"/>
      <c r="L104" s="10"/>
    </row>
    <row r="105" spans="1:12" x14ac:dyDescent="0.2">
      <c r="A105" s="7" t="str">
        <f>IF(AND(Sufficient_data="Yes",Include_study?="Yes"),COUNT(A$2:A104)+1,"")</f>
        <v/>
      </c>
      <c r="B105" s="16"/>
      <c r="C105" s="5" t="s">
        <v>11</v>
      </c>
      <c r="D105" s="40"/>
      <c r="E105" s="40"/>
      <c r="F105" s="40"/>
      <c r="G105" s="40"/>
      <c r="H105" s="10"/>
      <c r="I105" s="10"/>
      <c r="J105" s="149" t="str">
        <f t="shared" si="3"/>
        <v>No</v>
      </c>
      <c r="K105" s="5"/>
      <c r="L105" s="40"/>
    </row>
    <row r="106" spans="1:12" x14ac:dyDescent="0.2">
      <c r="A106" s="7" t="str">
        <f>IF(AND(Sufficient_data="Yes",Include_study?="Yes"),COUNT(A$2:A105)+1,"")</f>
        <v/>
      </c>
      <c r="B106" s="16"/>
      <c r="C106" s="5" t="s">
        <v>11</v>
      </c>
      <c r="D106" s="40"/>
      <c r="E106" s="40"/>
      <c r="F106" s="40"/>
      <c r="G106" s="40"/>
      <c r="H106" s="10"/>
      <c r="I106" s="10"/>
      <c r="J106" s="149" t="str">
        <f t="shared" si="3"/>
        <v>No</v>
      </c>
      <c r="K106" s="5"/>
      <c r="L106" s="40"/>
    </row>
    <row r="107" spans="1:12" x14ac:dyDescent="0.2">
      <c r="A107" s="7" t="str">
        <f>IF(AND(Sufficient_data="Yes",Include_study?="Yes"),COUNT(A$2:A106)+1,"")</f>
        <v/>
      </c>
      <c r="B107" s="16"/>
      <c r="C107" s="5" t="s">
        <v>11</v>
      </c>
      <c r="D107" s="40"/>
      <c r="E107" s="40"/>
      <c r="F107" s="40"/>
      <c r="G107" s="40"/>
      <c r="H107" s="10"/>
      <c r="I107" s="10"/>
      <c r="J107" s="149" t="str">
        <f t="shared" si="3"/>
        <v>No</v>
      </c>
      <c r="K107" s="5"/>
      <c r="L107" s="40"/>
    </row>
    <row r="108" spans="1:12" x14ac:dyDescent="0.2">
      <c r="A108" s="7" t="str">
        <f>IF(AND(Sufficient_data="Yes",Include_study?="Yes"),COUNT(A$2:A107)+1,"")</f>
        <v/>
      </c>
      <c r="B108" s="16"/>
      <c r="C108" s="5" t="s">
        <v>11</v>
      </c>
      <c r="D108" s="40"/>
      <c r="E108" s="40"/>
      <c r="F108" s="40"/>
      <c r="G108" s="40"/>
      <c r="H108" s="10"/>
      <c r="I108" s="10"/>
      <c r="J108" s="149" t="str">
        <f t="shared" si="3"/>
        <v>No</v>
      </c>
      <c r="K108" s="5"/>
      <c r="L108" s="40"/>
    </row>
    <row r="109" spans="1:12" x14ac:dyDescent="0.2">
      <c r="A109" s="7" t="str">
        <f>IF(AND(Sufficient_data="Yes",Include_study?="Yes"),COUNT(A$2:A108)+1,"")</f>
        <v/>
      </c>
      <c r="B109" s="16"/>
      <c r="C109" s="5" t="s">
        <v>11</v>
      </c>
      <c r="D109" s="40"/>
      <c r="E109" s="40"/>
      <c r="F109" s="40"/>
      <c r="G109" s="40"/>
      <c r="H109" s="10"/>
      <c r="I109" s="10"/>
      <c r="J109" s="149" t="str">
        <f t="shared" si="3"/>
        <v>No</v>
      </c>
      <c r="K109" s="5"/>
      <c r="L109" s="40"/>
    </row>
    <row r="110" spans="1:12" x14ac:dyDescent="0.2">
      <c r="A110" s="7" t="str">
        <f>IF(AND(Sufficient_data="Yes",Include_study?="Yes"),COUNT(A$2:A109)+1,"")</f>
        <v/>
      </c>
      <c r="B110" s="16"/>
      <c r="C110" s="5" t="s">
        <v>11</v>
      </c>
      <c r="D110" s="40"/>
      <c r="E110" s="40"/>
      <c r="F110" s="40"/>
      <c r="G110" s="40"/>
      <c r="H110" s="10"/>
      <c r="I110" s="10"/>
      <c r="J110" s="149" t="str">
        <f t="shared" si="3"/>
        <v>No</v>
      </c>
      <c r="K110" s="5"/>
      <c r="L110" s="40"/>
    </row>
    <row r="111" spans="1:12" x14ac:dyDescent="0.2">
      <c r="A111" s="7" t="str">
        <f>IF(AND(Sufficient_data="Yes",Include_study?="Yes"),COUNT(A$2:A110)+1,"")</f>
        <v/>
      </c>
      <c r="B111" s="16"/>
      <c r="C111" s="5" t="s">
        <v>11</v>
      </c>
      <c r="D111" s="40"/>
      <c r="E111" s="40"/>
      <c r="F111" s="40"/>
      <c r="G111" s="40"/>
      <c r="H111" s="10"/>
      <c r="I111" s="10"/>
      <c r="J111" s="149" t="str">
        <f t="shared" si="3"/>
        <v>No</v>
      </c>
      <c r="K111" s="5"/>
      <c r="L111" s="40"/>
    </row>
    <row r="112" spans="1:12" x14ac:dyDescent="0.2">
      <c r="A112" s="7" t="str">
        <f>IF(AND(Sufficient_data="Yes",Include_study?="Yes"),COUNT(A$2:A111)+1,"")</f>
        <v/>
      </c>
      <c r="B112" s="16"/>
      <c r="C112" s="5" t="s">
        <v>11</v>
      </c>
      <c r="D112" s="40"/>
      <c r="E112" s="40"/>
      <c r="F112" s="40"/>
      <c r="G112" s="40"/>
      <c r="H112" s="10"/>
      <c r="I112" s="10"/>
      <c r="J112" s="149" t="str">
        <f t="shared" si="3"/>
        <v>No</v>
      </c>
      <c r="K112" s="5"/>
      <c r="L112" s="40"/>
    </row>
    <row r="113" spans="1:12" x14ac:dyDescent="0.2">
      <c r="A113" s="7" t="str">
        <f>IF(AND(Sufficient_data="Yes",Include_study?="Yes"),COUNT(A$2:A112)+1,"")</f>
        <v/>
      </c>
      <c r="B113" s="16"/>
      <c r="C113" s="5" t="s">
        <v>11</v>
      </c>
      <c r="D113" s="40"/>
      <c r="E113" s="40"/>
      <c r="F113" s="40"/>
      <c r="G113" s="40"/>
      <c r="H113" s="10"/>
      <c r="I113" s="10"/>
      <c r="J113" s="149" t="str">
        <f t="shared" si="3"/>
        <v>No</v>
      </c>
      <c r="K113" s="5"/>
      <c r="L113" s="40"/>
    </row>
    <row r="114" spans="1:12" x14ac:dyDescent="0.2">
      <c r="A114" s="7" t="str">
        <f>IF(AND(Sufficient_data="Yes",Include_study?="Yes"),COUNT(A$2:A113)+1,"")</f>
        <v/>
      </c>
      <c r="B114" s="16"/>
      <c r="C114" s="5" t="s">
        <v>11</v>
      </c>
      <c r="D114" s="40"/>
      <c r="E114" s="40"/>
      <c r="F114" s="40"/>
      <c r="G114" s="40"/>
      <c r="H114" s="10"/>
      <c r="I114" s="10"/>
      <c r="J114" s="149" t="str">
        <f t="shared" si="3"/>
        <v>No</v>
      </c>
      <c r="K114" s="5"/>
      <c r="L114" s="40"/>
    </row>
    <row r="115" spans="1:12" x14ac:dyDescent="0.2">
      <c r="A115" s="7" t="str">
        <f>IF(AND(Sufficient_data="Yes",Include_study?="Yes"),COUNT(A$2:A114)+1,"")</f>
        <v/>
      </c>
      <c r="B115" s="16"/>
      <c r="C115" s="5" t="s">
        <v>11</v>
      </c>
      <c r="D115" s="40"/>
      <c r="E115" s="40"/>
      <c r="F115" s="40"/>
      <c r="G115" s="40"/>
      <c r="H115" s="10"/>
      <c r="I115" s="10"/>
      <c r="J115" s="149" t="str">
        <f t="shared" si="3"/>
        <v>No</v>
      </c>
      <c r="K115" s="5"/>
      <c r="L115" s="40"/>
    </row>
    <row r="116" spans="1:12" x14ac:dyDescent="0.2">
      <c r="A116" s="7" t="str">
        <f>IF(AND(Sufficient_data="Yes",Include_study?="Yes"),COUNT(A$2:A115)+1,"")</f>
        <v/>
      </c>
      <c r="B116" s="17"/>
      <c r="C116" s="13" t="s">
        <v>11</v>
      </c>
      <c r="D116" s="10"/>
      <c r="E116" s="10"/>
      <c r="F116" s="10"/>
      <c r="G116" s="10"/>
      <c r="H116" s="10"/>
      <c r="I116" s="10"/>
      <c r="J116" s="149" t="str">
        <f t="shared" si="3"/>
        <v>No</v>
      </c>
      <c r="K116" s="5"/>
      <c r="L116" s="5"/>
    </row>
    <row r="117" spans="1:12" x14ac:dyDescent="0.2">
      <c r="A117" s="7" t="str">
        <f>IF(AND(Sufficient_data="Yes",Include_study?="Yes"),COUNT(A$2:A116)+1,"")</f>
        <v/>
      </c>
      <c r="B117" s="17"/>
      <c r="C117" s="13" t="s">
        <v>11</v>
      </c>
      <c r="D117" s="10"/>
      <c r="E117" s="10"/>
      <c r="F117" s="10"/>
      <c r="G117" s="10"/>
      <c r="H117" s="10"/>
      <c r="I117" s="10"/>
      <c r="J117" s="149" t="str">
        <f t="shared" si="3"/>
        <v>No</v>
      </c>
      <c r="K117" s="5"/>
      <c r="L117" s="5"/>
    </row>
    <row r="118" spans="1:12" x14ac:dyDescent="0.2">
      <c r="A118" s="7" t="str">
        <f>IF(AND(Sufficient_data="Yes",Include_study?="Yes"),COUNT(A$2:A117)+1,"")</f>
        <v/>
      </c>
      <c r="B118" s="17"/>
      <c r="C118" s="13" t="s">
        <v>11</v>
      </c>
      <c r="D118" s="10"/>
      <c r="E118" s="10"/>
      <c r="F118" s="10"/>
      <c r="G118" s="10"/>
      <c r="H118" s="10"/>
      <c r="I118" s="10"/>
      <c r="J118" s="149" t="str">
        <f t="shared" si="3"/>
        <v>No</v>
      </c>
      <c r="K118" s="5"/>
      <c r="L118" s="5"/>
    </row>
    <row r="119" spans="1:12" x14ac:dyDescent="0.2">
      <c r="A119" s="7" t="str">
        <f>IF(AND(Sufficient_data="Yes",Include_study?="Yes"),COUNT(A$2:A118)+1,"")</f>
        <v/>
      </c>
      <c r="B119" s="17"/>
      <c r="C119" s="13" t="s">
        <v>11</v>
      </c>
      <c r="D119" s="10"/>
      <c r="E119" s="10"/>
      <c r="F119" s="10"/>
      <c r="G119" s="10"/>
      <c r="H119" s="10"/>
      <c r="I119" s="10"/>
      <c r="J119" s="149" t="str">
        <f t="shared" si="3"/>
        <v>No</v>
      </c>
      <c r="K119" s="5"/>
      <c r="L119" s="5"/>
    </row>
    <row r="120" spans="1:12" x14ac:dyDescent="0.2">
      <c r="A120" s="7" t="str">
        <f>IF(AND(Sufficient_data="Yes",Include_study?="Yes"),COUNT(A$2:A119)+1,"")</f>
        <v/>
      </c>
      <c r="B120" s="17"/>
      <c r="C120" s="13" t="s">
        <v>11</v>
      </c>
      <c r="D120" s="10"/>
      <c r="E120" s="10"/>
      <c r="F120" s="10"/>
      <c r="G120" s="10"/>
      <c r="H120" s="10"/>
      <c r="I120" s="10"/>
      <c r="J120" s="149" t="str">
        <f t="shared" si="3"/>
        <v>No</v>
      </c>
      <c r="K120" s="5"/>
      <c r="L120" s="5"/>
    </row>
    <row r="121" spans="1:12" x14ac:dyDescent="0.2">
      <c r="A121" s="7" t="str">
        <f>IF(AND(Sufficient_data="Yes",Include_study?="Yes"),COUNT(A$2:A120)+1,"")</f>
        <v/>
      </c>
      <c r="B121" s="17"/>
      <c r="C121" s="13" t="s">
        <v>11</v>
      </c>
      <c r="D121" s="10"/>
      <c r="E121" s="10"/>
      <c r="F121" s="10"/>
      <c r="G121" s="10"/>
      <c r="H121" s="10"/>
      <c r="I121" s="10"/>
      <c r="J121" s="149" t="str">
        <f t="shared" si="3"/>
        <v>No</v>
      </c>
      <c r="K121" s="5"/>
      <c r="L121" s="5"/>
    </row>
    <row r="122" spans="1:12" x14ac:dyDescent="0.2">
      <c r="A122" s="7" t="str">
        <f>IF(AND(Sufficient_data="Yes",Include_study?="Yes"),COUNT(A$2:A121)+1,"")</f>
        <v/>
      </c>
      <c r="B122" s="17"/>
      <c r="C122" s="13" t="s">
        <v>11</v>
      </c>
      <c r="D122" s="10"/>
      <c r="E122" s="10"/>
      <c r="F122" s="10"/>
      <c r="G122" s="10"/>
      <c r="H122" s="10"/>
      <c r="I122" s="10"/>
      <c r="J122" s="149" t="str">
        <f t="shared" si="3"/>
        <v>No</v>
      </c>
      <c r="K122" s="5"/>
      <c r="L122" s="5"/>
    </row>
    <row r="123" spans="1:12" x14ac:dyDescent="0.2">
      <c r="A123" s="7" t="str">
        <f>IF(AND(Sufficient_data="Yes",Include_study?="Yes"),COUNT(A$2:A122)+1,"")</f>
        <v/>
      </c>
      <c r="B123" s="17"/>
      <c r="C123" s="13" t="s">
        <v>11</v>
      </c>
      <c r="D123" s="10"/>
      <c r="E123" s="10"/>
      <c r="F123" s="10"/>
      <c r="G123" s="10"/>
      <c r="H123" s="10"/>
      <c r="I123" s="10"/>
      <c r="J123" s="149" t="str">
        <f t="shared" si="3"/>
        <v>No</v>
      </c>
      <c r="K123" s="5"/>
      <c r="L123" s="5"/>
    </row>
    <row r="124" spans="1:12" x14ac:dyDescent="0.2">
      <c r="A124" s="7" t="str">
        <f>IF(AND(Sufficient_data="Yes",Include_study?="Yes"),COUNT(A$2:A123)+1,"")</f>
        <v/>
      </c>
      <c r="B124" s="17"/>
      <c r="C124" s="13" t="s">
        <v>11</v>
      </c>
      <c r="D124" s="10"/>
      <c r="E124" s="10"/>
      <c r="F124" s="10"/>
      <c r="G124" s="10"/>
      <c r="H124" s="10"/>
      <c r="I124" s="10"/>
      <c r="J124" s="149" t="str">
        <f t="shared" si="3"/>
        <v>No</v>
      </c>
      <c r="K124" s="5"/>
      <c r="L124" s="5"/>
    </row>
    <row r="125" spans="1:12" x14ac:dyDescent="0.2">
      <c r="A125" s="7" t="str">
        <f>IF(AND(Sufficient_data="Yes",Include_study?="Yes"),COUNT(A$2:A124)+1,"")</f>
        <v/>
      </c>
      <c r="B125" s="17"/>
      <c r="C125" s="13" t="s">
        <v>11</v>
      </c>
      <c r="D125" s="10"/>
      <c r="E125" s="10"/>
      <c r="F125" s="10"/>
      <c r="G125" s="10"/>
      <c r="H125" s="10"/>
      <c r="I125" s="10"/>
      <c r="J125" s="149" t="str">
        <f t="shared" si="3"/>
        <v>No</v>
      </c>
      <c r="K125" s="5"/>
      <c r="L125" s="5"/>
    </row>
    <row r="126" spans="1:12" x14ac:dyDescent="0.2">
      <c r="A126" s="7" t="str">
        <f>IF(AND(Sufficient_data="Yes",Include_study?="Yes"),COUNT(A$2:A125)+1,"")</f>
        <v/>
      </c>
      <c r="B126" s="17"/>
      <c r="C126" s="13" t="s">
        <v>11</v>
      </c>
      <c r="D126" s="10"/>
      <c r="E126" s="10"/>
      <c r="F126" s="10"/>
      <c r="G126" s="10"/>
      <c r="H126" s="10"/>
      <c r="I126" s="10"/>
      <c r="J126" s="149" t="str">
        <f t="shared" si="3"/>
        <v>No</v>
      </c>
      <c r="K126" s="5"/>
      <c r="L126" s="5"/>
    </row>
    <row r="127" spans="1:12" x14ac:dyDescent="0.2">
      <c r="A127" s="7" t="str">
        <f>IF(AND(Sufficient_data="Yes",Include_study?="Yes"),COUNT(A$2:A126)+1,"")</f>
        <v/>
      </c>
      <c r="B127" s="17"/>
      <c r="C127" s="13" t="s">
        <v>11</v>
      </c>
      <c r="D127" s="10"/>
      <c r="E127" s="10"/>
      <c r="F127" s="10"/>
      <c r="G127" s="10"/>
      <c r="H127" s="10"/>
      <c r="I127" s="10"/>
      <c r="J127" s="149" t="str">
        <f t="shared" si="3"/>
        <v>No</v>
      </c>
      <c r="K127" s="5"/>
      <c r="L127" s="5"/>
    </row>
    <row r="128" spans="1:12" x14ac:dyDescent="0.2">
      <c r="A128" s="7" t="str">
        <f>IF(AND(Sufficient_data="Yes",Include_study?="Yes"),COUNT(A$2:A127)+1,"")</f>
        <v/>
      </c>
      <c r="B128" s="17"/>
      <c r="C128" s="13" t="s">
        <v>11</v>
      </c>
      <c r="D128" s="10"/>
      <c r="E128" s="10"/>
      <c r="F128" s="10"/>
      <c r="G128" s="10"/>
      <c r="H128" s="10"/>
      <c r="I128" s="10"/>
      <c r="J128" s="149" t="str">
        <f t="shared" si="3"/>
        <v>No</v>
      </c>
      <c r="K128" s="5"/>
      <c r="L128" s="5"/>
    </row>
    <row r="129" spans="1:12" x14ac:dyDescent="0.2">
      <c r="A129" s="7" t="str">
        <f>IF(AND(Sufficient_data="Yes",Include_study?="Yes"),COUNT(A$2:A128)+1,"")</f>
        <v/>
      </c>
      <c r="B129" s="17"/>
      <c r="C129" s="13" t="s">
        <v>11</v>
      </c>
      <c r="D129" s="10"/>
      <c r="E129" s="10"/>
      <c r="F129" s="10"/>
      <c r="G129" s="10"/>
      <c r="H129" s="10"/>
      <c r="I129" s="10"/>
      <c r="J129" s="149" t="str">
        <f t="shared" si="3"/>
        <v>No</v>
      </c>
      <c r="K129" s="5"/>
      <c r="L129" s="5"/>
    </row>
    <row r="130" spans="1:12" x14ac:dyDescent="0.2">
      <c r="A130" s="7" t="str">
        <f>IF(AND(Sufficient_data="Yes",Include_study?="Yes"),COUNT(A$2:A129)+1,"")</f>
        <v/>
      </c>
      <c r="B130" s="17"/>
      <c r="C130" s="13" t="s">
        <v>11</v>
      </c>
      <c r="D130" s="10"/>
      <c r="E130" s="10"/>
      <c r="F130" s="10"/>
      <c r="G130" s="10"/>
      <c r="H130" s="10"/>
      <c r="I130" s="10"/>
      <c r="J130" s="149" t="str">
        <f t="shared" ref="J130:J161" si="4">IF(AND(OR(AND(a_&lt;&gt;"",b_&lt;&gt;""),AND(OR(a_&lt;&gt;"",b_&lt;&gt;""),n1_&lt;&gt;"")),OR(AND(c_&lt;&gt;"",d_&lt;&gt;""),AND(OR(c_&lt;&gt;"",d_&lt;&gt;""),n2_&lt;&gt;""))),"Yes","No")</f>
        <v>No</v>
      </c>
      <c r="K130" s="5"/>
      <c r="L130" s="5"/>
    </row>
    <row r="131" spans="1:12" x14ac:dyDescent="0.2">
      <c r="A131" s="7" t="str">
        <f>IF(AND(Sufficient_data="Yes",Include_study?="Yes"),COUNT(A$2:A130)+1,"")</f>
        <v/>
      </c>
      <c r="B131" s="17"/>
      <c r="C131" s="13" t="s">
        <v>11</v>
      </c>
      <c r="D131" s="10"/>
      <c r="E131" s="10"/>
      <c r="F131" s="10"/>
      <c r="G131" s="10"/>
      <c r="H131" s="10"/>
      <c r="I131" s="10"/>
      <c r="J131" s="149" t="str">
        <f t="shared" si="4"/>
        <v>No</v>
      </c>
      <c r="K131" s="5"/>
      <c r="L131" s="5"/>
    </row>
    <row r="132" spans="1:12" x14ac:dyDescent="0.2">
      <c r="A132" s="7" t="str">
        <f>IF(AND(Sufficient_data="Yes",Include_study?="Yes"),COUNT(A$2:A131)+1,"")</f>
        <v/>
      </c>
      <c r="B132" s="17"/>
      <c r="C132" s="13" t="s">
        <v>11</v>
      </c>
      <c r="D132" s="10"/>
      <c r="E132" s="10"/>
      <c r="F132" s="10"/>
      <c r="G132" s="10"/>
      <c r="H132" s="10"/>
      <c r="I132" s="10"/>
      <c r="J132" s="149" t="str">
        <f t="shared" si="4"/>
        <v>No</v>
      </c>
      <c r="K132" s="5"/>
      <c r="L132" s="5"/>
    </row>
    <row r="133" spans="1:12" x14ac:dyDescent="0.2">
      <c r="A133" s="7" t="str">
        <f>IF(AND(Sufficient_data="Yes",Include_study?="Yes"),COUNT(A$2:A132)+1,"")</f>
        <v/>
      </c>
      <c r="B133" s="17"/>
      <c r="C133" s="13" t="s">
        <v>11</v>
      </c>
      <c r="D133" s="10"/>
      <c r="E133" s="10"/>
      <c r="F133" s="10"/>
      <c r="G133" s="10"/>
      <c r="H133" s="10"/>
      <c r="I133" s="10"/>
      <c r="J133" s="149" t="str">
        <f t="shared" si="4"/>
        <v>No</v>
      </c>
      <c r="K133" s="5"/>
      <c r="L133" s="5"/>
    </row>
    <row r="134" spans="1:12" x14ac:dyDescent="0.2">
      <c r="A134" s="7" t="str">
        <f>IF(AND(Sufficient_data="Yes",Include_study?="Yes"),COUNT(A$2:A133)+1,"")</f>
        <v/>
      </c>
      <c r="B134" s="17"/>
      <c r="C134" s="13" t="s">
        <v>11</v>
      </c>
      <c r="D134" s="10"/>
      <c r="E134" s="10"/>
      <c r="F134" s="10"/>
      <c r="G134" s="10"/>
      <c r="H134" s="10"/>
      <c r="I134" s="10"/>
      <c r="J134" s="149" t="str">
        <f t="shared" si="4"/>
        <v>No</v>
      </c>
      <c r="K134" s="5"/>
      <c r="L134" s="5"/>
    </row>
    <row r="135" spans="1:12" x14ac:dyDescent="0.2">
      <c r="A135" s="7" t="str">
        <f>IF(AND(Sufficient_data="Yes",Include_study?="Yes"),COUNT(A$2:A134)+1,"")</f>
        <v/>
      </c>
      <c r="B135" s="17"/>
      <c r="C135" s="13" t="s">
        <v>11</v>
      </c>
      <c r="D135" s="10"/>
      <c r="E135" s="10"/>
      <c r="F135" s="10"/>
      <c r="G135" s="10"/>
      <c r="H135" s="10"/>
      <c r="I135" s="10"/>
      <c r="J135" s="149" t="str">
        <f t="shared" si="4"/>
        <v>No</v>
      </c>
      <c r="K135" s="5"/>
      <c r="L135" s="5"/>
    </row>
    <row r="136" spans="1:12" x14ac:dyDescent="0.2">
      <c r="A136" s="7" t="str">
        <f>IF(AND(Sufficient_data="Yes",Include_study?="Yes"),COUNT(A$2:A135)+1,"")</f>
        <v/>
      </c>
      <c r="B136" s="17"/>
      <c r="C136" s="13" t="s">
        <v>11</v>
      </c>
      <c r="D136" s="10"/>
      <c r="E136" s="10"/>
      <c r="F136" s="10"/>
      <c r="G136" s="10"/>
      <c r="H136" s="10"/>
      <c r="I136" s="10"/>
      <c r="J136" s="149" t="str">
        <f t="shared" si="4"/>
        <v>No</v>
      </c>
      <c r="K136" s="5"/>
      <c r="L136" s="5"/>
    </row>
    <row r="137" spans="1:12" x14ac:dyDescent="0.2">
      <c r="A137" s="7" t="str">
        <f>IF(AND(Sufficient_data="Yes",Include_study?="Yes"),COUNT(A$2:A136)+1,"")</f>
        <v/>
      </c>
      <c r="B137" s="17"/>
      <c r="C137" s="13" t="s">
        <v>11</v>
      </c>
      <c r="D137" s="10"/>
      <c r="E137" s="10"/>
      <c r="F137" s="10"/>
      <c r="G137" s="10"/>
      <c r="H137" s="10"/>
      <c r="I137" s="10"/>
      <c r="J137" s="149" t="str">
        <f t="shared" si="4"/>
        <v>No</v>
      </c>
      <c r="K137" s="5"/>
      <c r="L137" s="5"/>
    </row>
    <row r="138" spans="1:12" x14ac:dyDescent="0.2">
      <c r="A138" s="7" t="str">
        <f>IF(AND(Sufficient_data="Yes",Include_study?="Yes"),COUNT(A$2:A137)+1,"")</f>
        <v/>
      </c>
      <c r="B138" s="17"/>
      <c r="C138" s="13" t="s">
        <v>11</v>
      </c>
      <c r="D138" s="10"/>
      <c r="E138" s="10"/>
      <c r="F138" s="10"/>
      <c r="G138" s="10"/>
      <c r="H138" s="10"/>
      <c r="I138" s="10"/>
      <c r="J138" s="149" t="str">
        <f t="shared" si="4"/>
        <v>No</v>
      </c>
      <c r="K138" s="5"/>
      <c r="L138" s="5"/>
    </row>
    <row r="139" spans="1:12" x14ac:dyDescent="0.2">
      <c r="A139" s="7" t="str">
        <f>IF(AND(Sufficient_data="Yes",Include_study?="Yes"),COUNT(A$2:A138)+1,"")</f>
        <v/>
      </c>
      <c r="B139" s="17"/>
      <c r="C139" s="13" t="s">
        <v>11</v>
      </c>
      <c r="D139" s="10"/>
      <c r="E139" s="10"/>
      <c r="F139" s="10"/>
      <c r="G139" s="10"/>
      <c r="H139" s="10"/>
      <c r="I139" s="10"/>
      <c r="J139" s="149" t="str">
        <f t="shared" si="4"/>
        <v>No</v>
      </c>
      <c r="K139" s="5"/>
      <c r="L139" s="5"/>
    </row>
    <row r="140" spans="1:12" x14ac:dyDescent="0.2">
      <c r="A140" s="7" t="str">
        <f>IF(AND(Sufficient_data="Yes",Include_study?="Yes"),COUNT(A$2:A139)+1,"")</f>
        <v/>
      </c>
      <c r="B140" s="17"/>
      <c r="C140" s="13" t="s">
        <v>11</v>
      </c>
      <c r="D140" s="10"/>
      <c r="E140" s="10"/>
      <c r="F140" s="10"/>
      <c r="G140" s="10"/>
      <c r="H140" s="10"/>
      <c r="I140" s="10"/>
      <c r="J140" s="149" t="str">
        <f t="shared" si="4"/>
        <v>No</v>
      </c>
      <c r="K140" s="5"/>
      <c r="L140" s="5"/>
    </row>
    <row r="141" spans="1:12" x14ac:dyDescent="0.2">
      <c r="A141" s="7" t="str">
        <f>IF(AND(Sufficient_data="Yes",Include_study?="Yes"),COUNT(A$2:A140)+1,"")</f>
        <v/>
      </c>
      <c r="B141" s="17"/>
      <c r="C141" s="13" t="s">
        <v>11</v>
      </c>
      <c r="D141" s="10"/>
      <c r="E141" s="10"/>
      <c r="F141" s="10"/>
      <c r="G141" s="10"/>
      <c r="H141" s="10"/>
      <c r="I141" s="10"/>
      <c r="J141" s="149" t="str">
        <f t="shared" si="4"/>
        <v>No</v>
      </c>
      <c r="K141" s="5"/>
      <c r="L141" s="5"/>
    </row>
    <row r="142" spans="1:12" x14ac:dyDescent="0.2">
      <c r="A142" s="7" t="str">
        <f>IF(AND(Sufficient_data="Yes",Include_study?="Yes"),COUNT(A$2:A141)+1,"")</f>
        <v/>
      </c>
      <c r="B142" s="17"/>
      <c r="C142" s="13" t="s">
        <v>11</v>
      </c>
      <c r="D142" s="10"/>
      <c r="E142" s="10"/>
      <c r="F142" s="10"/>
      <c r="G142" s="10"/>
      <c r="H142" s="10"/>
      <c r="I142" s="10"/>
      <c r="J142" s="149" t="str">
        <f t="shared" si="4"/>
        <v>No</v>
      </c>
      <c r="K142" s="5"/>
      <c r="L142" s="5"/>
    </row>
    <row r="143" spans="1:12" x14ac:dyDescent="0.2">
      <c r="A143" s="7" t="str">
        <f>IF(AND(Sufficient_data="Yes",Include_study?="Yes"),COUNT(A$2:A142)+1,"")</f>
        <v/>
      </c>
      <c r="B143" s="17"/>
      <c r="C143" s="13" t="s">
        <v>11</v>
      </c>
      <c r="D143" s="10"/>
      <c r="E143" s="10"/>
      <c r="F143" s="10"/>
      <c r="G143" s="10"/>
      <c r="H143" s="10"/>
      <c r="I143" s="10"/>
      <c r="J143" s="149" t="str">
        <f t="shared" si="4"/>
        <v>No</v>
      </c>
      <c r="K143" s="5"/>
      <c r="L143" s="5"/>
    </row>
    <row r="144" spans="1:12" x14ac:dyDescent="0.2">
      <c r="A144" s="7" t="str">
        <f>IF(AND(Sufficient_data="Yes",Include_study?="Yes"),COUNT(A$2:A143)+1,"")</f>
        <v/>
      </c>
      <c r="B144" s="17"/>
      <c r="C144" s="13" t="s">
        <v>11</v>
      </c>
      <c r="D144" s="10"/>
      <c r="E144" s="10"/>
      <c r="F144" s="10"/>
      <c r="G144" s="10"/>
      <c r="H144" s="10"/>
      <c r="I144" s="10"/>
      <c r="J144" s="149" t="str">
        <f t="shared" si="4"/>
        <v>No</v>
      </c>
      <c r="K144" s="5"/>
      <c r="L144" s="5"/>
    </row>
    <row r="145" spans="1:12" x14ac:dyDescent="0.2">
      <c r="A145" s="7" t="str">
        <f>IF(AND(Sufficient_data="Yes",Include_study?="Yes"),COUNT(A$2:A144)+1,"")</f>
        <v/>
      </c>
      <c r="B145" s="17"/>
      <c r="C145" s="13" t="s">
        <v>11</v>
      </c>
      <c r="D145" s="10"/>
      <c r="E145" s="10"/>
      <c r="F145" s="10"/>
      <c r="G145" s="10"/>
      <c r="H145" s="10"/>
      <c r="I145" s="10"/>
      <c r="J145" s="149" t="str">
        <f t="shared" si="4"/>
        <v>No</v>
      </c>
      <c r="K145" s="5"/>
      <c r="L145" s="5"/>
    </row>
    <row r="146" spans="1:12" x14ac:dyDescent="0.2">
      <c r="A146" s="7" t="str">
        <f>IF(AND(Sufficient_data="Yes",Include_study?="Yes"),COUNT(A$2:A145)+1,"")</f>
        <v/>
      </c>
      <c r="B146" s="17"/>
      <c r="C146" s="13" t="s">
        <v>11</v>
      </c>
      <c r="D146" s="10"/>
      <c r="E146" s="10"/>
      <c r="F146" s="10"/>
      <c r="G146" s="10"/>
      <c r="H146" s="10"/>
      <c r="I146" s="10"/>
      <c r="J146" s="149" t="str">
        <f t="shared" si="4"/>
        <v>No</v>
      </c>
      <c r="K146" s="5"/>
      <c r="L146" s="5"/>
    </row>
    <row r="147" spans="1:12" x14ac:dyDescent="0.2">
      <c r="A147" s="7" t="str">
        <f>IF(AND(Sufficient_data="Yes",Include_study?="Yes"),COUNT(A$2:A146)+1,"")</f>
        <v/>
      </c>
      <c r="B147" s="17"/>
      <c r="C147" s="13" t="s">
        <v>11</v>
      </c>
      <c r="D147" s="10"/>
      <c r="E147" s="10"/>
      <c r="F147" s="10"/>
      <c r="G147" s="10"/>
      <c r="H147" s="10"/>
      <c r="I147" s="10"/>
      <c r="J147" s="149" t="str">
        <f t="shared" si="4"/>
        <v>No</v>
      </c>
      <c r="K147" s="5"/>
      <c r="L147" s="5"/>
    </row>
    <row r="148" spans="1:12" x14ac:dyDescent="0.2">
      <c r="A148" s="7" t="str">
        <f>IF(AND(Sufficient_data="Yes",Include_study?="Yes"),COUNT(A$2:A147)+1,"")</f>
        <v/>
      </c>
      <c r="B148" s="17"/>
      <c r="C148" s="13" t="s">
        <v>11</v>
      </c>
      <c r="D148" s="10"/>
      <c r="E148" s="10"/>
      <c r="F148" s="10"/>
      <c r="G148" s="10"/>
      <c r="H148" s="10"/>
      <c r="I148" s="10"/>
      <c r="J148" s="149" t="str">
        <f t="shared" si="4"/>
        <v>No</v>
      </c>
      <c r="K148" s="5"/>
      <c r="L148" s="5"/>
    </row>
    <row r="149" spans="1:12" x14ac:dyDescent="0.2">
      <c r="A149" s="7" t="str">
        <f>IF(AND(Sufficient_data="Yes",Include_study?="Yes"),COUNT(A$2:A148)+1,"")</f>
        <v/>
      </c>
      <c r="B149" s="17"/>
      <c r="C149" s="13" t="s">
        <v>11</v>
      </c>
      <c r="D149" s="10"/>
      <c r="E149" s="10"/>
      <c r="F149" s="10"/>
      <c r="G149" s="10"/>
      <c r="H149" s="10"/>
      <c r="I149" s="10"/>
      <c r="J149" s="149" t="str">
        <f t="shared" si="4"/>
        <v>No</v>
      </c>
      <c r="K149" s="5"/>
      <c r="L149" s="5"/>
    </row>
    <row r="150" spans="1:12" x14ac:dyDescent="0.2">
      <c r="A150" s="7" t="str">
        <f>IF(AND(Sufficient_data="Yes",Include_study?="Yes"),COUNT(A$2:A149)+1,"")</f>
        <v/>
      </c>
      <c r="B150" s="17"/>
      <c r="C150" s="13" t="s">
        <v>11</v>
      </c>
      <c r="D150" s="10"/>
      <c r="E150" s="10"/>
      <c r="F150" s="10"/>
      <c r="G150" s="10"/>
      <c r="H150" s="10"/>
      <c r="I150" s="10"/>
      <c r="J150" s="149" t="str">
        <f t="shared" si="4"/>
        <v>No</v>
      </c>
      <c r="K150" s="5"/>
      <c r="L150" s="5"/>
    </row>
    <row r="151" spans="1:12" x14ac:dyDescent="0.2">
      <c r="A151" s="7" t="str">
        <f>IF(AND(Sufficient_data="Yes",Include_study?="Yes"),COUNT(A$2:A150)+1,"")</f>
        <v/>
      </c>
      <c r="B151" s="17"/>
      <c r="C151" s="13" t="s">
        <v>11</v>
      </c>
      <c r="D151" s="10"/>
      <c r="E151" s="10"/>
      <c r="F151" s="10"/>
      <c r="G151" s="10"/>
      <c r="H151" s="10"/>
      <c r="I151" s="10"/>
      <c r="J151" s="149" t="str">
        <f t="shared" si="4"/>
        <v>No</v>
      </c>
      <c r="K151" s="5"/>
      <c r="L151" s="5"/>
    </row>
    <row r="152" spans="1:12" x14ac:dyDescent="0.2">
      <c r="A152" s="7" t="str">
        <f>IF(AND(Sufficient_data="Yes",Include_study?="Yes"),COUNT(A$2:A151)+1,"")</f>
        <v/>
      </c>
      <c r="B152" s="17"/>
      <c r="C152" s="13" t="s">
        <v>11</v>
      </c>
      <c r="D152" s="10"/>
      <c r="E152" s="10"/>
      <c r="F152" s="10"/>
      <c r="G152" s="10"/>
      <c r="H152" s="10"/>
      <c r="I152" s="10"/>
      <c r="J152" s="149" t="str">
        <f t="shared" si="4"/>
        <v>No</v>
      </c>
      <c r="K152" s="5"/>
      <c r="L152" s="5"/>
    </row>
    <row r="153" spans="1:12" x14ac:dyDescent="0.2">
      <c r="A153" s="7" t="str">
        <f>IF(AND(Sufficient_data="Yes",Include_study?="Yes"),COUNT(A$2:A152)+1,"")</f>
        <v/>
      </c>
      <c r="B153" s="17"/>
      <c r="C153" s="13" t="s">
        <v>11</v>
      </c>
      <c r="D153" s="10"/>
      <c r="E153" s="10"/>
      <c r="F153" s="10"/>
      <c r="G153" s="10"/>
      <c r="H153" s="10"/>
      <c r="I153" s="10"/>
      <c r="J153" s="149" t="str">
        <f t="shared" si="4"/>
        <v>No</v>
      </c>
      <c r="K153" s="5"/>
      <c r="L153" s="5"/>
    </row>
    <row r="154" spans="1:12" x14ac:dyDescent="0.2">
      <c r="A154" s="7" t="str">
        <f>IF(AND(Sufficient_data="Yes",Include_study?="Yes"),COUNT(A$2:A153)+1,"")</f>
        <v/>
      </c>
      <c r="B154" s="17"/>
      <c r="C154" s="13" t="s">
        <v>11</v>
      </c>
      <c r="D154" s="10"/>
      <c r="E154" s="10"/>
      <c r="F154" s="10"/>
      <c r="G154" s="10"/>
      <c r="H154" s="10"/>
      <c r="I154" s="10"/>
      <c r="J154" s="149" t="str">
        <f t="shared" si="4"/>
        <v>No</v>
      </c>
      <c r="K154" s="5"/>
      <c r="L154" s="5"/>
    </row>
    <row r="155" spans="1:12" x14ac:dyDescent="0.2">
      <c r="A155" s="7" t="str">
        <f>IF(AND(Sufficient_data="Yes",Include_study?="Yes"),COUNT(A$2:A154)+1,"")</f>
        <v/>
      </c>
      <c r="B155" s="17"/>
      <c r="C155" s="13" t="s">
        <v>11</v>
      </c>
      <c r="D155" s="10"/>
      <c r="E155" s="10"/>
      <c r="F155" s="10"/>
      <c r="G155" s="10"/>
      <c r="H155" s="10"/>
      <c r="I155" s="10"/>
      <c r="J155" s="149" t="str">
        <f t="shared" si="4"/>
        <v>No</v>
      </c>
      <c r="K155" s="5"/>
      <c r="L155" s="5"/>
    </row>
    <row r="156" spans="1:12" x14ac:dyDescent="0.2">
      <c r="A156" s="7" t="str">
        <f>IF(AND(Sufficient_data="Yes",Include_study?="Yes"),COUNT(A$2:A155)+1,"")</f>
        <v/>
      </c>
      <c r="B156" s="17"/>
      <c r="C156" s="13" t="s">
        <v>11</v>
      </c>
      <c r="D156" s="10"/>
      <c r="E156" s="10"/>
      <c r="F156" s="10"/>
      <c r="G156" s="10"/>
      <c r="H156" s="10"/>
      <c r="I156" s="10"/>
      <c r="J156" s="149" t="str">
        <f t="shared" si="4"/>
        <v>No</v>
      </c>
      <c r="K156" s="5"/>
      <c r="L156" s="5"/>
    </row>
    <row r="157" spans="1:12" x14ac:dyDescent="0.2">
      <c r="A157" s="7" t="str">
        <f>IF(AND(Sufficient_data="Yes",Include_study?="Yes"),COUNT(A$2:A156)+1,"")</f>
        <v/>
      </c>
      <c r="B157" s="17"/>
      <c r="C157" s="13" t="s">
        <v>11</v>
      </c>
      <c r="D157" s="10"/>
      <c r="E157" s="10"/>
      <c r="F157" s="10"/>
      <c r="G157" s="10"/>
      <c r="H157" s="10"/>
      <c r="I157" s="10"/>
      <c r="J157" s="149" t="str">
        <f t="shared" si="4"/>
        <v>No</v>
      </c>
      <c r="K157" s="5"/>
      <c r="L157" s="5"/>
    </row>
    <row r="158" spans="1:12" x14ac:dyDescent="0.2">
      <c r="A158" s="7" t="str">
        <f>IF(AND(Sufficient_data="Yes",Include_study?="Yes"),COUNT(A$2:A157)+1,"")</f>
        <v/>
      </c>
      <c r="B158" s="17"/>
      <c r="C158" s="13" t="s">
        <v>11</v>
      </c>
      <c r="D158" s="10"/>
      <c r="E158" s="10"/>
      <c r="F158" s="10"/>
      <c r="G158" s="10"/>
      <c r="H158" s="10"/>
      <c r="I158" s="10"/>
      <c r="J158" s="149" t="str">
        <f t="shared" si="4"/>
        <v>No</v>
      </c>
      <c r="K158" s="5"/>
      <c r="L158" s="5"/>
    </row>
    <row r="159" spans="1:12" x14ac:dyDescent="0.2">
      <c r="A159" s="7" t="str">
        <f>IF(AND(Sufficient_data="Yes",Include_study?="Yes"),COUNT(A$2:A158)+1,"")</f>
        <v/>
      </c>
      <c r="B159" s="17"/>
      <c r="C159" s="13" t="s">
        <v>11</v>
      </c>
      <c r="D159" s="10"/>
      <c r="E159" s="10"/>
      <c r="F159" s="10"/>
      <c r="G159" s="10"/>
      <c r="H159" s="10"/>
      <c r="I159" s="10"/>
      <c r="J159" s="149" t="str">
        <f t="shared" si="4"/>
        <v>No</v>
      </c>
      <c r="K159" s="5"/>
      <c r="L159" s="5"/>
    </row>
    <row r="160" spans="1:12" x14ac:dyDescent="0.2">
      <c r="A160" s="7" t="str">
        <f>IF(AND(Sufficient_data="Yes",Include_study?="Yes"),COUNT(A$2:A159)+1,"")</f>
        <v/>
      </c>
      <c r="B160" s="17"/>
      <c r="C160" s="13" t="s">
        <v>11</v>
      </c>
      <c r="D160" s="10"/>
      <c r="E160" s="10"/>
      <c r="F160" s="10"/>
      <c r="G160" s="10"/>
      <c r="H160" s="10"/>
      <c r="I160" s="10"/>
      <c r="J160" s="149" t="str">
        <f t="shared" si="4"/>
        <v>No</v>
      </c>
      <c r="K160" s="5"/>
      <c r="L160" s="5"/>
    </row>
    <row r="161" spans="1:12" x14ac:dyDescent="0.2">
      <c r="A161" s="7" t="str">
        <f>IF(AND(Sufficient_data="Yes",Include_study?="Yes"),COUNT(A$2:A160)+1,"")</f>
        <v/>
      </c>
      <c r="B161" s="17"/>
      <c r="C161" s="13" t="s">
        <v>11</v>
      </c>
      <c r="D161" s="10"/>
      <c r="E161" s="10"/>
      <c r="F161" s="10"/>
      <c r="G161" s="10"/>
      <c r="H161" s="10"/>
      <c r="I161" s="10"/>
      <c r="J161" s="149" t="str">
        <f t="shared" si="4"/>
        <v>No</v>
      </c>
      <c r="K161" s="5"/>
      <c r="L161" s="5"/>
    </row>
    <row r="162" spans="1:12" x14ac:dyDescent="0.2">
      <c r="A162" s="7" t="str">
        <f>IF(AND(Sufficient_data="Yes",Include_study?="Yes"),COUNT(A$2:A161)+1,"")</f>
        <v/>
      </c>
      <c r="B162" s="17"/>
      <c r="C162" s="13" t="s">
        <v>11</v>
      </c>
      <c r="D162" s="10"/>
      <c r="E162" s="10"/>
      <c r="F162" s="10"/>
      <c r="G162" s="10"/>
      <c r="H162" s="10"/>
      <c r="I162" s="10"/>
      <c r="J162" s="149" t="str">
        <f t="shared" ref="J162:J193" si="5">IF(AND(OR(AND(a_&lt;&gt;"",b_&lt;&gt;""),AND(OR(a_&lt;&gt;"",b_&lt;&gt;""),n1_&lt;&gt;"")),OR(AND(c_&lt;&gt;"",d_&lt;&gt;""),AND(OR(c_&lt;&gt;"",d_&lt;&gt;""),n2_&lt;&gt;""))),"Yes","No")</f>
        <v>No</v>
      </c>
      <c r="K162" s="5"/>
      <c r="L162" s="5"/>
    </row>
    <row r="163" spans="1:12" x14ac:dyDescent="0.2">
      <c r="A163" s="7" t="str">
        <f>IF(AND(Sufficient_data="Yes",Include_study?="Yes"),COUNT(A$2:A162)+1,"")</f>
        <v/>
      </c>
      <c r="B163" s="17"/>
      <c r="C163" s="13" t="s">
        <v>11</v>
      </c>
      <c r="D163" s="10"/>
      <c r="E163" s="10"/>
      <c r="F163" s="10"/>
      <c r="G163" s="10"/>
      <c r="H163" s="10"/>
      <c r="I163" s="10"/>
      <c r="J163" s="149" t="str">
        <f t="shared" si="5"/>
        <v>No</v>
      </c>
      <c r="K163" s="5"/>
      <c r="L163" s="5"/>
    </row>
    <row r="164" spans="1:12" x14ac:dyDescent="0.2">
      <c r="A164" s="7" t="str">
        <f>IF(AND(Sufficient_data="Yes",Include_study?="Yes"),COUNT(A$2:A163)+1,"")</f>
        <v/>
      </c>
      <c r="B164" s="17"/>
      <c r="C164" s="13" t="s">
        <v>11</v>
      </c>
      <c r="D164" s="10"/>
      <c r="E164" s="10"/>
      <c r="F164" s="10"/>
      <c r="G164" s="10"/>
      <c r="H164" s="10"/>
      <c r="I164" s="10"/>
      <c r="J164" s="149" t="str">
        <f t="shared" si="5"/>
        <v>No</v>
      </c>
      <c r="K164" s="5"/>
      <c r="L164" s="5"/>
    </row>
    <row r="165" spans="1:12" x14ac:dyDescent="0.2">
      <c r="A165" s="7" t="str">
        <f>IF(AND(Sufficient_data="Yes",Include_study?="Yes"),COUNT(A$2:A164)+1,"")</f>
        <v/>
      </c>
      <c r="B165" s="17"/>
      <c r="C165" s="13" t="s">
        <v>11</v>
      </c>
      <c r="D165" s="10"/>
      <c r="E165" s="10"/>
      <c r="F165" s="10"/>
      <c r="G165" s="10"/>
      <c r="H165" s="10"/>
      <c r="I165" s="10"/>
      <c r="J165" s="149" t="str">
        <f t="shared" si="5"/>
        <v>No</v>
      </c>
      <c r="K165" s="5"/>
      <c r="L165" s="5"/>
    </row>
    <row r="166" spans="1:12" x14ac:dyDescent="0.2">
      <c r="A166" s="7" t="str">
        <f>IF(AND(Sufficient_data="Yes",Include_study?="Yes"),COUNT(A$2:A165)+1,"")</f>
        <v/>
      </c>
      <c r="B166" s="17"/>
      <c r="C166" s="13" t="s">
        <v>11</v>
      </c>
      <c r="D166" s="10"/>
      <c r="E166" s="10"/>
      <c r="F166" s="10"/>
      <c r="G166" s="10"/>
      <c r="H166" s="10"/>
      <c r="I166" s="10"/>
      <c r="J166" s="149" t="str">
        <f t="shared" si="5"/>
        <v>No</v>
      </c>
      <c r="K166" s="5"/>
      <c r="L166" s="5"/>
    </row>
    <row r="167" spans="1:12" x14ac:dyDescent="0.2">
      <c r="A167" s="7" t="str">
        <f>IF(AND(Sufficient_data="Yes",Include_study?="Yes"),COUNT(A$2:A166)+1,"")</f>
        <v/>
      </c>
      <c r="B167" s="17"/>
      <c r="C167" s="13" t="s">
        <v>11</v>
      </c>
      <c r="D167" s="10"/>
      <c r="E167" s="10"/>
      <c r="F167" s="10"/>
      <c r="G167" s="10"/>
      <c r="H167" s="10"/>
      <c r="I167" s="10"/>
      <c r="J167" s="149" t="str">
        <f t="shared" si="5"/>
        <v>No</v>
      </c>
      <c r="K167" s="5"/>
      <c r="L167" s="5"/>
    </row>
    <row r="168" spans="1:12" x14ac:dyDescent="0.2">
      <c r="A168" s="7" t="str">
        <f>IF(AND(Sufficient_data="Yes",Include_study?="Yes"),COUNT(A$2:A167)+1,"")</f>
        <v/>
      </c>
      <c r="B168" s="17"/>
      <c r="C168" s="13" t="s">
        <v>11</v>
      </c>
      <c r="D168" s="10"/>
      <c r="E168" s="10"/>
      <c r="F168" s="10"/>
      <c r="G168" s="10"/>
      <c r="H168" s="10"/>
      <c r="I168" s="10"/>
      <c r="J168" s="149" t="str">
        <f t="shared" si="5"/>
        <v>No</v>
      </c>
      <c r="K168" s="5"/>
      <c r="L168" s="5"/>
    </row>
    <row r="169" spans="1:12" x14ac:dyDescent="0.2">
      <c r="A169" s="7" t="str">
        <f>IF(AND(Sufficient_data="Yes",Include_study?="Yes"),COUNT(A$2:A168)+1,"")</f>
        <v/>
      </c>
      <c r="B169" s="17"/>
      <c r="C169" s="13" t="s">
        <v>11</v>
      </c>
      <c r="D169" s="10"/>
      <c r="E169" s="10"/>
      <c r="F169" s="10"/>
      <c r="G169" s="10"/>
      <c r="H169" s="10"/>
      <c r="I169" s="10"/>
      <c r="J169" s="149" t="str">
        <f t="shared" si="5"/>
        <v>No</v>
      </c>
      <c r="K169" s="5"/>
      <c r="L169" s="5"/>
    </row>
    <row r="170" spans="1:12" x14ac:dyDescent="0.2">
      <c r="A170" s="7" t="str">
        <f>IF(AND(Sufficient_data="Yes",Include_study?="Yes"),COUNT(A$2:A169)+1,"")</f>
        <v/>
      </c>
      <c r="B170" s="17"/>
      <c r="C170" s="13" t="s">
        <v>11</v>
      </c>
      <c r="D170" s="10"/>
      <c r="E170" s="10"/>
      <c r="F170" s="10"/>
      <c r="G170" s="10"/>
      <c r="H170" s="10"/>
      <c r="I170" s="10"/>
      <c r="J170" s="149" t="str">
        <f t="shared" si="5"/>
        <v>No</v>
      </c>
      <c r="K170" s="5"/>
      <c r="L170" s="5"/>
    </row>
    <row r="171" spans="1:12" x14ac:dyDescent="0.2">
      <c r="A171" s="7" t="str">
        <f>IF(AND(Sufficient_data="Yes",Include_study?="Yes"),COUNT(A$2:A170)+1,"")</f>
        <v/>
      </c>
      <c r="B171" s="17"/>
      <c r="C171" s="13" t="s">
        <v>11</v>
      </c>
      <c r="D171" s="10"/>
      <c r="E171" s="10"/>
      <c r="F171" s="10"/>
      <c r="G171" s="10"/>
      <c r="H171" s="10"/>
      <c r="I171" s="10"/>
      <c r="J171" s="149" t="str">
        <f t="shared" si="5"/>
        <v>No</v>
      </c>
      <c r="K171" s="5"/>
      <c r="L171" s="5"/>
    </row>
    <row r="172" spans="1:12" x14ac:dyDescent="0.2">
      <c r="A172" s="7" t="str">
        <f>IF(AND(Sufficient_data="Yes",Include_study?="Yes"),COUNT(A$2:A171)+1,"")</f>
        <v/>
      </c>
      <c r="B172" s="17"/>
      <c r="C172" s="13" t="s">
        <v>11</v>
      </c>
      <c r="D172" s="10"/>
      <c r="E172" s="10"/>
      <c r="F172" s="10"/>
      <c r="G172" s="10"/>
      <c r="H172" s="10"/>
      <c r="I172" s="10"/>
      <c r="J172" s="149" t="str">
        <f t="shared" si="5"/>
        <v>No</v>
      </c>
      <c r="K172" s="5"/>
      <c r="L172" s="5"/>
    </row>
    <row r="173" spans="1:12" x14ac:dyDescent="0.2">
      <c r="A173" s="7" t="str">
        <f>IF(AND(Sufficient_data="Yes",Include_study?="Yes"),COUNT(A$2:A172)+1,"")</f>
        <v/>
      </c>
      <c r="B173" s="17"/>
      <c r="C173" s="13" t="s">
        <v>11</v>
      </c>
      <c r="D173" s="10"/>
      <c r="E173" s="10"/>
      <c r="F173" s="10"/>
      <c r="G173" s="10"/>
      <c r="H173" s="10"/>
      <c r="I173" s="10"/>
      <c r="J173" s="149" t="str">
        <f t="shared" si="5"/>
        <v>No</v>
      </c>
      <c r="K173" s="5"/>
      <c r="L173" s="5"/>
    </row>
    <row r="174" spans="1:12" x14ac:dyDescent="0.2">
      <c r="A174" s="7" t="str">
        <f>IF(AND(Sufficient_data="Yes",Include_study?="Yes"),COUNT(A$2:A173)+1,"")</f>
        <v/>
      </c>
      <c r="B174" s="17"/>
      <c r="C174" s="13" t="s">
        <v>11</v>
      </c>
      <c r="D174" s="10"/>
      <c r="E174" s="10"/>
      <c r="F174" s="10"/>
      <c r="G174" s="10"/>
      <c r="H174" s="10"/>
      <c r="I174" s="10"/>
      <c r="J174" s="149" t="str">
        <f t="shared" si="5"/>
        <v>No</v>
      </c>
      <c r="K174" s="5"/>
      <c r="L174" s="5"/>
    </row>
    <row r="175" spans="1:12" x14ac:dyDescent="0.2">
      <c r="A175" s="7" t="str">
        <f>IF(AND(Sufficient_data="Yes",Include_study?="Yes"),COUNT(A$2:A174)+1,"")</f>
        <v/>
      </c>
      <c r="B175" s="17"/>
      <c r="C175" s="13" t="s">
        <v>11</v>
      </c>
      <c r="D175" s="10"/>
      <c r="E175" s="10"/>
      <c r="F175" s="10"/>
      <c r="G175" s="10"/>
      <c r="H175" s="10"/>
      <c r="I175" s="10"/>
      <c r="J175" s="149" t="str">
        <f t="shared" si="5"/>
        <v>No</v>
      </c>
      <c r="K175" s="5"/>
      <c r="L175" s="5"/>
    </row>
    <row r="176" spans="1:12" x14ac:dyDescent="0.2">
      <c r="A176" s="7" t="str">
        <f>IF(AND(Sufficient_data="Yes",Include_study?="Yes"),COUNT(A$2:A175)+1,"")</f>
        <v/>
      </c>
      <c r="B176" s="17"/>
      <c r="C176" s="13" t="s">
        <v>11</v>
      </c>
      <c r="D176" s="10"/>
      <c r="E176" s="10"/>
      <c r="F176" s="10"/>
      <c r="G176" s="10"/>
      <c r="H176" s="10"/>
      <c r="I176" s="10"/>
      <c r="J176" s="149" t="str">
        <f t="shared" si="5"/>
        <v>No</v>
      </c>
      <c r="K176" s="5"/>
      <c r="L176" s="5"/>
    </row>
    <row r="177" spans="1:12" x14ac:dyDescent="0.2">
      <c r="A177" s="7" t="str">
        <f>IF(AND(Sufficient_data="Yes",Include_study?="Yes"),COUNT(A$2:A176)+1,"")</f>
        <v/>
      </c>
      <c r="B177" s="17"/>
      <c r="C177" s="13" t="s">
        <v>11</v>
      </c>
      <c r="D177" s="10"/>
      <c r="E177" s="10"/>
      <c r="F177" s="10"/>
      <c r="G177" s="10"/>
      <c r="H177" s="10"/>
      <c r="I177" s="10"/>
      <c r="J177" s="149" t="str">
        <f t="shared" si="5"/>
        <v>No</v>
      </c>
      <c r="K177" s="5"/>
      <c r="L177" s="5"/>
    </row>
    <row r="178" spans="1:12" x14ac:dyDescent="0.2">
      <c r="A178" s="7" t="str">
        <f>IF(AND(Sufficient_data="Yes",Include_study?="Yes"),COUNT(A$2:A177)+1,"")</f>
        <v/>
      </c>
      <c r="B178" s="17"/>
      <c r="C178" s="13" t="s">
        <v>11</v>
      </c>
      <c r="D178" s="10"/>
      <c r="E178" s="10"/>
      <c r="F178" s="10"/>
      <c r="G178" s="10"/>
      <c r="H178" s="10"/>
      <c r="I178" s="10"/>
      <c r="J178" s="149" t="str">
        <f t="shared" si="5"/>
        <v>No</v>
      </c>
      <c r="K178" s="5"/>
      <c r="L178" s="5"/>
    </row>
    <row r="179" spans="1:12" x14ac:dyDescent="0.2">
      <c r="A179" s="7" t="str">
        <f>IF(AND(Sufficient_data="Yes",Include_study?="Yes"),COUNT(A$2:A178)+1,"")</f>
        <v/>
      </c>
      <c r="B179" s="17"/>
      <c r="C179" s="13" t="s">
        <v>11</v>
      </c>
      <c r="D179" s="10"/>
      <c r="E179" s="10"/>
      <c r="F179" s="10"/>
      <c r="G179" s="10"/>
      <c r="H179" s="10"/>
      <c r="I179" s="10"/>
      <c r="J179" s="149" t="str">
        <f t="shared" si="5"/>
        <v>No</v>
      </c>
      <c r="K179" s="5"/>
      <c r="L179" s="5"/>
    </row>
    <row r="180" spans="1:12" x14ac:dyDescent="0.2">
      <c r="A180" s="7" t="str">
        <f>IF(AND(Sufficient_data="Yes",Include_study?="Yes"),COUNT(A$2:A179)+1,"")</f>
        <v/>
      </c>
      <c r="B180" s="17"/>
      <c r="C180" s="13" t="s">
        <v>11</v>
      </c>
      <c r="D180" s="10"/>
      <c r="E180" s="10"/>
      <c r="F180" s="10"/>
      <c r="G180" s="10"/>
      <c r="H180" s="10"/>
      <c r="I180" s="10"/>
      <c r="J180" s="149" t="str">
        <f t="shared" si="5"/>
        <v>No</v>
      </c>
      <c r="K180" s="5"/>
      <c r="L180" s="5"/>
    </row>
    <row r="181" spans="1:12" x14ac:dyDescent="0.2">
      <c r="A181" s="7" t="str">
        <f>IF(AND(Sufficient_data="Yes",Include_study?="Yes"),COUNT(A$2:A180)+1,"")</f>
        <v/>
      </c>
      <c r="B181" s="17"/>
      <c r="C181" s="13" t="s">
        <v>11</v>
      </c>
      <c r="D181" s="10"/>
      <c r="E181" s="10"/>
      <c r="F181" s="10"/>
      <c r="G181" s="10"/>
      <c r="H181" s="10"/>
      <c r="I181" s="10"/>
      <c r="J181" s="149" t="str">
        <f t="shared" si="5"/>
        <v>No</v>
      </c>
      <c r="K181" s="5"/>
      <c r="L181" s="5"/>
    </row>
    <row r="182" spans="1:12" x14ac:dyDescent="0.2">
      <c r="A182" s="7" t="str">
        <f>IF(AND(Sufficient_data="Yes",Include_study?="Yes"),COUNT(A$2:A181)+1,"")</f>
        <v/>
      </c>
      <c r="B182" s="17"/>
      <c r="C182" s="13" t="s">
        <v>11</v>
      </c>
      <c r="D182" s="10"/>
      <c r="E182" s="10"/>
      <c r="F182" s="10"/>
      <c r="G182" s="10"/>
      <c r="H182" s="10"/>
      <c r="I182" s="10"/>
      <c r="J182" s="149" t="str">
        <f t="shared" si="5"/>
        <v>No</v>
      </c>
      <c r="K182" s="5"/>
      <c r="L182" s="5"/>
    </row>
    <row r="183" spans="1:12" x14ac:dyDescent="0.2">
      <c r="A183" s="7" t="str">
        <f>IF(AND(Sufficient_data="Yes",Include_study?="Yes"),COUNT(A$2:A182)+1,"")</f>
        <v/>
      </c>
      <c r="B183" s="17"/>
      <c r="C183" s="13" t="s">
        <v>11</v>
      </c>
      <c r="D183" s="10"/>
      <c r="E183" s="10"/>
      <c r="F183" s="10"/>
      <c r="G183" s="10"/>
      <c r="H183" s="10"/>
      <c r="I183" s="10"/>
      <c r="J183" s="149" t="str">
        <f t="shared" si="5"/>
        <v>No</v>
      </c>
      <c r="K183" s="5"/>
      <c r="L183" s="5"/>
    </row>
    <row r="184" spans="1:12" x14ac:dyDescent="0.2">
      <c r="A184" s="7" t="str">
        <f>IF(AND(Sufficient_data="Yes",Include_study?="Yes"),COUNT(A$2:A183)+1,"")</f>
        <v/>
      </c>
      <c r="B184" s="17"/>
      <c r="C184" s="13" t="s">
        <v>11</v>
      </c>
      <c r="D184" s="10"/>
      <c r="E184" s="10"/>
      <c r="F184" s="10"/>
      <c r="G184" s="10"/>
      <c r="H184" s="10"/>
      <c r="I184" s="10"/>
      <c r="J184" s="149" t="str">
        <f t="shared" si="5"/>
        <v>No</v>
      </c>
      <c r="K184" s="5"/>
      <c r="L184" s="5"/>
    </row>
    <row r="185" spans="1:12" x14ac:dyDescent="0.2">
      <c r="A185" s="7" t="str">
        <f>IF(AND(Sufficient_data="Yes",Include_study?="Yes"),COUNT(A$2:A184)+1,"")</f>
        <v/>
      </c>
      <c r="B185" s="17"/>
      <c r="C185" s="13" t="s">
        <v>11</v>
      </c>
      <c r="D185" s="10"/>
      <c r="E185" s="10"/>
      <c r="F185" s="10"/>
      <c r="G185" s="10"/>
      <c r="H185" s="10"/>
      <c r="I185" s="10"/>
      <c r="J185" s="149" t="str">
        <f t="shared" si="5"/>
        <v>No</v>
      </c>
      <c r="K185" s="5"/>
      <c r="L185" s="5"/>
    </row>
    <row r="186" spans="1:12" x14ac:dyDescent="0.2">
      <c r="A186" s="7" t="str">
        <f>IF(AND(Sufficient_data="Yes",Include_study?="Yes"),COUNT(A$2:A185)+1,"")</f>
        <v/>
      </c>
      <c r="B186" s="17"/>
      <c r="C186" s="13" t="s">
        <v>11</v>
      </c>
      <c r="D186" s="10"/>
      <c r="E186" s="10"/>
      <c r="F186" s="10"/>
      <c r="G186" s="10"/>
      <c r="H186" s="10"/>
      <c r="I186" s="10"/>
      <c r="J186" s="149" t="str">
        <f t="shared" si="5"/>
        <v>No</v>
      </c>
      <c r="K186" s="5"/>
      <c r="L186" s="5"/>
    </row>
    <row r="187" spans="1:12" x14ac:dyDescent="0.2">
      <c r="A187" s="7" t="str">
        <f>IF(AND(Sufficient_data="Yes",Include_study?="Yes"),COUNT(A$2:A186)+1,"")</f>
        <v/>
      </c>
      <c r="B187" s="17"/>
      <c r="C187" s="13" t="s">
        <v>11</v>
      </c>
      <c r="D187" s="10"/>
      <c r="E187" s="10"/>
      <c r="F187" s="10"/>
      <c r="G187" s="10"/>
      <c r="H187" s="10"/>
      <c r="I187" s="10"/>
      <c r="J187" s="149" t="str">
        <f t="shared" si="5"/>
        <v>No</v>
      </c>
      <c r="K187" s="5"/>
      <c r="L187" s="5"/>
    </row>
    <row r="188" spans="1:12" x14ac:dyDescent="0.2">
      <c r="A188" s="7" t="str">
        <f>IF(AND(Sufficient_data="Yes",Include_study?="Yes"),COUNT(A$2:A187)+1,"")</f>
        <v/>
      </c>
      <c r="B188" s="17"/>
      <c r="C188" s="13" t="s">
        <v>11</v>
      </c>
      <c r="D188" s="10"/>
      <c r="E188" s="10"/>
      <c r="F188" s="10"/>
      <c r="G188" s="10"/>
      <c r="H188" s="10"/>
      <c r="I188" s="10"/>
      <c r="J188" s="149" t="str">
        <f t="shared" si="5"/>
        <v>No</v>
      </c>
      <c r="K188" s="5"/>
      <c r="L188" s="5"/>
    </row>
    <row r="189" spans="1:12" x14ac:dyDescent="0.2">
      <c r="A189" s="7" t="str">
        <f>IF(AND(Sufficient_data="Yes",Include_study?="Yes"),COUNT(A$2:A188)+1,"")</f>
        <v/>
      </c>
      <c r="B189" s="17"/>
      <c r="C189" s="13" t="s">
        <v>11</v>
      </c>
      <c r="D189" s="10"/>
      <c r="E189" s="10"/>
      <c r="F189" s="10"/>
      <c r="G189" s="10"/>
      <c r="H189" s="10"/>
      <c r="I189" s="10"/>
      <c r="J189" s="149" t="str">
        <f t="shared" si="5"/>
        <v>No</v>
      </c>
      <c r="K189" s="5"/>
      <c r="L189" s="5"/>
    </row>
    <row r="190" spans="1:12" x14ac:dyDescent="0.2">
      <c r="A190" s="7" t="str">
        <f>IF(AND(Sufficient_data="Yes",Include_study?="Yes"),COUNT(A$2:A189)+1,"")</f>
        <v/>
      </c>
      <c r="B190" s="17"/>
      <c r="C190" s="13" t="s">
        <v>11</v>
      </c>
      <c r="D190" s="10"/>
      <c r="E190" s="10"/>
      <c r="F190" s="10"/>
      <c r="G190" s="10"/>
      <c r="H190" s="10"/>
      <c r="I190" s="10"/>
      <c r="J190" s="149" t="str">
        <f t="shared" si="5"/>
        <v>No</v>
      </c>
      <c r="K190" s="5"/>
      <c r="L190" s="5"/>
    </row>
    <row r="191" spans="1:12" x14ac:dyDescent="0.2">
      <c r="A191" s="7" t="str">
        <f>IF(AND(Sufficient_data="Yes",Include_study?="Yes"),COUNT(A$2:A190)+1,"")</f>
        <v/>
      </c>
      <c r="B191" s="17"/>
      <c r="C191" s="13" t="s">
        <v>11</v>
      </c>
      <c r="D191" s="10"/>
      <c r="E191" s="10"/>
      <c r="F191" s="10"/>
      <c r="G191" s="10"/>
      <c r="H191" s="10"/>
      <c r="I191" s="10"/>
      <c r="J191" s="149" t="str">
        <f t="shared" si="5"/>
        <v>No</v>
      </c>
      <c r="K191" s="5"/>
      <c r="L191" s="5"/>
    </row>
    <row r="192" spans="1:12" x14ac:dyDescent="0.2">
      <c r="A192" s="7" t="str">
        <f>IF(AND(Sufficient_data="Yes",Include_study?="Yes"),COUNT(A$2:A191)+1,"")</f>
        <v/>
      </c>
      <c r="B192" s="17"/>
      <c r="C192" s="13" t="s">
        <v>11</v>
      </c>
      <c r="D192" s="10"/>
      <c r="E192" s="10"/>
      <c r="F192" s="10"/>
      <c r="G192" s="10"/>
      <c r="H192" s="10"/>
      <c r="I192" s="10"/>
      <c r="J192" s="149" t="str">
        <f t="shared" si="5"/>
        <v>No</v>
      </c>
      <c r="K192" s="5"/>
      <c r="L192" s="5"/>
    </row>
    <row r="193" spans="1:12" x14ac:dyDescent="0.2">
      <c r="A193" s="7" t="str">
        <f>IF(AND(Sufficient_data="Yes",Include_study?="Yes"),COUNT(A$2:A192)+1,"")</f>
        <v/>
      </c>
      <c r="B193" s="17"/>
      <c r="C193" s="13" t="s">
        <v>11</v>
      </c>
      <c r="D193" s="10"/>
      <c r="E193" s="10"/>
      <c r="F193" s="10"/>
      <c r="G193" s="10"/>
      <c r="H193" s="10"/>
      <c r="I193" s="10"/>
      <c r="J193" s="149" t="str">
        <f t="shared" si="5"/>
        <v>No</v>
      </c>
      <c r="K193" s="5"/>
      <c r="L193" s="5"/>
    </row>
    <row r="194" spans="1:12" x14ac:dyDescent="0.2">
      <c r="A194" s="7" t="str">
        <f>IF(AND(Sufficient_data="Yes",Include_study?="Yes"),COUNT(A$2:A193)+1,"")</f>
        <v/>
      </c>
      <c r="B194" s="17"/>
      <c r="C194" s="13" t="s">
        <v>11</v>
      </c>
      <c r="D194" s="10"/>
      <c r="E194" s="10"/>
      <c r="F194" s="10"/>
      <c r="G194" s="10"/>
      <c r="H194" s="10"/>
      <c r="I194" s="10"/>
      <c r="J194" s="149" t="str">
        <f t="shared" ref="J194:J201" si="6">IF(AND(OR(AND(a_&lt;&gt;"",b_&lt;&gt;""),AND(OR(a_&lt;&gt;"",b_&lt;&gt;""),n1_&lt;&gt;"")),OR(AND(c_&lt;&gt;"",d_&lt;&gt;""),AND(OR(c_&lt;&gt;"",d_&lt;&gt;""),n2_&lt;&gt;""))),"Yes","No")</f>
        <v>No</v>
      </c>
      <c r="K194" s="5"/>
      <c r="L194" s="5"/>
    </row>
    <row r="195" spans="1:12" x14ac:dyDescent="0.2">
      <c r="A195" s="7" t="str">
        <f>IF(AND(Sufficient_data="Yes",Include_study?="Yes"),COUNT(A$2:A194)+1,"")</f>
        <v/>
      </c>
      <c r="B195" s="17"/>
      <c r="C195" s="13" t="s">
        <v>11</v>
      </c>
      <c r="D195" s="10"/>
      <c r="E195" s="10"/>
      <c r="F195" s="10"/>
      <c r="G195" s="10"/>
      <c r="H195" s="10"/>
      <c r="I195" s="10"/>
      <c r="J195" s="149" t="str">
        <f t="shared" si="6"/>
        <v>No</v>
      </c>
      <c r="K195" s="5"/>
      <c r="L195" s="5"/>
    </row>
    <row r="196" spans="1:12" x14ac:dyDescent="0.2">
      <c r="A196" s="7" t="str">
        <f>IF(AND(Sufficient_data="Yes",Include_study?="Yes"),COUNT(A$2:A195)+1,"")</f>
        <v/>
      </c>
      <c r="B196" s="17"/>
      <c r="C196" s="13" t="s">
        <v>11</v>
      </c>
      <c r="D196" s="10"/>
      <c r="E196" s="10"/>
      <c r="F196" s="10"/>
      <c r="G196" s="10"/>
      <c r="H196" s="10"/>
      <c r="I196" s="10"/>
      <c r="J196" s="149" t="str">
        <f t="shared" si="6"/>
        <v>No</v>
      </c>
      <c r="K196" s="5"/>
      <c r="L196" s="5"/>
    </row>
    <row r="197" spans="1:12" x14ac:dyDescent="0.2">
      <c r="A197" s="7" t="str">
        <f>IF(AND(Sufficient_data="Yes",Include_study?="Yes"),COUNT(A$2:A196)+1,"")</f>
        <v/>
      </c>
      <c r="B197" s="17"/>
      <c r="C197" s="13" t="s">
        <v>11</v>
      </c>
      <c r="D197" s="10"/>
      <c r="E197" s="10"/>
      <c r="F197" s="10"/>
      <c r="G197" s="10"/>
      <c r="H197" s="10"/>
      <c r="I197" s="10"/>
      <c r="J197" s="149" t="str">
        <f t="shared" si="6"/>
        <v>No</v>
      </c>
      <c r="K197" s="5"/>
      <c r="L197" s="5"/>
    </row>
    <row r="198" spans="1:12" x14ac:dyDescent="0.2">
      <c r="A198" s="7" t="str">
        <f>IF(AND(Sufficient_data="Yes",Include_study?="Yes"),COUNT(A$2:A197)+1,"")</f>
        <v/>
      </c>
      <c r="B198" s="17"/>
      <c r="C198" s="13" t="s">
        <v>11</v>
      </c>
      <c r="D198" s="10"/>
      <c r="E198" s="10"/>
      <c r="F198" s="10"/>
      <c r="G198" s="10"/>
      <c r="H198" s="10"/>
      <c r="I198" s="10"/>
      <c r="J198" s="149" t="str">
        <f t="shared" si="6"/>
        <v>No</v>
      </c>
      <c r="K198" s="5"/>
      <c r="L198" s="5"/>
    </row>
    <row r="199" spans="1:12" x14ac:dyDescent="0.2">
      <c r="A199" s="7" t="str">
        <f>IF(AND(Sufficient_data="Yes",Include_study?="Yes"),COUNT(A$2:A198)+1,"")</f>
        <v/>
      </c>
      <c r="B199" s="17"/>
      <c r="C199" s="13" t="s">
        <v>11</v>
      </c>
      <c r="D199" s="10"/>
      <c r="E199" s="10"/>
      <c r="F199" s="10"/>
      <c r="G199" s="10"/>
      <c r="H199" s="10"/>
      <c r="I199" s="10"/>
      <c r="J199" s="149" t="str">
        <f t="shared" si="6"/>
        <v>No</v>
      </c>
      <c r="K199" s="5"/>
      <c r="L199" s="5"/>
    </row>
    <row r="200" spans="1:12" x14ac:dyDescent="0.2">
      <c r="A200" s="7" t="str">
        <f>IF(AND(Sufficient_data="Yes",Include_study?="Yes"),COUNT(A$2:A199)+1,"")</f>
        <v/>
      </c>
      <c r="B200" s="17"/>
      <c r="C200" s="13" t="s">
        <v>11</v>
      </c>
      <c r="D200" s="10"/>
      <c r="E200" s="10"/>
      <c r="F200" s="10"/>
      <c r="G200" s="10"/>
      <c r="H200" s="10"/>
      <c r="I200" s="10"/>
      <c r="J200" s="149" t="str">
        <f t="shared" si="6"/>
        <v>No</v>
      </c>
      <c r="K200" s="5"/>
      <c r="L200" s="5"/>
    </row>
    <row r="201" spans="1:12" x14ac:dyDescent="0.2">
      <c r="A201" s="7" t="str">
        <f>IF(AND(Sufficient_data="Yes",Include_study?="Yes"),COUNT(A$2:A200)+1,"")</f>
        <v/>
      </c>
      <c r="B201" s="121"/>
      <c r="C201" s="122" t="s">
        <v>11</v>
      </c>
      <c r="D201" s="123"/>
      <c r="E201" s="123"/>
      <c r="F201" s="123"/>
      <c r="G201" s="123"/>
      <c r="H201" s="123"/>
      <c r="I201" s="123"/>
      <c r="J201" s="149" t="str">
        <f t="shared" si="6"/>
        <v>No</v>
      </c>
      <c r="K201" s="122"/>
      <c r="L201" s="122"/>
    </row>
  </sheetData>
  <dataValidations count="1">
    <dataValidation type="list" allowBlank="1" showInputMessage="1" showErrorMessage="1" sqref="C2:C201" xr:uid="{00000000-0002-0000-0000-000000000000}">
      <formula1>"Yes, No"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01"/>
  <sheetViews>
    <sheetView showGridLines="0" zoomScaleNormal="100" workbookViewId="0">
      <pane ySplit="1" topLeftCell="A2" activePane="bottomLeft" state="frozen"/>
      <selection pane="bottomLeft" activeCell="B20" sqref="B20"/>
    </sheetView>
  </sheetViews>
  <sheetFormatPr defaultColWidth="39.1640625" defaultRowHeight="12" outlineLevelCol="1" x14ac:dyDescent="0.2"/>
  <cols>
    <col min="1" max="1" width="31.83203125" bestFit="1" customWidth="1"/>
    <col min="2" max="2" width="22.1640625" bestFit="1" customWidth="1"/>
    <col min="3" max="3" width="3.33203125" customWidth="1"/>
    <col min="4" max="4" width="4.1640625" style="6" bestFit="1" customWidth="1"/>
    <col min="5" max="5" width="11" style="25" bestFit="1" customWidth="1"/>
    <col min="6" max="6" width="9.5" bestFit="1" customWidth="1"/>
    <col min="7" max="8" width="12.5" bestFit="1" customWidth="1"/>
    <col min="9" max="9" width="7.1640625" bestFit="1" customWidth="1"/>
    <col min="10" max="10" width="10.1640625" style="6" bestFit="1" customWidth="1"/>
    <col min="11" max="11" width="24.1640625" bestFit="1" customWidth="1"/>
    <col min="12" max="12" width="100" customWidth="1" outlineLevel="1"/>
    <col min="13" max="13" width="5.5" style="45" bestFit="1" customWidth="1"/>
    <col min="14" max="14" width="100" customWidth="1" outlineLevel="1"/>
    <col min="15" max="15" width="5.5" style="45" bestFit="1" customWidth="1"/>
  </cols>
  <sheetData>
    <row r="1" spans="1:15" ht="36" customHeight="1" x14ac:dyDescent="0.2">
      <c r="A1" s="178" t="s">
        <v>201</v>
      </c>
      <c r="B1" s="178"/>
      <c r="D1" s="1" t="s">
        <v>0</v>
      </c>
      <c r="E1" s="23" t="s">
        <v>22</v>
      </c>
      <c r="F1" s="1" t="str">
        <f>IF(Present_Effect_size_measure&lt;&gt;"",Present_Effect_size_measure,"")</f>
        <v>Odds Ratio</v>
      </c>
      <c r="G1" s="1" t="s">
        <v>18</v>
      </c>
      <c r="H1" s="1" t="s">
        <v>19</v>
      </c>
      <c r="I1" s="1" t="s">
        <v>4</v>
      </c>
      <c r="J1" s="1" t="str">
        <f>IF(OR(Sort_by=K4,Sort_by=K8,AND(Sort_by=K6,Meta_analysis_model="Random effects model"),AND(Sort_by=K7,Meta_analysis_model="Fixed effect model")),Sort_by,"")</f>
        <v/>
      </c>
      <c r="M1" s="154"/>
      <c r="O1" s="150"/>
    </row>
    <row r="2" spans="1:15" x14ac:dyDescent="0.2">
      <c r="A2" s="3" t="s">
        <v>172</v>
      </c>
      <c r="B2" s="42" t="s">
        <v>325</v>
      </c>
      <c r="D2" s="88">
        <v>1</v>
      </c>
      <c r="E2" s="24" t="str">
        <f>IF(Number&lt;=COUNT(Entry_number),INDEX(Lookup_table,MATCH(Number,Calculations!AK:AK,0),3),"")</f>
        <v>aaaa</v>
      </c>
      <c r="F2" s="4">
        <f>IF(Ranked_number&lt;=COUNT(Entry_number),INDEX(Lookup_table,MATCH(Number,Calculations!AK:AK,0),5),"")</f>
        <v>2.875</v>
      </c>
      <c r="G2" s="4">
        <f>IF(Ranked_number&lt;=COUNT(Entry_number),INDEX(Lookup_table,MATCH(Number,Calculations!AK:AK,0),9),"")</f>
        <v>0.82373332925029641</v>
      </c>
      <c r="H2" s="4">
        <f>IF(Ranked_number&lt;=COUNT(Entry_number),INDEX(Lookup_table,MATCH(Number,Calculations!AK:AK,0),10),"")</f>
        <v>10.034345711764251</v>
      </c>
      <c r="I2" s="30">
        <f>IF(D2&lt;=COUNT(Entry_number),INDEX(Lookup_table,MATCH(Number,Calculations!AK:AK,0),11),"")</f>
        <v>5.1911222229913095E-2</v>
      </c>
      <c r="J2" s="113" t="str">
        <f>IF(D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K2" s="55" t="s">
        <v>65</v>
      </c>
      <c r="M2" s="175" t="s">
        <v>237</v>
      </c>
      <c r="O2" s="176" t="s">
        <v>323</v>
      </c>
    </row>
    <row r="3" spans="1:15" x14ac:dyDescent="0.2">
      <c r="A3" s="3" t="s">
        <v>23</v>
      </c>
      <c r="B3" s="43">
        <v>0.95</v>
      </c>
      <c r="D3" s="89">
        <v>2</v>
      </c>
      <c r="E3" s="24" t="str">
        <f>IF(Number&lt;=COUNT(Entry_number),INDEX(Lookup_table,MATCH(Number,Calculations!AK:AK,0),3),"")</f>
        <v>bbbb</v>
      </c>
      <c r="F3" s="4">
        <f>IF(Ranked_number&lt;=COUNT(Entry_number),INDEX(Lookup_table,MATCH(Number,Calculations!AK:AK,0),5),"")</f>
        <v>1.962962962962963</v>
      </c>
      <c r="G3" s="4">
        <f>IF(Ranked_number&lt;=COUNT(Entry_number),INDEX(Lookup_table,MATCH(Number,Calculations!AK:AK,0),9),"")</f>
        <v>0.85905890822261832</v>
      </c>
      <c r="H3" s="4">
        <f>IF(Ranked_number&lt;=COUNT(Entry_number),INDEX(Lookup_table,MATCH(Number,Calculations!AK:AK,0),10),"")</f>
        <v>4.4854008928638018</v>
      </c>
      <c r="I3" s="30">
        <f>IF(D3&lt;=COUNT(Entry_number),INDEX(Lookup_table,MATCH(Number,Calculations!AK:AK,0),11),"")</f>
        <v>0.10910214442402615</v>
      </c>
      <c r="J3" s="114" t="str">
        <f>IF(D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K3" s="55" t="s">
        <v>22</v>
      </c>
      <c r="M3" s="175"/>
      <c r="O3" s="176"/>
    </row>
    <row r="4" spans="1:15" x14ac:dyDescent="0.2">
      <c r="D4" s="89">
        <v>3</v>
      </c>
      <c r="E4" s="24" t="str">
        <f>IF(Number&lt;=COUNT(Entry_number),INDEX(Lookup_table,MATCH(Number,Calculations!AK:AK,0),3),"")</f>
        <v>cccc</v>
      </c>
      <c r="F4" s="4">
        <f>IF(Ranked_number&lt;=COUNT(Entry_number),INDEX(Lookup_table,MATCH(Number,Calculations!AK:AK,0),5),"")</f>
        <v>0.73333333333333328</v>
      </c>
      <c r="G4" s="4">
        <f>IF(Ranked_number&lt;=COUNT(Entry_number),INDEX(Lookup_table,MATCH(Number,Calculations!AK:AK,0),9),"")</f>
        <v>0.29599428716990839</v>
      </c>
      <c r="H4" s="4">
        <f>IF(Ranked_number&lt;=COUNT(Entry_number),INDEX(Lookup_table,MATCH(Number,Calculations!AK:AK,0),10),"")</f>
        <v>1.8168518822428461</v>
      </c>
      <c r="I4" s="30">
        <f>IF(D4&lt;=COUNT(Entry_number),INDEX(Lookup_table,MATCH(Number,Calculations!AK:AK,0),11),"")</f>
        <v>9.3666807462248092E-2</v>
      </c>
      <c r="J4" s="114" t="str">
        <f>IF(D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K4" s="55" t="s">
        <v>91</v>
      </c>
      <c r="M4" s="175"/>
      <c r="O4" s="176"/>
    </row>
    <row r="5" spans="1:15" x14ac:dyDescent="0.2">
      <c r="A5" s="178" t="s">
        <v>291</v>
      </c>
      <c r="B5" s="178"/>
      <c r="D5" s="89">
        <v>4</v>
      </c>
      <c r="E5" s="24" t="str">
        <f>IF(Number&lt;=COUNT(Entry_number),INDEX(Lookup_table,MATCH(Number,Calculations!AK:AK,0),3),"")</f>
        <v>dddd</v>
      </c>
      <c r="F5" s="4">
        <f>IF(Ranked_number&lt;=COUNT(Entry_number),INDEX(Lookup_table,MATCH(Number,Calculations!AK:AK,0),5),"")</f>
        <v>1.625</v>
      </c>
      <c r="G5" s="4">
        <f>IF(Ranked_number&lt;=COUNT(Entry_number),INDEX(Lookup_table,MATCH(Number,Calculations!AK:AK,0),9),"")</f>
        <v>0.87387595289696185</v>
      </c>
      <c r="H5" s="4">
        <f>IF(Ranked_number&lt;=COUNT(Entry_number),INDEX(Lookup_table,MATCH(Number,Calculations!AK:AK,0),10),"")</f>
        <v>3.0217389450369216</v>
      </c>
      <c r="I5" s="30">
        <f>IF(D5&lt;=COUNT(Entry_number),INDEX(Lookup_table,MATCH(Number,Calculations!AK:AK,0),11),"")</f>
        <v>0.17372656692886568</v>
      </c>
      <c r="J5" s="114" t="str">
        <f>IF(D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K5" s="55" t="str">
        <f>Present_Effect_size_measure</f>
        <v>Odds Ratio</v>
      </c>
      <c r="M5" s="175"/>
      <c r="O5" s="176"/>
    </row>
    <row r="6" spans="1:15" x14ac:dyDescent="0.2">
      <c r="A6" s="3" t="s">
        <v>214</v>
      </c>
      <c r="B6" s="5" t="s">
        <v>14</v>
      </c>
      <c r="D6" s="89">
        <v>5</v>
      </c>
      <c r="E6" s="24" t="str">
        <f>IF(Number&lt;=COUNT(Entry_number),INDEX(Lookup_table,MATCH(Number,Calculations!AK:AK,0),3),"")</f>
        <v>eeee</v>
      </c>
      <c r="F6" s="4">
        <f>IF(Ranked_number&lt;=COUNT(Entry_number),INDEX(Lookup_table,MATCH(Number,Calculations!AK:AK,0),5),"")</f>
        <v>1.9636363636363636</v>
      </c>
      <c r="G6" s="4">
        <f>IF(Ranked_number&lt;=COUNT(Entry_number),INDEX(Lookup_table,MATCH(Number,Calculations!AK:AK,0),9),"")</f>
        <v>0.79457901264815833</v>
      </c>
      <c r="H6" s="4">
        <f>IF(Ranked_number&lt;=COUNT(Entry_number),INDEX(Lookup_table,MATCH(Number,Calculations!AK:AK,0),10),"")</f>
        <v>4.8527178634435311</v>
      </c>
      <c r="I6" s="30">
        <f>IF(D6&lt;=COUNT(Entry_number),INDEX(Lookup_table,MATCH(Number,Calculations!AK:AK,0),11),"")</f>
        <v>9.3707077815565476E-2</v>
      </c>
      <c r="J6" s="114" t="str">
        <f>IF(D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K6" s="55" t="s">
        <v>197</v>
      </c>
      <c r="M6" s="175"/>
      <c r="O6" s="176"/>
    </row>
    <row r="7" spans="1:15" x14ac:dyDescent="0.2">
      <c r="A7" s="3" t="s">
        <v>292</v>
      </c>
      <c r="B7" s="5" t="s">
        <v>13</v>
      </c>
      <c r="D7" s="89">
        <v>6</v>
      </c>
      <c r="E7" s="24" t="str">
        <f>IF(Number&lt;=COUNT(Entry_number),INDEX(Lookup_table,MATCH(Number,Calculations!AK:AK,0),3),"")</f>
        <v>ffff</v>
      </c>
      <c r="F7" s="4">
        <f>IF(Ranked_number&lt;=COUNT(Entry_number),INDEX(Lookup_table,MATCH(Number,Calculations!AK:AK,0),5),"")</f>
        <v>2.125</v>
      </c>
      <c r="G7" s="4">
        <f>IF(Ranked_number&lt;=COUNT(Entry_number),INDEX(Lookup_table,MATCH(Number,Calculations!AK:AK,0),9),"")</f>
        <v>0.83117621021699595</v>
      </c>
      <c r="H7" s="4">
        <f>IF(Ranked_number&lt;=COUNT(Entry_number),INDEX(Lookup_table,MATCH(Number,Calculations!AK:AK,0),10),"")</f>
        <v>5.4328130960595002</v>
      </c>
      <c r="I7" s="30">
        <f>IF(D7&lt;=COUNT(Entry_number),INDEX(Lookup_table,MATCH(Number,Calculations!AK:AK,0),11),"")</f>
        <v>8.7895795786908593E-2</v>
      </c>
      <c r="J7" s="114" t="str">
        <f>IF(D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K7" s="55" t="s">
        <v>202</v>
      </c>
      <c r="M7" s="175"/>
      <c r="O7" s="176"/>
    </row>
    <row r="8" spans="1:15" x14ac:dyDescent="0.2">
      <c r="A8" s="3" t="s">
        <v>293</v>
      </c>
      <c r="B8" s="5" t="s">
        <v>13</v>
      </c>
      <c r="D8" s="89">
        <v>7</v>
      </c>
      <c r="E8" s="24" t="str">
        <f>IF(Number&lt;=COUNT(Entry_number),INDEX(Lookup_table,MATCH(Number,Calculations!AK:AK,0),3),"")</f>
        <v>gggg</v>
      </c>
      <c r="F8" s="4">
        <f>IF(Ranked_number&lt;=COUNT(Entry_number),INDEX(Lookup_table,MATCH(Number,Calculations!AK:AK,0),5),"")</f>
        <v>0.88235294117647056</v>
      </c>
      <c r="G8" s="4">
        <f>IF(Ranked_number&lt;=COUNT(Entry_number),INDEX(Lookup_table,MATCH(Number,Calculations!AK:AK,0),9),"")</f>
        <v>0.32735110431121434</v>
      </c>
      <c r="H8" s="4">
        <f>IF(Ranked_number&lt;=COUNT(Entry_number),INDEX(Lookup_table,MATCH(Number,Calculations!AK:AK,0),10),"")</f>
        <v>2.3783231599017296</v>
      </c>
      <c r="I8" s="30">
        <f>IF(D8&lt;=COUNT(Entry_number),INDEX(Lookup_table,MATCH(Number,Calculations!AK:AK,0),11),"")</f>
        <v>7.9169129881670117E-2</v>
      </c>
      <c r="J8" s="114" t="str">
        <f>IF(D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K8" s="55" t="str">
        <f>IF(Present_Effect_size_measure="Risk Difference","Standard error","Standard error log")</f>
        <v>Standard error log</v>
      </c>
      <c r="M8" s="175"/>
      <c r="O8" s="176"/>
    </row>
    <row r="9" spans="1:15" x14ac:dyDescent="0.2">
      <c r="A9" s="158" t="s">
        <v>300</v>
      </c>
      <c r="B9" s="170" t="str">
        <f>IF(OR(AND(Weighting_method="Inverse variance",OR(AND(Model_effect_size_measure="Odds Ratio",OR(Present_Effect_size_measure="Odds Ratio",Present_Effect_size_measure="Risk Ratio",Present_Effect_size_measure="Risk Difference")),AND(Model_effect_size_measure="Risk Ratio",OR(Present_Effect_size_measure="Risk Ratio",Present_Effect_size_measure="Risk Difference")),AND(Model_effect_size_measure="Risk Difference",Present_Effect_size_measure="Risk Difference"))),AND(Weighting_method="Mantel-Haenszel",Model_effect_size_measure="Odds Ratio",OR(Present_Effect_size_measure="Odds Ratio",Present_Effect_size_measure="Risk Ratio",Present_Effect_size_measure="Risk Difference")),AND(Weighting_method="Peto",Model_effect_size_measure="Peto Odds Ratio",OR(Present_Effect_size_measure="Peto Odds Ratio",Present_Effect_size_measure="Risk Ratio",Present_Effect_size_measure="Risk Difference"))),"Yes","No")</f>
        <v>Yes</v>
      </c>
      <c r="D9" s="89">
        <v>8</v>
      </c>
      <c r="E9" s="24" t="str">
        <f>IF(Number&lt;=COUNT(Entry_number),INDEX(Lookup_table,MATCH(Number,Calculations!AK:AK,0),3),"")</f>
        <v>hhhh</v>
      </c>
      <c r="F9" s="4">
        <f>IF(Ranked_number&lt;=COUNT(Entry_number),INDEX(Lookup_table,MATCH(Number,Calculations!AK:AK,0),5),"")</f>
        <v>2.95</v>
      </c>
      <c r="G9" s="4">
        <f>IF(Ranked_number&lt;=COUNT(Entry_number),INDEX(Lookup_table,MATCH(Number,Calculations!AK:AK,0),9),"")</f>
        <v>1.0545561118841256</v>
      </c>
      <c r="H9" s="4">
        <f>IF(Ranked_number&lt;=COUNT(Entry_number),INDEX(Lookup_table,MATCH(Number,Calculations!AK:AK,0),10),"")</f>
        <v>8.252287291239206</v>
      </c>
      <c r="I9" s="30">
        <f>IF(D9&lt;=COUNT(Entry_number),INDEX(Lookup_table,MATCH(Number,Calculations!AK:AK,0),11),"")</f>
        <v>7.3965629307414502E-2</v>
      </c>
      <c r="J9" s="114" t="str">
        <f>IF(D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" s="175"/>
      <c r="O9" s="176"/>
    </row>
    <row r="10" spans="1:15" x14ac:dyDescent="0.2">
      <c r="D10" s="89">
        <v>9</v>
      </c>
      <c r="E10" s="24" t="str">
        <f>IF(Number&lt;=COUNT(Entry_number),INDEX(Lookup_table,MATCH(Number,Calculations!AK:AK,0),3),"")</f>
        <v>iiii</v>
      </c>
      <c r="F10" s="4">
        <f>IF(Ranked_number&lt;=COUNT(Entry_number),INDEX(Lookup_table,MATCH(Number,Calculations!AK:AK,0),5),"")</f>
        <v>1.2857142857142858</v>
      </c>
      <c r="G10" s="4">
        <f>IF(Ranked_number&lt;=COUNT(Entry_number),INDEX(Lookup_table,MATCH(Number,Calculations!AK:AK,0),9),"")</f>
        <v>0.31181759940478032</v>
      </c>
      <c r="H10" s="4">
        <f>IF(Ranked_number&lt;=COUNT(Entry_number),INDEX(Lookup_table,MATCH(Number,Calculations!AK:AK,0),10),"")</f>
        <v>5.3013724294115443</v>
      </c>
      <c r="I10" s="30">
        <f>IF(D10&lt;=COUNT(Entry_number),INDEX(Lookup_table,MATCH(Number,Calculations!AK:AK,0),11),"")</f>
        <v>4.1250171440869357E-2</v>
      </c>
      <c r="J10" s="114" t="str">
        <f>IF(D10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" s="175"/>
      <c r="O10" s="176"/>
    </row>
    <row r="11" spans="1:15" x14ac:dyDescent="0.2">
      <c r="A11" s="178" t="s">
        <v>205</v>
      </c>
      <c r="B11" s="178"/>
      <c r="D11" s="89">
        <v>10</v>
      </c>
      <c r="E11" s="24" t="str">
        <f>IF(Number&lt;=COUNT(Entry_number),INDEX(Lookup_table,MATCH(Number,Calculations!AK:AK,0),3),"")</f>
        <v>jjjj</v>
      </c>
      <c r="F11" s="4">
        <f>IF(Ranked_number&lt;=COUNT(Entry_number),INDEX(Lookup_table,MATCH(Number,Calculations!AK:AK,0),5),"")</f>
        <v>2.0909090909090908</v>
      </c>
      <c r="G11" s="4">
        <f>IF(Ranked_number&lt;=COUNT(Entry_number),INDEX(Lookup_table,MATCH(Number,Calculations!AK:AK,0),9),"")</f>
        <v>0.68871337731295834</v>
      </c>
      <c r="H11" s="4">
        <f>IF(Ranked_number&lt;=COUNT(Entry_number),INDEX(Lookup_table,MATCH(Number,Calculations!AK:AK,0),10),"")</f>
        <v>6.3479249430342417</v>
      </c>
      <c r="I11" s="30">
        <f>IF(D11&lt;=COUNT(Entry_number),INDEX(Lookup_table,MATCH(Number,Calculations!AK:AK,0),11),"")</f>
        <v>6.3785661360044266E-2</v>
      </c>
      <c r="J11" s="114" t="str">
        <f>IF(D11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" s="175"/>
      <c r="O11" s="176"/>
    </row>
    <row r="12" spans="1:15" x14ac:dyDescent="0.2">
      <c r="A12" s="158" t="s">
        <v>49</v>
      </c>
      <c r="B12" s="5" t="s">
        <v>65</v>
      </c>
      <c r="D12" s="89">
        <v>11</v>
      </c>
      <c r="E12" s="24" t="str">
        <f>IF(Number&lt;=COUNT(Entry_number),INDEX(Lookup_table,MATCH(Number,Calculations!AK:AK,0),3),"")</f>
        <v>kkkk</v>
      </c>
      <c r="F12" s="4">
        <f>IF(Ranked_number&lt;=COUNT(Entry_number),INDEX(Lookup_table,MATCH(Number,Calculations!AK:AK,0),5),"")</f>
        <v>0.53222453222453225</v>
      </c>
      <c r="G12" s="4">
        <f>IF(Ranked_number&lt;=COUNT(Entry_number),INDEX(Lookup_table,MATCH(Number,Calculations!AK:AK,0),9),"")</f>
        <v>0.19312788888847404</v>
      </c>
      <c r="H12" s="4">
        <f>IF(Ranked_number&lt;=COUNT(Entry_number),INDEX(Lookup_table,MATCH(Number,Calculations!AK:AK,0),10),"")</f>
        <v>1.4667117956495583</v>
      </c>
      <c r="I12" s="30">
        <f>IF(D12&lt;=COUNT(Entry_number),INDEX(Lookup_table,MATCH(Number,Calculations!AK:AK,0),11),"")</f>
        <v>7.6558921359227802E-2</v>
      </c>
      <c r="J12" s="114" t="str">
        <f>IF(D12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" s="175"/>
      <c r="O12" s="176"/>
    </row>
    <row r="13" spans="1:15" x14ac:dyDescent="0.2">
      <c r="A13" s="158" t="s">
        <v>50</v>
      </c>
      <c r="B13" s="5" t="s">
        <v>51</v>
      </c>
      <c r="D13" s="89">
        <v>12</v>
      </c>
      <c r="E13" s="24" t="str">
        <f>IF(Number&lt;=COUNT(Entry_number),INDEX(Lookup_table,MATCH(Number,Calculations!AK:AK,0),3),"")</f>
        <v>llll</v>
      </c>
      <c r="F13" s="4">
        <f>IF(Ranked_number&lt;=COUNT(Entry_number),INDEX(Lookup_table,MATCH(Number,Calculations!AK:AK,0),5),"")</f>
        <v>1.7142857142857142</v>
      </c>
      <c r="G13" s="4">
        <f>IF(Ranked_number&lt;=COUNT(Entry_number),INDEX(Lookup_table,MATCH(Number,Calculations!AK:AK,0),9),"")</f>
        <v>0.51181616960631737</v>
      </c>
      <c r="H13" s="4">
        <f>IF(Ranked_number&lt;=COUNT(Entry_number),INDEX(Lookup_table,MATCH(Number,Calculations!AK:AK,0),10),"")</f>
        <v>5.7418574963439521</v>
      </c>
      <c r="I13" s="30">
        <f>IF(D13&lt;=COUNT(Entry_number),INDEX(Lookup_table,MATCH(Number,Calculations!AK:AK,0),11),"")</f>
        <v>5.526087200324676E-2</v>
      </c>
      <c r="J13" s="114" t="str">
        <f>IF(D13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" s="175"/>
      <c r="O13" s="176"/>
    </row>
    <row r="14" spans="1:15" x14ac:dyDescent="0.2">
      <c r="A14" s="45"/>
      <c r="B14" s="45"/>
      <c r="D14" s="89">
        <v>13</v>
      </c>
      <c r="E14" s="24" t="str">
        <f>IF(Number&lt;=COUNT(Entry_number),INDEX(Lookup_table,MATCH(Number,Calculations!AK:AK,0),3),"")</f>
        <v/>
      </c>
      <c r="F14" s="4" t="str">
        <f>IF(Ranked_number&lt;=COUNT(Entry_number),INDEX(Lookup_table,MATCH(Number,Calculations!AK:AK,0),5),"")</f>
        <v/>
      </c>
      <c r="G14" s="4" t="str">
        <f>IF(Ranked_number&lt;=COUNT(Entry_number),INDEX(Lookup_table,MATCH(Number,Calculations!AK:AK,0),9),"")</f>
        <v/>
      </c>
      <c r="H14" s="4" t="str">
        <f>IF(Ranked_number&lt;=COUNT(Entry_number),INDEX(Lookup_table,MATCH(Number,Calculations!AK:AK,0),10),"")</f>
        <v/>
      </c>
      <c r="I14" s="30" t="str">
        <f>IF(D14&lt;=COUNT(Entry_number),INDEX(Lookup_table,MATCH(Number,Calculations!AK:AK,0),11),"")</f>
        <v/>
      </c>
      <c r="J14" s="114" t="str">
        <f>IF(D14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" s="175"/>
      <c r="O14" s="176"/>
    </row>
    <row r="15" spans="1:15" x14ac:dyDescent="0.2">
      <c r="A15" s="178" t="s">
        <v>203</v>
      </c>
      <c r="B15" s="178"/>
      <c r="D15" s="89">
        <v>14</v>
      </c>
      <c r="E15" s="24" t="str">
        <f>IF(Number&lt;=COUNT(Entry_number),INDEX(Lookup_table,MATCH(Number,Calculations!AK:AK,0),3),"")</f>
        <v/>
      </c>
      <c r="F15" s="4" t="str">
        <f>IF(Ranked_number&lt;=COUNT(Entry_number),INDEX(Lookup_table,MATCH(Number,Calculations!AK:AK,0),5),"")</f>
        <v/>
      </c>
      <c r="G15" s="4" t="str">
        <f>IF(Ranked_number&lt;=COUNT(Entry_number),INDEX(Lookup_table,MATCH(Number,Calculations!AK:AK,0),9),"")</f>
        <v/>
      </c>
      <c r="H15" s="4" t="str">
        <f>IF(Ranked_number&lt;=COUNT(Entry_number),INDEX(Lookup_table,MATCH(Number,Calculations!AK:AK,0),10),"")</f>
        <v/>
      </c>
      <c r="I15" s="30" t="str">
        <f>IF(D15&lt;=COUNT(Entry_number),INDEX(Lookup_table,MATCH(Number,Calculations!AK:AK,0),11),"")</f>
        <v/>
      </c>
      <c r="J15" s="114" t="str">
        <f>IF(D15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" s="175"/>
      <c r="O15" s="176"/>
    </row>
    <row r="16" spans="1:15" x14ac:dyDescent="0.2">
      <c r="A16" s="158" t="str">
        <f>IF(Present_Effect_size_measure&lt;&gt;"",Present_Effect_size_measure,"")</f>
        <v>Odds Ratio</v>
      </c>
      <c r="B16" s="29">
        <f>IF(Present_Effect_size_measure="Odds Ratio",IF(Weighting_method="Inverse variance",Calculations!CT3,IF(Weighting_method="Mantel-Haenszel",Calculations!CU3,"")),IF(Present_Effect_size_measure="Risk Difference",IF(Weighting_method="Inverse variance",Calculations!CT19,IF(Weighting_method="Mantel-Haenszel",Calculations!CU19,Calculations!CV19)),IF(Present_Effect_size_measure="Risk Ratio",IF(Weighting_method="Inverse variance",Calculations!CT11,IF(Weighting_method="Mantel-Haenszel",Calculations!CU11,IF(Weighting_method="Peto",Calculations!CV11,""))),IF(AND(Present_Effect_size_measure="Peto Odds Ratio",Weighting_method="Peto"),Calculations!CV3,""))))</f>
        <v>1.5253279144642675</v>
      </c>
      <c r="D16" s="89">
        <v>15</v>
      </c>
      <c r="E16" s="24" t="str">
        <f>IF(Number&lt;=COUNT(Entry_number),INDEX(Lookup_table,MATCH(Number,Calculations!AK:AK,0),3),"")</f>
        <v/>
      </c>
      <c r="F16" s="4" t="str">
        <f>IF(Ranked_number&lt;=COUNT(Entry_number),INDEX(Lookup_table,MATCH(Number,Calculations!AK:AK,0),5),"")</f>
        <v/>
      </c>
      <c r="G16" s="4" t="str">
        <f>IF(Ranked_number&lt;=COUNT(Entry_number),INDEX(Lookup_table,MATCH(Number,Calculations!AK:AK,0),9),"")</f>
        <v/>
      </c>
      <c r="H16" s="4" t="str">
        <f>IF(Ranked_number&lt;=COUNT(Entry_number),INDEX(Lookup_table,MATCH(Number,Calculations!AK:AK,0),10),"")</f>
        <v/>
      </c>
      <c r="I16" s="30" t="str">
        <f>IF(D16&lt;=COUNT(Entry_number),INDEX(Lookup_table,MATCH(Number,Calculations!AK:AK,0),11),"")</f>
        <v/>
      </c>
      <c r="J16" s="114" t="str">
        <f>IF(D16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" s="175"/>
      <c r="O16" s="176"/>
    </row>
    <row r="17" spans="1:15" x14ac:dyDescent="0.2">
      <c r="A17" s="158" t="s">
        <v>18</v>
      </c>
      <c r="B17" s="29">
        <f>IF(Present_Effect_size_measure="Odds Ratio",IF(Weighting_method="Inverse variance",Calculations!CT4,IF(Weighting_method="Mantel-Haenszel",Calculations!CU4,"")),IF(Present_Effect_size_measure="Risk Difference",IF(Weighting_method="Inverse variance",Calculations!CT21,IF(Weighting_method="Mantel-Haenszel",Calculations!CU21,Calculations!CV21)),IF(Present_Effect_size_measure="Risk Ratio",IF(Weighting_method="Inverse variance",Calculations!CT12,IF(Weighting_method="Mantel-Haenszel",Calculations!CU12,IF(Weighting_method="Peto",Calculations!CV12,""))),IF(AND(Present_Effect_size_measure="Peto Odds Ratio",Weighting_method="Peto"),Calculations!CV4,""))))</f>
        <v>1.0994099860668898</v>
      </c>
      <c r="D17" s="89">
        <v>16</v>
      </c>
      <c r="E17" s="24" t="str">
        <f>IF(Number&lt;=COUNT(Entry_number),INDEX(Lookup_table,MATCH(Number,Calculations!AK:AK,0),3),"")</f>
        <v/>
      </c>
      <c r="F17" s="4" t="str">
        <f>IF(Ranked_number&lt;=COUNT(Entry_number),INDEX(Lookup_table,MATCH(Number,Calculations!AK:AK,0),5),"")</f>
        <v/>
      </c>
      <c r="G17" s="4" t="str">
        <f>IF(Ranked_number&lt;=COUNT(Entry_number),INDEX(Lookup_table,MATCH(Number,Calculations!AK:AK,0),9),"")</f>
        <v/>
      </c>
      <c r="H17" s="4" t="str">
        <f>IF(Ranked_number&lt;=COUNT(Entry_number),INDEX(Lookup_table,MATCH(Number,Calculations!AK:AK,0),10),"")</f>
        <v/>
      </c>
      <c r="I17" s="30" t="str">
        <f>IF(D17&lt;=COUNT(Entry_number),INDEX(Lookup_table,MATCH(Number,Calculations!AK:AK,0),11),"")</f>
        <v/>
      </c>
      <c r="J17" s="114" t="str">
        <f>IF(D17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" s="175"/>
      <c r="O17" s="176"/>
    </row>
    <row r="18" spans="1:15" x14ac:dyDescent="0.2">
      <c r="A18" s="158" t="s">
        <v>19</v>
      </c>
      <c r="B18" s="29">
        <f>IF(Present_Effect_size_measure="Odds Ratio",IF(Weighting_method="Inverse variance",Calculations!CT5,IF(Weighting_method="Mantel-Haenszel",Calculations!CU5,"")),IF(Present_Effect_size_measure="Risk Difference",IF(Weighting_method="Inverse variance",Calculations!CT22,IF(Weighting_method="Mantel-Haenszel",Calculations!CU22,Calculations!CV22)),IF(Present_Effect_size_measure="Risk Ratio",IF(Weighting_method="Inverse variance",Calculations!CT13,IF(Weighting_method="Mantel-Haenszel",Calculations!CU13,IF(Weighting_method="Peto",Calculations!CV13,""))),IF(AND(Present_Effect_size_measure="Peto Odds Ratio",Weighting_method="Peto"),Calculations!CV5,""))))</f>
        <v>2.1162489663818249</v>
      </c>
      <c r="D18" s="89">
        <v>17</v>
      </c>
      <c r="E18" s="24" t="str">
        <f>IF(Number&lt;=COUNT(Entry_number),INDEX(Lookup_table,MATCH(Number,Calculations!AK:AK,0),3),"")</f>
        <v/>
      </c>
      <c r="F18" s="4" t="str">
        <f>IF(Ranked_number&lt;=COUNT(Entry_number),INDEX(Lookup_table,MATCH(Number,Calculations!AK:AK,0),5),"")</f>
        <v/>
      </c>
      <c r="G18" s="4" t="str">
        <f>IF(Ranked_number&lt;=COUNT(Entry_number),INDEX(Lookup_table,MATCH(Number,Calculations!AK:AK,0),9),"")</f>
        <v/>
      </c>
      <c r="H18" s="4" t="str">
        <f>IF(Ranked_number&lt;=COUNT(Entry_number),INDEX(Lookup_table,MATCH(Number,Calculations!AK:AK,0),10),"")</f>
        <v/>
      </c>
      <c r="I18" s="30" t="str">
        <f>IF(D18&lt;=COUNT(Entry_number),INDEX(Lookup_table,MATCH(Number,Calculations!AK:AK,0),11),"")</f>
        <v/>
      </c>
      <c r="J18" s="114" t="str">
        <f>IF(D18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" s="175"/>
      <c r="O18" s="176"/>
    </row>
    <row r="19" spans="1:15" x14ac:dyDescent="0.2">
      <c r="A19" s="158" t="s">
        <v>20</v>
      </c>
      <c r="B19" s="29">
        <f>IF(Present_Effect_size_measure="Odds Ratio",IF(Weighting_method="Inverse variance",Calculations!CT6,IF(Weighting_method="Mantel-Haenszel",Calculations!CU6,"")),IF(Present_Effect_size_measure="Risk Difference",IF(Weighting_method="Inverse variance",Calculations!CT23,IF(Weighting_method="Mantel-Haenszel",Calculations!CU23,Calculations!CV23)),IF(Present_Effect_size_measure="Risk Ratio",IF(Weighting_method="Inverse variance",Calculations!CT14,IF(Weighting_method="Mantel-Haenszel",Calculations!CU14,IF(Weighting_method="Peto",Calculations!CV14,""))),IF(AND(Present_Effect_size_measure="Peto Odds Ratio",Weighting_method="Peto"),Calculations!CV6,""))))</f>
        <v>0.9347451703574392</v>
      </c>
      <c r="D19" s="89">
        <v>18</v>
      </c>
      <c r="E19" s="24" t="str">
        <f>IF(Number&lt;=COUNT(Entry_number),INDEX(Lookup_table,MATCH(Number,Calculations!AK:AK,0),3),"")</f>
        <v/>
      </c>
      <c r="F19" s="4" t="str">
        <f>IF(Ranked_number&lt;=COUNT(Entry_number),INDEX(Lookup_table,MATCH(Number,Calculations!AK:AK,0),5),"")</f>
        <v/>
      </c>
      <c r="G19" s="4" t="str">
        <f>IF(Ranked_number&lt;=COUNT(Entry_number),INDEX(Lookup_table,MATCH(Number,Calculations!AK:AK,0),9),"")</f>
        <v/>
      </c>
      <c r="H19" s="4" t="str">
        <f>IF(Ranked_number&lt;=COUNT(Entry_number),INDEX(Lookup_table,MATCH(Number,Calculations!AK:AK,0),10),"")</f>
        <v/>
      </c>
      <c r="I19" s="30" t="str">
        <f>IF(D19&lt;=COUNT(Entry_number),INDEX(Lookup_table,MATCH(Number,Calculations!AK:AK,0),11),"")</f>
        <v/>
      </c>
      <c r="J19" s="114" t="str">
        <f>IF(D19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" s="175"/>
      <c r="O19" s="176"/>
    </row>
    <row r="20" spans="1:15" x14ac:dyDescent="0.2">
      <c r="A20" s="158" t="s">
        <v>21</v>
      </c>
      <c r="B20" s="29">
        <f>IF(Present_Effect_size_measure="Odds Ratio",IF(Weighting_method="Inverse variance",Calculations!CT7,IF(Weighting_method="Mantel-Haenszel",Calculations!CU7,"")),IF(Present_Effect_size_measure="Risk Difference",IF(Weighting_method="Inverse variance",Calculations!CT24,IF(Weighting_method="Mantel-Haenszel",Calculations!CU24,Calculations!CV24)),IF(Present_Effect_size_measure="Risk Ratio",IF(Weighting_method="Inverse variance",Calculations!CT15,IF(Weighting_method="Mantel-Haenszel",Calculations!CU15,IF(Weighting_method="Peto",Calculations!CV15,""))),IF(AND(Present_Effect_size_measure="Peto Odds Ratio",Weighting_method="Peto"),Calculations!CV7,""))))</f>
        <v>2.4890476254124199</v>
      </c>
      <c r="D20" s="89">
        <v>19</v>
      </c>
      <c r="E20" s="24" t="str">
        <f>IF(Number&lt;=COUNT(Entry_number),INDEX(Lookup_table,MATCH(Number,Calculations!AK:AK,0),3),"")</f>
        <v/>
      </c>
      <c r="F20" s="4" t="str">
        <f>IF(Ranked_number&lt;=COUNT(Entry_number),INDEX(Lookup_table,MATCH(Number,Calculations!AK:AK,0),5),"")</f>
        <v/>
      </c>
      <c r="G20" s="4" t="str">
        <f>IF(Ranked_number&lt;=COUNT(Entry_number),INDEX(Lookup_table,MATCH(Number,Calculations!AK:AK,0),9),"")</f>
        <v/>
      </c>
      <c r="H20" s="4" t="str">
        <f>IF(Ranked_number&lt;=COUNT(Entry_number),INDEX(Lookup_table,MATCH(Number,Calculations!AK:AK,0),10),"")</f>
        <v/>
      </c>
      <c r="I20" s="30" t="str">
        <f>IF(D20&lt;=COUNT(Entry_number),INDEX(Lookup_table,MATCH(Number,Calculations!AK:AK,0),11),"")</f>
        <v/>
      </c>
      <c r="J20" s="114" t="str">
        <f>IF(D20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0" s="175"/>
      <c r="O20" s="176"/>
    </row>
    <row r="21" spans="1:15" x14ac:dyDescent="0.2">
      <c r="A21" s="45"/>
      <c r="B21" s="45"/>
      <c r="D21" s="89">
        <v>20</v>
      </c>
      <c r="E21" s="24" t="str">
        <f>IF(Number&lt;=COUNT(Entry_number),INDEX(Lookup_table,MATCH(Number,Calculations!AK:AK,0),3),"")</f>
        <v/>
      </c>
      <c r="F21" s="4" t="str">
        <f>IF(Ranked_number&lt;=COUNT(Entry_number),INDEX(Lookup_table,MATCH(Number,Calculations!AK:AK,0),5),"")</f>
        <v/>
      </c>
      <c r="G21" s="4" t="str">
        <f>IF(Ranked_number&lt;=COUNT(Entry_number),INDEX(Lookup_table,MATCH(Number,Calculations!AK:AK,0),9),"")</f>
        <v/>
      </c>
      <c r="H21" s="4" t="str">
        <f>IF(Ranked_number&lt;=COUNT(Entry_number),INDEX(Lookup_table,MATCH(Number,Calculations!AK:AK,0),10),"")</f>
        <v/>
      </c>
      <c r="I21" s="30" t="str">
        <f>IF(D21&lt;=COUNT(Entry_number),INDEX(Lookup_table,MATCH(Number,Calculations!AK:AK,0),11),"")</f>
        <v/>
      </c>
      <c r="J21" s="114" t="str">
        <f>IF(D21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1" s="175"/>
      <c r="O21" s="176"/>
    </row>
    <row r="22" spans="1:15" x14ac:dyDescent="0.2">
      <c r="A22" s="158" t="s">
        <v>8</v>
      </c>
      <c r="B22" s="4">
        <f>IF(B16&lt;&gt;"",IF(Weighting_method="Inverse variance",Z_value,IF(Weighting_method="Mantel-Haenszel",Z_value_MH,IF(Weighting_method="Peto",Z_value_Peto,""))),"")</f>
        <v>2.838042708923159</v>
      </c>
      <c r="D22" s="89">
        <v>21</v>
      </c>
      <c r="E22" s="24" t="str">
        <f>IF(Number&lt;=COUNT(Entry_number),INDEX(Lookup_table,MATCH(Number,Calculations!AK:AK,0),3),"")</f>
        <v/>
      </c>
      <c r="F22" s="4" t="str">
        <f>IF(Ranked_number&lt;=COUNT(Entry_number),INDEX(Lookup_table,MATCH(Number,Calculations!AK:AK,0),5),"")</f>
        <v/>
      </c>
      <c r="G22" s="4" t="str">
        <f>IF(Ranked_number&lt;=COUNT(Entry_number),INDEX(Lookup_table,MATCH(Number,Calculations!AK:AK,0),9),"")</f>
        <v/>
      </c>
      <c r="H22" s="4" t="str">
        <f>IF(Ranked_number&lt;=COUNT(Entry_number),INDEX(Lookup_table,MATCH(Number,Calculations!AK:AK,0),10),"")</f>
        <v/>
      </c>
      <c r="I22" s="30" t="str">
        <f>IF(D22&lt;=COUNT(Entry_number),INDEX(Lookup_table,MATCH(Number,Calculations!AK:AK,0),11),"")</f>
        <v/>
      </c>
      <c r="J22" s="114" t="str">
        <f>IF(D22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2" s="175"/>
      <c r="O22" s="176"/>
    </row>
    <row r="23" spans="1:15" x14ac:dyDescent="0.2">
      <c r="A23" s="158" t="s">
        <v>9</v>
      </c>
      <c r="B23" s="38">
        <f>IF(Valid_options="Yes",IF(B22&lt;&gt;"",1-NORMSDIST(ABS(B22)),""),"")</f>
        <v>2.2695554313748589E-3</v>
      </c>
      <c r="D23" s="89">
        <v>22</v>
      </c>
      <c r="E23" s="24" t="str">
        <f>IF(Number&lt;=COUNT(Entry_number),INDEX(Lookup_table,MATCH(Number,Calculations!AK:AK,0),3),"")</f>
        <v/>
      </c>
      <c r="F23" s="4" t="str">
        <f>IF(Ranked_number&lt;=COUNT(Entry_number),INDEX(Lookup_table,MATCH(Number,Calculations!AK:AK,0),5),"")</f>
        <v/>
      </c>
      <c r="G23" s="4" t="str">
        <f>IF(Ranked_number&lt;=COUNT(Entry_number),INDEX(Lookup_table,MATCH(Number,Calculations!AK:AK,0),9),"")</f>
        <v/>
      </c>
      <c r="H23" s="4" t="str">
        <f>IF(Ranked_number&lt;=COUNT(Entry_number),INDEX(Lookup_table,MATCH(Number,Calculations!AK:AK,0),10),"")</f>
        <v/>
      </c>
      <c r="I23" s="30" t="str">
        <f>IF(D23&lt;=COUNT(Entry_number),INDEX(Lookup_table,MATCH(Number,Calculations!AK:AK,0),11),"")</f>
        <v/>
      </c>
      <c r="J23" s="114" t="str">
        <f>IF(D23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3" s="175"/>
      <c r="O23" s="176"/>
    </row>
    <row r="24" spans="1:15" x14ac:dyDescent="0.2">
      <c r="A24" s="158" t="s">
        <v>10</v>
      </c>
      <c r="B24" s="38">
        <f>IF(Valid_options="Yes",IF(B22&lt;&gt;"",2*(1-NORMSDIST(ABS(B22))),""),"")</f>
        <v>4.5391108627497179E-3</v>
      </c>
      <c r="D24" s="89">
        <v>23</v>
      </c>
      <c r="E24" s="24" t="str">
        <f>IF(Number&lt;=COUNT(Entry_number),INDEX(Lookup_table,MATCH(Number,Calculations!AK:AK,0),3),"")</f>
        <v/>
      </c>
      <c r="F24" s="4" t="str">
        <f>IF(Ranked_number&lt;=COUNT(Entry_number),INDEX(Lookup_table,MATCH(Number,Calculations!AK:AK,0),5),"")</f>
        <v/>
      </c>
      <c r="G24" s="4" t="str">
        <f>IF(Ranked_number&lt;=COUNT(Entry_number),INDEX(Lookup_table,MATCH(Number,Calculations!AK:AK,0),9),"")</f>
        <v/>
      </c>
      <c r="H24" s="4" t="str">
        <f>IF(Ranked_number&lt;=COUNT(Entry_number),INDEX(Lookup_table,MATCH(Number,Calculations!AK:AK,0),10),"")</f>
        <v/>
      </c>
      <c r="I24" s="30" t="str">
        <f>IF(D24&lt;=COUNT(Entry_number),INDEX(Lookup_table,MATCH(Number,Calculations!AK:AK,0),11),"")</f>
        <v/>
      </c>
      <c r="J24" s="114" t="str">
        <f>IF(D24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4" s="175"/>
      <c r="O24" s="176"/>
    </row>
    <row r="25" spans="1:15" x14ac:dyDescent="0.2">
      <c r="A25" s="45"/>
      <c r="B25" s="45"/>
      <c r="D25" s="89">
        <v>24</v>
      </c>
      <c r="E25" s="24" t="str">
        <f>IF(Number&lt;=COUNT(Entry_number),INDEX(Lookup_table,MATCH(Number,Calculations!AK:AK,0),3),"")</f>
        <v/>
      </c>
      <c r="F25" s="4" t="str">
        <f>IF(Ranked_number&lt;=COUNT(Entry_number),INDEX(Lookup_table,MATCH(Number,Calculations!AK:AK,0),5),"")</f>
        <v/>
      </c>
      <c r="G25" s="4" t="str">
        <f>IF(Ranked_number&lt;=COUNT(Entry_number),INDEX(Lookup_table,MATCH(Number,Calculations!AK:AK,0),9),"")</f>
        <v/>
      </c>
      <c r="H25" s="4" t="str">
        <f>IF(Ranked_number&lt;=COUNT(Entry_number),INDEX(Lookup_table,MATCH(Number,Calculations!AK:AK,0),10),"")</f>
        <v/>
      </c>
      <c r="I25" s="30" t="str">
        <f>IF(D25&lt;=COUNT(Entry_number),INDEX(Lookup_table,MATCH(Number,Calculations!AK:AK,0),11),"")</f>
        <v/>
      </c>
      <c r="J25" s="114" t="str">
        <f>IF(D25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5" s="175"/>
      <c r="O25" s="176"/>
    </row>
    <row r="26" spans="1:15" ht="12" customHeight="1" x14ac:dyDescent="0.2">
      <c r="A26" s="158" t="s">
        <v>26</v>
      </c>
      <c r="B26" s="8">
        <f>SUMIF(Sufficient_data,"Yes",Number_of_subjects)</f>
        <v>1555</v>
      </c>
      <c r="D26" s="89">
        <v>25</v>
      </c>
      <c r="E26" s="24" t="str">
        <f>IF(Number&lt;=COUNT(Entry_number),INDEX(Lookup_table,MATCH(Number,Calculations!AK:AK,0),3),"")</f>
        <v/>
      </c>
      <c r="F26" s="4" t="str">
        <f>IF(Ranked_number&lt;=COUNT(Entry_number),INDEX(Lookup_table,MATCH(Number,Calculations!AK:AK,0),5),"")</f>
        <v/>
      </c>
      <c r="G26" s="4" t="str">
        <f>IF(Ranked_number&lt;=COUNT(Entry_number),INDEX(Lookup_table,MATCH(Number,Calculations!AK:AK,0),9),"")</f>
        <v/>
      </c>
      <c r="H26" s="4" t="str">
        <f>IF(Ranked_number&lt;=COUNT(Entry_number),INDEX(Lookup_table,MATCH(Number,Calculations!AK:AK,0),10),"")</f>
        <v/>
      </c>
      <c r="I26" s="30" t="str">
        <f>IF(D26&lt;=COUNT(Entry_number),INDEX(Lookup_table,MATCH(Number,Calculations!AK:AK,0),11),"")</f>
        <v/>
      </c>
      <c r="J26" s="114" t="str">
        <f>IF(D26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6" s="175"/>
      <c r="O26" s="176"/>
    </row>
    <row r="27" spans="1:15" x14ac:dyDescent="0.2">
      <c r="A27" s="158" t="s">
        <v>27</v>
      </c>
      <c r="B27" s="8">
        <f>COUNT(Weightf)</f>
        <v>12</v>
      </c>
      <c r="D27" s="89">
        <v>26</v>
      </c>
      <c r="E27" s="24" t="str">
        <f>IF(Number&lt;=COUNT(Entry_number),INDEX(Lookup_table,MATCH(Number,Calculations!AK:AK,0),3),"")</f>
        <v/>
      </c>
      <c r="F27" s="4" t="str">
        <f>IF(Ranked_number&lt;=COUNT(Entry_number),INDEX(Lookup_table,MATCH(Number,Calculations!AK:AK,0),5),"")</f>
        <v/>
      </c>
      <c r="G27" s="4" t="str">
        <f>IF(Ranked_number&lt;=COUNT(Entry_number),INDEX(Lookup_table,MATCH(Number,Calculations!AK:AK,0),9),"")</f>
        <v/>
      </c>
      <c r="H27" s="4" t="str">
        <f>IF(Ranked_number&lt;=COUNT(Entry_number),INDEX(Lookup_table,MATCH(Number,Calculations!AK:AK,0),10),"")</f>
        <v/>
      </c>
      <c r="I27" s="30" t="str">
        <f>IF(D27&lt;=COUNT(Entry_number),INDEX(Lookup_table,MATCH(Number,Calculations!AK:AK,0),11),"")</f>
        <v/>
      </c>
      <c r="J27" s="114" t="str">
        <f>IF(D27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7" s="175"/>
      <c r="O27" s="176"/>
    </row>
    <row r="28" spans="1:15" ht="12" customHeight="1" x14ac:dyDescent="0.2">
      <c r="A28" s="45"/>
      <c r="B28" s="45"/>
      <c r="D28" s="89">
        <v>27</v>
      </c>
      <c r="E28" s="24" t="str">
        <f>IF(Number&lt;=COUNT(Entry_number),INDEX(Lookup_table,MATCH(Number,Calculations!AK:AK,0),3),"")</f>
        <v/>
      </c>
      <c r="F28" s="4" t="str">
        <f>IF(Ranked_number&lt;=COUNT(Entry_number),INDEX(Lookup_table,MATCH(Number,Calculations!AK:AK,0),5),"")</f>
        <v/>
      </c>
      <c r="G28" s="4" t="str">
        <f>IF(Ranked_number&lt;=COUNT(Entry_number),INDEX(Lookup_table,MATCH(Number,Calculations!AK:AK,0),9),"")</f>
        <v/>
      </c>
      <c r="H28" s="4" t="str">
        <f>IF(Ranked_number&lt;=COUNT(Entry_number),INDEX(Lookup_table,MATCH(Number,Calculations!AK:AK,0),10),"")</f>
        <v/>
      </c>
      <c r="I28" s="30" t="str">
        <f>IF(D28&lt;=COUNT(Entry_number),INDEX(Lookup_table,MATCH(Number,Calculations!AK:AK,0),11),"")</f>
        <v/>
      </c>
      <c r="J28" s="114" t="str">
        <f>IF(D28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8" s="175"/>
      <c r="O28" s="176"/>
    </row>
    <row r="29" spans="1:15" x14ac:dyDescent="0.2">
      <c r="A29" s="178" t="s">
        <v>5</v>
      </c>
      <c r="B29" s="178"/>
      <c r="D29" s="89">
        <v>28</v>
      </c>
      <c r="E29" s="24" t="str">
        <f>IF(Number&lt;=COUNT(Entry_number),INDEX(Lookup_table,MATCH(Number,Calculations!AK:AK,0),3),"")</f>
        <v/>
      </c>
      <c r="F29" s="4" t="str">
        <f>IF(Ranked_number&lt;=COUNT(Entry_number),INDEX(Lookup_table,MATCH(Number,Calculations!AK:AK,0),5),"")</f>
        <v/>
      </c>
      <c r="G29" s="4" t="str">
        <f>IF(Ranked_number&lt;=COUNT(Entry_number),INDEX(Lookup_table,MATCH(Number,Calculations!AK:AK,0),9),"")</f>
        <v/>
      </c>
      <c r="H29" s="4" t="str">
        <f>IF(Ranked_number&lt;=COUNT(Entry_number),INDEX(Lookup_table,MATCH(Number,Calculations!AK:AK,0),10),"")</f>
        <v/>
      </c>
      <c r="I29" s="30" t="str">
        <f>IF(D29&lt;=COUNT(Entry_number),INDEX(Lookup_table,MATCH(Number,Calculations!AK:AK,0),11),"")</f>
        <v/>
      </c>
      <c r="J29" s="114" t="str">
        <f>IF(D29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9" s="175"/>
      <c r="O29" s="176"/>
    </row>
    <row r="30" spans="1:15" x14ac:dyDescent="0.2">
      <c r="A30" s="158" t="s">
        <v>6</v>
      </c>
      <c r="B30" s="29">
        <f>IF(Valid_options="Yes",IF(Weighting_method="Inverse variance",Q_,IF(Weighting_method="Mantel-Haenszel",Q_MH,IF(Weighting_method="Peto",Q_Peto,""))),NA())</f>
        <v>12.273195457938824</v>
      </c>
      <c r="D30" s="89">
        <v>29</v>
      </c>
      <c r="E30" s="24" t="str">
        <f>IF(Number&lt;=COUNT(Entry_number),INDEX(Lookup_table,MATCH(Number,Calculations!AK:AK,0),3),"")</f>
        <v/>
      </c>
      <c r="F30" s="4" t="str">
        <f>IF(Ranked_number&lt;=COUNT(Entry_number),INDEX(Lookup_table,MATCH(Number,Calculations!AK:AK,0),5),"")</f>
        <v/>
      </c>
      <c r="G30" s="4" t="str">
        <f>IF(Ranked_number&lt;=COUNT(Entry_number),INDEX(Lookup_table,MATCH(Number,Calculations!AK:AK,0),9),"")</f>
        <v/>
      </c>
      <c r="H30" s="4" t="str">
        <f>IF(Ranked_number&lt;=COUNT(Entry_number),INDEX(Lookup_table,MATCH(Number,Calculations!AK:AK,0),10),"")</f>
        <v/>
      </c>
      <c r="I30" s="30" t="str">
        <f>IF(D30&lt;=COUNT(Entry_number),INDEX(Lookup_table,MATCH(Number,Calculations!AK:AK,0),11),"")</f>
        <v/>
      </c>
      <c r="J30" s="114" t="str">
        <f>IF(D30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0" s="175"/>
      <c r="O30" s="176"/>
    </row>
    <row r="31" spans="1:15" ht="13.5" x14ac:dyDescent="0.25">
      <c r="A31" s="158" t="s">
        <v>48</v>
      </c>
      <c r="B31" s="38">
        <f>IF(Valid_options="Yes",IF(B30&lt;&gt;"",CHIDIST(B30,k_-1),""),"")</f>
        <v>0.34346231660877985</v>
      </c>
      <c r="D31" s="89">
        <v>30</v>
      </c>
      <c r="E31" s="24" t="str">
        <f>IF(Number&lt;=COUNT(Entry_number),INDEX(Lookup_table,MATCH(Number,Calculations!AK:AK,0),3),"")</f>
        <v/>
      </c>
      <c r="F31" s="4" t="str">
        <f>IF(Ranked_number&lt;=COUNT(Entry_number),INDEX(Lookup_table,MATCH(Number,Calculations!AK:AK,0),5),"")</f>
        <v/>
      </c>
      <c r="G31" s="4" t="str">
        <f>IF(Ranked_number&lt;=COUNT(Entry_number),INDEX(Lookup_table,MATCH(Number,Calculations!AK:AK,0),9),"")</f>
        <v/>
      </c>
      <c r="H31" s="4" t="str">
        <f>IF(Ranked_number&lt;=COUNT(Entry_number),INDEX(Lookup_table,MATCH(Number,Calculations!AK:AK,0),10),"")</f>
        <v/>
      </c>
      <c r="I31" s="30" t="str">
        <f>IF(D31&lt;=COUNT(Entry_number),INDEX(Lookup_table,MATCH(Number,Calculations!AK:AK,0),11),"")</f>
        <v/>
      </c>
      <c r="J31" s="114" t="str">
        <f>IF(D31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1" s="175"/>
      <c r="O31" s="176"/>
    </row>
    <row r="32" spans="1:15" ht="14.25" x14ac:dyDescent="0.2">
      <c r="A32" s="158" t="s">
        <v>29</v>
      </c>
      <c r="B32" s="9">
        <f>IF(Valid_options="Yes",IF(B30&lt;&gt;"",MAX(0,(B30-(k_-1))/B30),""),"")</f>
        <v>0.10373789469109018</v>
      </c>
      <c r="D32" s="89">
        <v>31</v>
      </c>
      <c r="E32" s="24" t="str">
        <f>IF(Number&lt;=COUNT(Entry_number),INDEX(Lookup_table,MATCH(Number,Calculations!AK:AK,0),3),"")</f>
        <v/>
      </c>
      <c r="F32" s="4" t="str">
        <f>IF(Ranked_number&lt;=COUNT(Entry_number),INDEX(Lookup_table,MATCH(Number,Calculations!AK:AK,0),5),"")</f>
        <v/>
      </c>
      <c r="G32" s="4" t="str">
        <f>IF(Ranked_number&lt;=COUNT(Entry_number),INDEX(Lookup_table,MATCH(Number,Calculations!AK:AK,0),9),"")</f>
        <v/>
      </c>
      <c r="H32" s="4" t="str">
        <f>IF(Ranked_number&lt;=COUNT(Entry_number),INDEX(Lookup_table,MATCH(Number,Calculations!AK:AK,0),10),"")</f>
        <v/>
      </c>
      <c r="I32" s="30" t="str">
        <f>IF(D32&lt;=COUNT(Entry_number),INDEX(Lookup_table,MATCH(Number,Calculations!AK:AK,0),11),"")</f>
        <v/>
      </c>
      <c r="J32" s="114" t="str">
        <f>IF(D32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2" s="175"/>
      <c r="O32" s="176"/>
    </row>
    <row r="33" spans="1:15" x14ac:dyDescent="0.2">
      <c r="A33" s="158" t="str">
        <f>CONCATENATE("T² ","(",Model_effect_size_measure,")")</f>
        <v>T² (Odds Ratio)</v>
      </c>
      <c r="B33" s="29">
        <f>IF(Valid_options="Yes",IF(Weighting_method="Inverse variance",T2_,IF(Weighting_method="Mantel-Haenszel",T2_MH,IF(Weighting_method="Peto",T2_Peto,""))),"")</f>
        <v>2.736863460497466E-2</v>
      </c>
      <c r="D33" s="89">
        <v>32</v>
      </c>
      <c r="E33" s="24" t="str">
        <f>IF(Number&lt;=COUNT(Entry_number),INDEX(Lookup_table,MATCH(Number,Calculations!AK:AK,0),3),"")</f>
        <v/>
      </c>
      <c r="F33" s="4" t="str">
        <f>IF(Ranked_number&lt;=COUNT(Entry_number),INDEX(Lookup_table,MATCH(Number,Calculations!AK:AK,0),5),"")</f>
        <v/>
      </c>
      <c r="G33" s="4" t="str">
        <f>IF(Ranked_number&lt;=COUNT(Entry_number),INDEX(Lookup_table,MATCH(Number,Calculations!AK:AK,0),9),"")</f>
        <v/>
      </c>
      <c r="H33" s="4" t="str">
        <f>IF(Ranked_number&lt;=COUNT(Entry_number),INDEX(Lookup_table,MATCH(Number,Calculations!AK:AK,0),10),"")</f>
        <v/>
      </c>
      <c r="I33" s="30" t="str">
        <f>IF(D33&lt;=COUNT(Entry_number),INDEX(Lookup_table,MATCH(Number,Calculations!AK:AK,0),11),"")</f>
        <v/>
      </c>
      <c r="J33" s="114" t="str">
        <f>IF(D33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3" s="175"/>
      <c r="O33" s="176"/>
    </row>
    <row r="34" spans="1:15" x14ac:dyDescent="0.2">
      <c r="A34" s="158" t="str">
        <f>CONCATENATE("T ","(",Model_effect_size_measure,")")</f>
        <v>T (Odds Ratio)</v>
      </c>
      <c r="B34" s="29">
        <f>IF(Valid_options="Yes",IF(B33&lt;&gt;"",SQRT(B33),""),"")</f>
        <v>0.16543468380292767</v>
      </c>
      <c r="D34" s="89">
        <v>33</v>
      </c>
      <c r="E34" s="24" t="str">
        <f>IF(Number&lt;=COUNT(Entry_number),INDEX(Lookup_table,MATCH(Number,Calculations!AK:AK,0),3),"")</f>
        <v/>
      </c>
      <c r="F34" s="4" t="str">
        <f>IF(Ranked_number&lt;=COUNT(Entry_number),INDEX(Lookup_table,MATCH(Number,Calculations!AK:AK,0),5),"")</f>
        <v/>
      </c>
      <c r="G34" s="4" t="str">
        <f>IF(Ranked_number&lt;=COUNT(Entry_number),INDEX(Lookup_table,MATCH(Number,Calculations!AK:AK,0),9),"")</f>
        <v/>
      </c>
      <c r="H34" s="4" t="str">
        <f>IF(Ranked_number&lt;=COUNT(Entry_number),INDEX(Lookup_table,MATCH(Number,Calculations!AK:AK,0),10),"")</f>
        <v/>
      </c>
      <c r="I34" s="30" t="str">
        <f>IF(D34&lt;=COUNT(Entry_number),INDEX(Lookup_table,MATCH(Number,Calculations!AK:AK,0),11),"")</f>
        <v/>
      </c>
      <c r="J34" s="114" t="str">
        <f>IF(D34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4" s="175"/>
      <c r="O34" s="176"/>
    </row>
    <row r="35" spans="1:15" x14ac:dyDescent="0.2">
      <c r="A35" s="45"/>
      <c r="B35" s="45"/>
      <c r="D35" s="89">
        <v>34</v>
      </c>
      <c r="E35" s="24" t="str">
        <f>IF(Number&lt;=COUNT(Entry_number),INDEX(Lookup_table,MATCH(Number,Calculations!AK:AK,0),3),"")</f>
        <v/>
      </c>
      <c r="F35" s="4" t="str">
        <f>IF(Ranked_number&lt;=COUNT(Entry_number),INDEX(Lookup_table,MATCH(Number,Calculations!AK:AK,0),5),"")</f>
        <v/>
      </c>
      <c r="G35" s="4" t="str">
        <f>IF(Ranked_number&lt;=COUNT(Entry_number),INDEX(Lookup_table,MATCH(Number,Calculations!AK:AK,0),9),"")</f>
        <v/>
      </c>
      <c r="H35" s="4" t="str">
        <f>IF(Ranked_number&lt;=COUNT(Entry_number),INDEX(Lookup_table,MATCH(Number,Calculations!AK:AK,0),10),"")</f>
        <v/>
      </c>
      <c r="I35" s="9" t="str">
        <f>IF(D35&lt;=COUNT(Entry_number),INDEX(Lookup_table,MATCH(Number,Calculations!AK:AK,0),11),"")</f>
        <v/>
      </c>
      <c r="J35" s="114" t="str">
        <f>IF(D35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5" s="175"/>
      <c r="O35" s="176"/>
    </row>
    <row r="36" spans="1:15" x14ac:dyDescent="0.2">
      <c r="A36" s="178" t="s">
        <v>296</v>
      </c>
      <c r="B36" s="179"/>
      <c r="D36" s="89">
        <v>35</v>
      </c>
      <c r="E36" s="24" t="str">
        <f>IF(Number&lt;=COUNT(Entry_number),INDEX(Lookup_table,MATCH(Number,Calculations!AK:AK,0),3),"")</f>
        <v/>
      </c>
      <c r="F36" s="4" t="str">
        <f>IF(Ranked_number&lt;=COUNT(Entry_number),INDEX(Lookup_table,MATCH(Number,Calculations!AK:AK,0),5),"")</f>
        <v/>
      </c>
      <c r="G36" s="4" t="str">
        <f>IF(Ranked_number&lt;=COUNT(Entry_number),INDEX(Lookup_table,MATCH(Number,Calculations!AK:AK,0),9),"")</f>
        <v/>
      </c>
      <c r="H36" s="4" t="str">
        <f>IF(Ranked_number&lt;=COUNT(Entry_number),INDEX(Lookup_table,MATCH(Number,Calculations!AK:AK,0),10),"")</f>
        <v/>
      </c>
      <c r="I36" s="9" t="str">
        <f>IF(D36&lt;=COUNT(Entry_number),INDEX(Lookup_table,MATCH(Number,Calculations!AK:AK,0),11),"")</f>
        <v/>
      </c>
      <c r="J36" s="114" t="str">
        <f>IF(D36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6" s="175"/>
      <c r="O36" s="176"/>
    </row>
    <row r="37" spans="1:15" x14ac:dyDescent="0.2">
      <c r="A37" s="180" t="s">
        <v>14</v>
      </c>
      <c r="B37" s="180"/>
      <c r="D37" s="89">
        <v>36</v>
      </c>
      <c r="E37" s="24" t="str">
        <f>IF(Number&lt;=COUNT(Entry_number),INDEX(Lookup_table,MATCH(Number,Calculations!AK:AK,0),3),"")</f>
        <v/>
      </c>
      <c r="F37" s="4" t="str">
        <f>IF(Ranked_number&lt;=COUNT(Entry_number),INDEX(Lookup_table,MATCH(Number,Calculations!AK:AK,0),5),"")</f>
        <v/>
      </c>
      <c r="G37" s="4" t="str">
        <f>IF(Ranked_number&lt;=COUNT(Entry_number),INDEX(Lookup_table,MATCH(Number,Calculations!AK:AK,0),9),"")</f>
        <v/>
      </c>
      <c r="H37" s="4" t="str">
        <f>IF(Ranked_number&lt;=COUNT(Entry_number),INDEX(Lookup_table,MATCH(Number,Calculations!AK:AK,0),10),"")</f>
        <v/>
      </c>
      <c r="I37" s="9" t="str">
        <f>IF(D37&lt;=COUNT(Entry_number),INDEX(Lookup_table,MATCH(Number,Calculations!AK:AK,0),11),"")</f>
        <v/>
      </c>
      <c r="J37" s="114" t="str">
        <f>IF(D37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7" s="175"/>
      <c r="O37" s="176"/>
    </row>
    <row r="38" spans="1:15" x14ac:dyDescent="0.2">
      <c r="A38" s="181" t="s">
        <v>15</v>
      </c>
      <c r="B38" s="181"/>
      <c r="D38" s="89">
        <v>37</v>
      </c>
      <c r="E38" s="24" t="str">
        <f>IF(Number&lt;=COUNT(Entry_number),INDEX(Lookup_table,MATCH(Number,Calculations!AK:AK,0),3),"")</f>
        <v/>
      </c>
      <c r="F38" s="4" t="str">
        <f>IF(Ranked_number&lt;=COUNT(Entry_number),INDEX(Lookup_table,MATCH(Number,Calculations!AK:AK,0),5),"")</f>
        <v/>
      </c>
      <c r="G38" s="4" t="str">
        <f>IF(Ranked_number&lt;=COUNT(Entry_number),INDEX(Lookup_table,MATCH(Number,Calculations!AK:AK,0),9),"")</f>
        <v/>
      </c>
      <c r="H38" s="4" t="str">
        <f>IF(Ranked_number&lt;=COUNT(Entry_number),INDEX(Lookup_table,MATCH(Number,Calculations!AK:AK,0),10),"")</f>
        <v/>
      </c>
      <c r="I38" s="9" t="str">
        <f>IF(D38&lt;=COUNT(Entry_number),INDEX(Lookup_table,MATCH(Number,Calculations!AK:AK,0),11),"")</f>
        <v/>
      </c>
      <c r="J38" s="114" t="str">
        <f>IF(D38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8" s="175"/>
      <c r="O38" s="176"/>
    </row>
    <row r="39" spans="1:15" x14ac:dyDescent="0.2">
      <c r="A39" s="181" t="s">
        <v>16</v>
      </c>
      <c r="B39" s="181"/>
      <c r="D39" s="89">
        <v>38</v>
      </c>
      <c r="E39" s="24" t="str">
        <f>IF(Number&lt;=COUNT(Entry_number),INDEX(Lookup_table,MATCH(Number,Calculations!AK:AK,0),3),"")</f>
        <v/>
      </c>
      <c r="F39" s="4" t="str">
        <f>IF(Ranked_number&lt;=COUNT(Entry_number),INDEX(Lookup_table,MATCH(Number,Calculations!AK:AK,0),5),"")</f>
        <v/>
      </c>
      <c r="G39" s="4" t="str">
        <f>IF(Ranked_number&lt;=COUNT(Entry_number),INDEX(Lookup_table,MATCH(Number,Calculations!AK:AK,0),9),"")</f>
        <v/>
      </c>
      <c r="H39" s="4" t="str">
        <f>IF(Ranked_number&lt;=COUNT(Entry_number),INDEX(Lookup_table,MATCH(Number,Calculations!AK:AK,0),10),"")</f>
        <v/>
      </c>
      <c r="I39" s="9" t="str">
        <f>IF(D39&lt;=COUNT(Entry_number),INDEX(Lookup_table,MATCH(Number,Calculations!AK:AK,0),11),"")</f>
        <v/>
      </c>
      <c r="J39" s="114" t="str">
        <f>IF(D39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39" s="175"/>
      <c r="O39" s="176"/>
    </row>
    <row r="40" spans="1:15" x14ac:dyDescent="0.2">
      <c r="A40" s="45"/>
      <c r="B40" s="45"/>
      <c r="D40" s="89">
        <v>39</v>
      </c>
      <c r="E40" s="24" t="str">
        <f>IF(Number&lt;=COUNT(Entry_number),INDEX(Lookup_table,MATCH(Number,Calculations!AK:AK,0),3),"")</f>
        <v/>
      </c>
      <c r="F40" s="4" t="str">
        <f>IF(Ranked_number&lt;=COUNT(Entry_number),INDEX(Lookup_table,MATCH(Number,Calculations!AK:AK,0),5),"")</f>
        <v/>
      </c>
      <c r="G40" s="4" t="str">
        <f>IF(Ranked_number&lt;=COUNT(Entry_number),INDEX(Lookup_table,MATCH(Number,Calculations!AK:AK,0),9),"")</f>
        <v/>
      </c>
      <c r="H40" s="4" t="str">
        <f>IF(Ranked_number&lt;=COUNT(Entry_number),INDEX(Lookup_table,MATCH(Number,Calculations!AK:AK,0),10),"")</f>
        <v/>
      </c>
      <c r="I40" s="9" t="str">
        <f>IF(D40&lt;=COUNT(Entry_number),INDEX(Lookup_table,MATCH(Number,Calculations!AK:AK,0),11),"")</f>
        <v/>
      </c>
      <c r="J40" s="114" t="str">
        <f>IF(D40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0" s="175"/>
      <c r="O40" s="176"/>
    </row>
    <row r="41" spans="1:15" x14ac:dyDescent="0.2">
      <c r="A41" s="178" t="s">
        <v>298</v>
      </c>
      <c r="B41" s="179"/>
      <c r="D41" s="89">
        <v>40</v>
      </c>
      <c r="E41" s="24" t="str">
        <f>IF(Number&lt;=COUNT(Entry_number),INDEX(Lookup_table,MATCH(Number,Calculations!AK:AK,0),3),"")</f>
        <v/>
      </c>
      <c r="F41" s="4" t="str">
        <f>IF(Ranked_number&lt;=COUNT(Entry_number),INDEX(Lookup_table,MATCH(Number,Calculations!AK:AK,0),5),"")</f>
        <v/>
      </c>
      <c r="G41" s="4" t="str">
        <f>IF(Ranked_number&lt;=COUNT(Entry_number),INDEX(Lookup_table,MATCH(Number,Calculations!AK:AK,0),9),"")</f>
        <v/>
      </c>
      <c r="H41" s="4" t="str">
        <f>IF(Ranked_number&lt;=COUNT(Entry_number),INDEX(Lookup_table,MATCH(Number,Calculations!AK:AK,0),10),"")</f>
        <v/>
      </c>
      <c r="I41" s="9" t="str">
        <f>IF(D41&lt;=COUNT(Entry_number),INDEX(Lookup_table,MATCH(Number,Calculations!AK:AK,0),11),"")</f>
        <v/>
      </c>
      <c r="J41" s="114" t="str">
        <f>IF(D41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1" s="175"/>
      <c r="O41" s="176"/>
    </row>
    <row r="42" spans="1:15" x14ac:dyDescent="0.2">
      <c r="A42" s="180" t="str">
        <f>IF(Weighting_method="Peto","Peto Odds Ratio","Odds Ratio")</f>
        <v>Odds Ratio</v>
      </c>
      <c r="B42" s="180"/>
      <c r="D42" s="89">
        <v>41</v>
      </c>
      <c r="E42" s="24" t="str">
        <f>IF(Number&lt;=COUNT(Entry_number),INDEX(Lookup_table,MATCH(Number,Calculations!AK:AK,0),3),"")</f>
        <v/>
      </c>
      <c r="F42" s="4" t="str">
        <f>IF(Ranked_number&lt;=COUNT(Entry_number),INDEX(Lookup_table,MATCH(Number,Calculations!AK:AK,0),5),"")</f>
        <v/>
      </c>
      <c r="G42" s="4" t="str">
        <f>IF(Ranked_number&lt;=COUNT(Entry_number),INDEX(Lookup_table,MATCH(Number,Calculations!AK:AK,0),9),"")</f>
        <v/>
      </c>
      <c r="H42" s="4" t="str">
        <f>IF(Ranked_number&lt;=COUNT(Entry_number),INDEX(Lookup_table,MATCH(Number,Calculations!AK:AK,0),10),"")</f>
        <v/>
      </c>
      <c r="I42" s="9" t="str">
        <f>IF(D42&lt;=COUNT(Entry_number),INDEX(Lookup_table,MATCH(Number,Calculations!AK:AK,0),11),"")</f>
        <v/>
      </c>
      <c r="J42" s="114" t="str">
        <f>IF(D42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2" s="175"/>
      <c r="O42" s="176"/>
    </row>
    <row r="43" spans="1:15" x14ac:dyDescent="0.2">
      <c r="A43" s="181" t="str">
        <f>IF(Weighting_method="Inverse variance","Risk Ratio","")</f>
        <v>Risk Ratio</v>
      </c>
      <c r="B43" s="181"/>
      <c r="D43" s="89">
        <v>42</v>
      </c>
      <c r="E43" s="24" t="str">
        <f>IF(Number&lt;=COUNT(Entry_number),INDEX(Lookup_table,MATCH(Number,Calculations!AK:AK,0),3),"")</f>
        <v/>
      </c>
      <c r="F43" s="4" t="str">
        <f>IF(Ranked_number&lt;=COUNT(Entry_number),INDEX(Lookup_table,MATCH(Number,Calculations!AK:AK,0),5),"")</f>
        <v/>
      </c>
      <c r="G43" s="4" t="str">
        <f>IF(Ranked_number&lt;=COUNT(Entry_number),INDEX(Lookup_table,MATCH(Number,Calculations!AK:AK,0),9),"")</f>
        <v/>
      </c>
      <c r="H43" s="4" t="str">
        <f>IF(Ranked_number&lt;=COUNT(Entry_number),INDEX(Lookup_table,MATCH(Number,Calculations!AK:AK,0),10),"")</f>
        <v/>
      </c>
      <c r="I43" s="9" t="str">
        <f>IF(D43&lt;=COUNT(Entry_number),INDEX(Lookup_table,MATCH(Number,Calculations!AK:AK,0),11),"")</f>
        <v/>
      </c>
      <c r="J43" s="114" t="str">
        <f>IF(D43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3" s="175"/>
      <c r="O43" s="176"/>
    </row>
    <row r="44" spans="1:15" x14ac:dyDescent="0.2">
      <c r="A44" s="181" t="str">
        <f>IF(Weighting_method="Inverse variance","Risk Difference","")</f>
        <v>Risk Difference</v>
      </c>
      <c r="B44" s="181"/>
      <c r="D44" s="89">
        <v>43</v>
      </c>
      <c r="E44" s="24" t="str">
        <f>IF(Number&lt;=COUNT(Entry_number),INDEX(Lookup_table,MATCH(Number,Calculations!AK:AK,0),3),"")</f>
        <v/>
      </c>
      <c r="F44" s="4" t="str">
        <f>IF(Ranked_number&lt;=COUNT(Entry_number),INDEX(Lookup_table,MATCH(Number,Calculations!AK:AK,0),5),"")</f>
        <v/>
      </c>
      <c r="G44" s="4" t="str">
        <f>IF(Ranked_number&lt;=COUNT(Entry_number),INDEX(Lookup_table,MATCH(Number,Calculations!AK:AK,0),9),"")</f>
        <v/>
      </c>
      <c r="H44" s="4" t="str">
        <f>IF(Ranked_number&lt;=COUNT(Entry_number),INDEX(Lookup_table,MATCH(Number,Calculations!AK:AK,0),10),"")</f>
        <v/>
      </c>
      <c r="I44" s="9" t="str">
        <f>IF(D44&lt;=COUNT(Entry_number),INDEX(Lookup_table,MATCH(Number,Calculations!AK:AK,0),11),"")</f>
        <v/>
      </c>
      <c r="J44" s="114" t="str">
        <f>IF(D44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4" s="175"/>
      <c r="O44" s="176"/>
    </row>
    <row r="45" spans="1:15" ht="12" customHeight="1" x14ac:dyDescent="0.2">
      <c r="A45" s="45"/>
      <c r="B45" s="45"/>
      <c r="D45" s="89">
        <v>44</v>
      </c>
      <c r="E45" s="24" t="str">
        <f>IF(Number&lt;=COUNT(Entry_number),INDEX(Lookup_table,MATCH(Number,Calculations!AK:AK,0),3),"")</f>
        <v/>
      </c>
      <c r="F45" s="4" t="str">
        <f>IF(Ranked_number&lt;=COUNT(Entry_number),INDEX(Lookup_table,MATCH(Number,Calculations!AK:AK,0),5),"")</f>
        <v/>
      </c>
      <c r="G45" s="4" t="str">
        <f>IF(Ranked_number&lt;=COUNT(Entry_number),INDEX(Lookup_table,MATCH(Number,Calculations!AK:AK,0),9),"")</f>
        <v/>
      </c>
      <c r="H45" s="4" t="str">
        <f>IF(Ranked_number&lt;=COUNT(Entry_number),INDEX(Lookup_table,MATCH(Number,Calculations!AK:AK,0),10),"")</f>
        <v/>
      </c>
      <c r="I45" s="9" t="str">
        <f>IF(D45&lt;=COUNT(Entry_number),INDEX(Lookup_table,MATCH(Number,Calculations!AK:AK,0),11),"")</f>
        <v/>
      </c>
      <c r="J45" s="114" t="str">
        <f>IF(D45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5" s="175"/>
      <c r="O45" s="176"/>
    </row>
    <row r="46" spans="1:15" x14ac:dyDescent="0.2">
      <c r="A46" s="178" t="s">
        <v>299</v>
      </c>
      <c r="B46" s="179"/>
      <c r="D46" s="89">
        <v>45</v>
      </c>
      <c r="E46" s="24" t="str">
        <f>IF(Number&lt;=COUNT(Entry_number),INDEX(Lookup_table,MATCH(Number,Calculations!AK:AK,0),3),"")</f>
        <v/>
      </c>
      <c r="F46" s="4" t="str">
        <f>IF(Ranked_number&lt;=COUNT(Entry_number),INDEX(Lookup_table,MATCH(Number,Calculations!AK:AK,0),5),"")</f>
        <v/>
      </c>
      <c r="G46" s="4" t="str">
        <f>IF(Ranked_number&lt;=COUNT(Entry_number),INDEX(Lookup_table,MATCH(Number,Calculations!AK:AK,0),9),"")</f>
        <v/>
      </c>
      <c r="H46" s="4" t="str">
        <f>IF(Ranked_number&lt;=COUNT(Entry_number),INDEX(Lookup_table,MATCH(Number,Calculations!AK:AK,0),10),"")</f>
        <v/>
      </c>
      <c r="I46" s="9" t="str">
        <f>IF(D46&lt;=COUNT(Entry_number),INDEX(Lookup_table,MATCH(Number,Calculations!AK:AK,0),11),"")</f>
        <v/>
      </c>
      <c r="J46" s="114" t="str">
        <f>IF(D46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6" s="175"/>
      <c r="O46" s="176"/>
    </row>
    <row r="47" spans="1:15" x14ac:dyDescent="0.2">
      <c r="A47" s="180" t="str">
        <f>IF(Model_effect_size_measure&lt;&gt;"",Model_effect_size_measure,"")</f>
        <v>Odds Ratio</v>
      </c>
      <c r="B47" s="180"/>
      <c r="D47" s="89">
        <v>46</v>
      </c>
      <c r="E47" s="24" t="str">
        <f>IF(Number&lt;=COUNT(Entry_number),INDEX(Lookup_table,MATCH(Number,Calculations!AK:AK,0),3),"")</f>
        <v/>
      </c>
      <c r="F47" s="4" t="str">
        <f>IF(Ranked_number&lt;=COUNT(Entry_number),INDEX(Lookup_table,MATCH(Number,Calculations!AK:AK,0),5),"")</f>
        <v/>
      </c>
      <c r="G47" s="4" t="str">
        <f>IF(Ranked_number&lt;=COUNT(Entry_number),INDEX(Lookup_table,MATCH(Number,Calculations!AK:AK,0),9),"")</f>
        <v/>
      </c>
      <c r="H47" s="4" t="str">
        <f>IF(Ranked_number&lt;=COUNT(Entry_number),INDEX(Lookup_table,MATCH(Number,Calculations!AK:AK,0),10),"")</f>
        <v/>
      </c>
      <c r="I47" s="9" t="str">
        <f>IF(D47&lt;=COUNT(Entry_number),INDEX(Lookup_table,MATCH(Number,Calculations!AK:AK,0),11),"")</f>
        <v/>
      </c>
      <c r="J47" s="114" t="str">
        <f>IF(D47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7" s="175"/>
      <c r="O47" s="176"/>
    </row>
    <row r="48" spans="1:15" x14ac:dyDescent="0.2">
      <c r="A48" s="181" t="str">
        <f>IF(OR(Model_effect_size_measure="Odds Ratio",Model_effect_size_measure="Peto Odds Ratio"),"Risk Ratio",IF(Model_effect_size_measure="Risk Ratio","Risk Difference",""))</f>
        <v>Risk Ratio</v>
      </c>
      <c r="B48" s="181"/>
      <c r="D48" s="89">
        <v>47</v>
      </c>
      <c r="E48" s="24" t="str">
        <f>IF(Number&lt;=COUNT(Entry_number),INDEX(Lookup_table,MATCH(Number,Calculations!AK:AK,0),3),"")</f>
        <v/>
      </c>
      <c r="F48" s="4" t="str">
        <f>IF(Ranked_number&lt;=COUNT(Entry_number),INDEX(Lookup_table,MATCH(Number,Calculations!AK:AK,0),5),"")</f>
        <v/>
      </c>
      <c r="G48" s="4" t="str">
        <f>IF(Ranked_number&lt;=COUNT(Entry_number),INDEX(Lookup_table,MATCH(Number,Calculations!AK:AK,0),9),"")</f>
        <v/>
      </c>
      <c r="H48" s="4" t="str">
        <f>IF(Ranked_number&lt;=COUNT(Entry_number),INDEX(Lookup_table,MATCH(Number,Calculations!AK:AK,0),10),"")</f>
        <v/>
      </c>
      <c r="I48" s="9" t="str">
        <f>IF(D48&lt;=COUNT(Entry_number),INDEX(Lookup_table,MATCH(Number,Calculations!AK:AK,0),11),"")</f>
        <v/>
      </c>
      <c r="J48" s="114" t="str">
        <f>IF(D48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8" s="175"/>
      <c r="O48" s="176"/>
    </row>
    <row r="49" spans="1:15" x14ac:dyDescent="0.2">
      <c r="A49" s="181" t="str">
        <f>IF(OR(Model_effect_size_measure="Odds Ratio",Model_effect_size_measure="Peto Odds Ratio"),"Risk Difference","")</f>
        <v>Risk Difference</v>
      </c>
      <c r="B49" s="181"/>
      <c r="D49" s="89">
        <v>48</v>
      </c>
      <c r="E49" s="24" t="str">
        <f>IF(Number&lt;=COUNT(Entry_number),INDEX(Lookup_table,MATCH(Number,Calculations!AK:AK,0),3),"")</f>
        <v/>
      </c>
      <c r="F49" s="4" t="str">
        <f>IF(Ranked_number&lt;=COUNT(Entry_number),INDEX(Lookup_table,MATCH(Number,Calculations!AK:AK,0),5),"")</f>
        <v/>
      </c>
      <c r="G49" s="4" t="str">
        <f>IF(Ranked_number&lt;=COUNT(Entry_number),INDEX(Lookup_table,MATCH(Number,Calculations!AK:AK,0),9),"")</f>
        <v/>
      </c>
      <c r="H49" s="4" t="str">
        <f>IF(Ranked_number&lt;=COUNT(Entry_number),INDEX(Lookup_table,MATCH(Number,Calculations!AK:AK,0),10),"")</f>
        <v/>
      </c>
      <c r="I49" s="9" t="str">
        <f>IF(D49&lt;=COUNT(Entry_number),INDEX(Lookup_table,MATCH(Number,Calculations!AK:AK,0),11),"")</f>
        <v/>
      </c>
      <c r="J49" s="114" t="str">
        <f>IF(D49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49" s="175"/>
      <c r="O49" s="176"/>
    </row>
    <row r="50" spans="1:15" x14ac:dyDescent="0.2">
      <c r="D50" s="89">
        <v>49</v>
      </c>
      <c r="E50" s="24" t="str">
        <f>IF(Number&lt;=COUNT(Entry_number),INDEX(Lookup_table,MATCH(Number,Calculations!AK:AK,0),3),"")</f>
        <v/>
      </c>
      <c r="F50" s="4" t="str">
        <f>IF(Ranked_number&lt;=COUNT(Entry_number),INDEX(Lookup_table,MATCH(Number,Calculations!AK:AK,0),5),"")</f>
        <v/>
      </c>
      <c r="G50" s="4" t="str">
        <f>IF(Ranked_number&lt;=COUNT(Entry_number),INDEX(Lookup_table,MATCH(Number,Calculations!AK:AK,0),9),"")</f>
        <v/>
      </c>
      <c r="H50" s="4" t="str">
        <f>IF(Ranked_number&lt;=COUNT(Entry_number),INDEX(Lookup_table,MATCH(Number,Calculations!AK:AK,0),10),"")</f>
        <v/>
      </c>
      <c r="I50" s="9" t="str">
        <f>IF(D50&lt;=COUNT(Entry_number),INDEX(Lookup_table,MATCH(Number,Calculations!AK:AK,0),11),"")</f>
        <v/>
      </c>
      <c r="J50" s="114" t="str">
        <f>IF(D50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0" s="175"/>
      <c r="O50" s="176"/>
    </row>
    <row r="51" spans="1:15" x14ac:dyDescent="0.2">
      <c r="D51" s="89">
        <v>50</v>
      </c>
      <c r="E51" s="24" t="str">
        <f>IF(Number&lt;=COUNT(Entry_number),INDEX(Lookup_table,MATCH(Number,Calculations!AK:AK,0),3),"")</f>
        <v/>
      </c>
      <c r="F51" s="4" t="str">
        <f>IF(Ranked_number&lt;=COUNT(Entry_number),INDEX(Lookup_table,MATCH(Number,Calculations!AK:AK,0),5),"")</f>
        <v/>
      </c>
      <c r="G51" s="4" t="str">
        <f>IF(Ranked_number&lt;=COUNT(Entry_number),INDEX(Lookup_table,MATCH(Number,Calculations!AK:AK,0),9),"")</f>
        <v/>
      </c>
      <c r="H51" s="4" t="str">
        <f>IF(Ranked_number&lt;=COUNT(Entry_number),INDEX(Lookup_table,MATCH(Number,Calculations!AK:AK,0),10),"")</f>
        <v/>
      </c>
      <c r="I51" s="9" t="str">
        <f>IF(D51&lt;=COUNT(Entry_number),INDEX(Lookup_table,MATCH(Number,Calculations!AK:AK,0),11),"")</f>
        <v/>
      </c>
      <c r="J51" s="114" t="str">
        <f>IF(D51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1" s="175"/>
      <c r="O51" s="176"/>
    </row>
    <row r="52" spans="1:15" x14ac:dyDescent="0.2">
      <c r="D52" s="89">
        <v>51</v>
      </c>
      <c r="E52" s="24" t="str">
        <f>IF(Number&lt;=COUNT(Entry_number),INDEX(Lookup_table,MATCH(Number,Calculations!AK:AK,0),3),"")</f>
        <v/>
      </c>
      <c r="F52" s="4" t="str">
        <f>IF(Ranked_number&lt;=COUNT(Entry_number),INDEX(Lookup_table,MATCH(Number,Calculations!AK:AK,0),5),"")</f>
        <v/>
      </c>
      <c r="G52" s="4" t="str">
        <f>IF(Ranked_number&lt;=COUNT(Entry_number),INDEX(Lookup_table,MATCH(Number,Calculations!AK:AK,0),9),"")</f>
        <v/>
      </c>
      <c r="H52" s="4" t="str">
        <f>IF(Ranked_number&lt;=COUNT(Entry_number),INDEX(Lookup_table,MATCH(Number,Calculations!AK:AK,0),10),"")</f>
        <v/>
      </c>
      <c r="I52" s="9" t="str">
        <f>IF(D52&lt;=COUNT(Entry_number),INDEX(Lookup_table,MATCH(Number,Calculations!AK:AK,0),11),"")</f>
        <v/>
      </c>
      <c r="J52" s="114" t="str">
        <f>IF(D52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2" s="175"/>
      <c r="O52" s="176"/>
    </row>
    <row r="53" spans="1:15" x14ac:dyDescent="0.2">
      <c r="D53" s="89">
        <v>52</v>
      </c>
      <c r="E53" s="24" t="str">
        <f>IF(Number&lt;=COUNT(Entry_number),INDEX(Lookup_table,MATCH(Number,Calculations!AK:AK,0),3),"")</f>
        <v/>
      </c>
      <c r="F53" s="4" t="str">
        <f>IF(Ranked_number&lt;=COUNT(Entry_number),INDEX(Lookup_table,MATCH(Number,Calculations!AK:AK,0),5),"")</f>
        <v/>
      </c>
      <c r="G53" s="4" t="str">
        <f>IF(Ranked_number&lt;=COUNT(Entry_number),INDEX(Lookup_table,MATCH(Number,Calculations!AK:AK,0),9),"")</f>
        <v/>
      </c>
      <c r="H53" s="4" t="str">
        <f>IF(Ranked_number&lt;=COUNT(Entry_number),INDEX(Lookup_table,MATCH(Number,Calculations!AK:AK,0),10),"")</f>
        <v/>
      </c>
      <c r="I53" s="9" t="str">
        <f>IF(D53&lt;=COUNT(Entry_number),INDEX(Lookup_table,MATCH(Number,Calculations!AK:AK,0),11),"")</f>
        <v/>
      </c>
      <c r="J53" s="114" t="str">
        <f>IF(D53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3" s="175"/>
      <c r="O53" s="176"/>
    </row>
    <row r="54" spans="1:15" x14ac:dyDescent="0.2">
      <c r="D54" s="89">
        <v>53</v>
      </c>
      <c r="E54" s="24" t="str">
        <f>IF(Number&lt;=COUNT(Entry_number),INDEX(Lookup_table,MATCH(Number,Calculations!AK:AK,0),3),"")</f>
        <v/>
      </c>
      <c r="F54" s="4" t="str">
        <f>IF(Ranked_number&lt;=COUNT(Entry_number),INDEX(Lookup_table,MATCH(Number,Calculations!AK:AK,0),5),"")</f>
        <v/>
      </c>
      <c r="G54" s="4" t="str">
        <f>IF(Ranked_number&lt;=COUNT(Entry_number),INDEX(Lookup_table,MATCH(Number,Calculations!AK:AK,0),9),"")</f>
        <v/>
      </c>
      <c r="H54" s="4" t="str">
        <f>IF(Ranked_number&lt;=COUNT(Entry_number),INDEX(Lookup_table,MATCH(Number,Calculations!AK:AK,0),10),"")</f>
        <v/>
      </c>
      <c r="I54" s="9" t="str">
        <f>IF(D54&lt;=COUNT(Entry_number),INDEX(Lookup_table,MATCH(Number,Calculations!AK:AK,0),11),"")</f>
        <v/>
      </c>
      <c r="J54" s="114" t="str">
        <f>IF(D54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4" s="175"/>
      <c r="O54" s="176"/>
    </row>
    <row r="55" spans="1:15" x14ac:dyDescent="0.2">
      <c r="D55" s="89">
        <v>54</v>
      </c>
      <c r="E55" s="24" t="str">
        <f>IF(Number&lt;=COUNT(Entry_number),INDEX(Lookup_table,MATCH(Number,Calculations!AK:AK,0),3),"")</f>
        <v/>
      </c>
      <c r="F55" s="4" t="str">
        <f>IF(Ranked_number&lt;=COUNT(Entry_number),INDEX(Lookup_table,MATCH(Number,Calculations!AK:AK,0),5),"")</f>
        <v/>
      </c>
      <c r="G55" s="4" t="str">
        <f>IF(Ranked_number&lt;=COUNT(Entry_number),INDEX(Lookup_table,MATCH(Number,Calculations!AK:AK,0),9),"")</f>
        <v/>
      </c>
      <c r="H55" s="4" t="str">
        <f>IF(Ranked_number&lt;=COUNT(Entry_number),INDEX(Lookup_table,MATCH(Number,Calculations!AK:AK,0),10),"")</f>
        <v/>
      </c>
      <c r="I55" s="9" t="str">
        <f>IF(D55&lt;=COUNT(Entry_number),INDEX(Lookup_table,MATCH(Number,Calculations!AK:AK,0),11),"")</f>
        <v/>
      </c>
      <c r="J55" s="114" t="str">
        <f>IF(D55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5" s="175"/>
      <c r="O55" s="176"/>
    </row>
    <row r="56" spans="1:15" x14ac:dyDescent="0.2">
      <c r="D56" s="89">
        <v>55</v>
      </c>
      <c r="E56" s="24" t="str">
        <f>IF(Number&lt;=COUNT(Entry_number),INDEX(Lookup_table,MATCH(Number,Calculations!AK:AK,0),3),"")</f>
        <v/>
      </c>
      <c r="F56" s="4" t="str">
        <f>IF(Ranked_number&lt;=COUNT(Entry_number),INDEX(Lookup_table,MATCH(Number,Calculations!AK:AK,0),5),"")</f>
        <v/>
      </c>
      <c r="G56" s="4" t="str">
        <f>IF(Ranked_number&lt;=COUNT(Entry_number),INDEX(Lookup_table,MATCH(Number,Calculations!AK:AK,0),9),"")</f>
        <v/>
      </c>
      <c r="H56" s="4" t="str">
        <f>IF(Ranked_number&lt;=COUNT(Entry_number),INDEX(Lookup_table,MATCH(Number,Calculations!AK:AK,0),10),"")</f>
        <v/>
      </c>
      <c r="I56" s="9" t="str">
        <f>IF(D56&lt;=COUNT(Entry_number),INDEX(Lookup_table,MATCH(Number,Calculations!AK:AK,0),11),"")</f>
        <v/>
      </c>
      <c r="J56" s="114" t="str">
        <f>IF(D56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6" s="175"/>
      <c r="O56" s="176"/>
    </row>
    <row r="57" spans="1:15" x14ac:dyDescent="0.2">
      <c r="D57" s="89">
        <v>56</v>
      </c>
      <c r="E57" s="24" t="str">
        <f>IF(Number&lt;=COUNT(Entry_number),INDEX(Lookup_table,MATCH(Number,Calculations!AK:AK,0),3),"")</f>
        <v/>
      </c>
      <c r="F57" s="4" t="str">
        <f>IF(Ranked_number&lt;=COUNT(Entry_number),INDEX(Lookup_table,MATCH(Number,Calculations!AK:AK,0),5),"")</f>
        <v/>
      </c>
      <c r="G57" s="4" t="str">
        <f>IF(Ranked_number&lt;=COUNT(Entry_number),INDEX(Lookup_table,MATCH(Number,Calculations!AK:AK,0),9),"")</f>
        <v/>
      </c>
      <c r="H57" s="4" t="str">
        <f>IF(Ranked_number&lt;=COUNT(Entry_number),INDEX(Lookup_table,MATCH(Number,Calculations!AK:AK,0),10),"")</f>
        <v/>
      </c>
      <c r="I57" s="9" t="str">
        <f>IF(D57&lt;=COUNT(Entry_number),INDEX(Lookup_table,MATCH(Number,Calculations!AK:AK,0),11),"")</f>
        <v/>
      </c>
      <c r="J57" s="114" t="str">
        <f>IF(D57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7" s="175"/>
      <c r="O57" s="176"/>
    </row>
    <row r="58" spans="1:15" x14ac:dyDescent="0.2">
      <c r="D58" s="89">
        <v>57</v>
      </c>
      <c r="E58" s="24" t="str">
        <f>IF(Number&lt;=COUNT(Entry_number),INDEX(Lookup_table,MATCH(Number,Calculations!AK:AK,0),3),"")</f>
        <v/>
      </c>
      <c r="F58" s="4" t="str">
        <f>IF(Ranked_number&lt;=COUNT(Entry_number),INDEX(Lookup_table,MATCH(Number,Calculations!AK:AK,0),5),"")</f>
        <v/>
      </c>
      <c r="G58" s="4" t="str">
        <f>IF(Ranked_number&lt;=COUNT(Entry_number),INDEX(Lookup_table,MATCH(Number,Calculations!AK:AK,0),9),"")</f>
        <v/>
      </c>
      <c r="H58" s="4" t="str">
        <f>IF(Ranked_number&lt;=COUNT(Entry_number),INDEX(Lookup_table,MATCH(Number,Calculations!AK:AK,0),10),"")</f>
        <v/>
      </c>
      <c r="I58" s="9" t="str">
        <f>IF(D58&lt;=COUNT(Entry_number),INDEX(Lookup_table,MATCH(Number,Calculations!AK:AK,0),11),"")</f>
        <v/>
      </c>
      <c r="J58" s="114" t="str">
        <f>IF(D58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8" s="175"/>
      <c r="O58" s="176"/>
    </row>
    <row r="59" spans="1:15" x14ac:dyDescent="0.2">
      <c r="D59" s="89">
        <v>58</v>
      </c>
      <c r="E59" s="24" t="str">
        <f>IF(Number&lt;=COUNT(Entry_number),INDEX(Lookup_table,MATCH(Number,Calculations!AK:AK,0),3),"")</f>
        <v/>
      </c>
      <c r="F59" s="4" t="str">
        <f>IF(Ranked_number&lt;=COUNT(Entry_number),INDEX(Lookup_table,MATCH(Number,Calculations!AK:AK,0),5),"")</f>
        <v/>
      </c>
      <c r="G59" s="4" t="str">
        <f>IF(Ranked_number&lt;=COUNT(Entry_number),INDEX(Lookup_table,MATCH(Number,Calculations!AK:AK,0),9),"")</f>
        <v/>
      </c>
      <c r="H59" s="4" t="str">
        <f>IF(Ranked_number&lt;=COUNT(Entry_number),INDEX(Lookup_table,MATCH(Number,Calculations!AK:AK,0),10),"")</f>
        <v/>
      </c>
      <c r="I59" s="9" t="str">
        <f>IF(D59&lt;=COUNT(Entry_number),INDEX(Lookup_table,MATCH(Number,Calculations!AK:AK,0),11),"")</f>
        <v/>
      </c>
      <c r="J59" s="114" t="str">
        <f>IF(D59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59" s="175"/>
      <c r="O59" s="176"/>
    </row>
    <row r="60" spans="1:15" x14ac:dyDescent="0.2">
      <c r="D60" s="89">
        <v>59</v>
      </c>
      <c r="E60" s="24" t="str">
        <f>IF(Number&lt;=COUNT(Entry_number),INDEX(Lookup_table,MATCH(Number,Calculations!AK:AK,0),3),"")</f>
        <v/>
      </c>
      <c r="F60" s="4" t="str">
        <f>IF(Ranked_number&lt;=COUNT(Entry_number),INDEX(Lookup_table,MATCH(Number,Calculations!AK:AK,0),5),"")</f>
        <v/>
      </c>
      <c r="G60" s="4" t="str">
        <f>IF(Ranked_number&lt;=COUNT(Entry_number),INDEX(Lookup_table,MATCH(Number,Calculations!AK:AK,0),9),"")</f>
        <v/>
      </c>
      <c r="H60" s="4" t="str">
        <f>IF(Ranked_number&lt;=COUNT(Entry_number),INDEX(Lookup_table,MATCH(Number,Calculations!AK:AK,0),10),"")</f>
        <v/>
      </c>
      <c r="I60" s="9" t="str">
        <f>IF(D60&lt;=COUNT(Entry_number),INDEX(Lookup_table,MATCH(Number,Calculations!AK:AK,0),11),"")</f>
        <v/>
      </c>
      <c r="J60" s="114" t="str">
        <f>IF(D60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0" s="175"/>
      <c r="O60" s="176"/>
    </row>
    <row r="61" spans="1:15" x14ac:dyDescent="0.2">
      <c r="D61" s="89">
        <v>60</v>
      </c>
      <c r="E61" s="24" t="str">
        <f>IF(Number&lt;=COUNT(Entry_number),INDEX(Lookup_table,MATCH(Number,Calculations!AK:AK,0),3),"")</f>
        <v/>
      </c>
      <c r="F61" s="4" t="str">
        <f>IF(Ranked_number&lt;=COUNT(Entry_number),INDEX(Lookup_table,MATCH(Number,Calculations!AK:AK,0),5),"")</f>
        <v/>
      </c>
      <c r="G61" s="4" t="str">
        <f>IF(Ranked_number&lt;=COUNT(Entry_number),INDEX(Lookup_table,MATCH(Number,Calculations!AK:AK,0),9),"")</f>
        <v/>
      </c>
      <c r="H61" s="4" t="str">
        <f>IF(Ranked_number&lt;=COUNT(Entry_number),INDEX(Lookup_table,MATCH(Number,Calculations!AK:AK,0),10),"")</f>
        <v/>
      </c>
      <c r="I61" s="9" t="str">
        <f>IF(D61&lt;=COUNT(Entry_number),INDEX(Lookup_table,MATCH(Number,Calculations!AK:AK,0),11),"")</f>
        <v/>
      </c>
      <c r="J61" s="114" t="str">
        <f>IF(D61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1" s="175"/>
      <c r="O61" s="176"/>
    </row>
    <row r="62" spans="1:15" x14ac:dyDescent="0.2">
      <c r="D62" s="89">
        <v>61</v>
      </c>
      <c r="E62" s="24" t="str">
        <f>IF(Number&lt;=COUNT(Entry_number),INDEX(Lookup_table,MATCH(Number,Calculations!AK:AK,0),3),"")</f>
        <v/>
      </c>
      <c r="F62" s="4" t="str">
        <f>IF(Ranked_number&lt;=COUNT(Entry_number),INDEX(Lookup_table,MATCH(Number,Calculations!AK:AK,0),5),"")</f>
        <v/>
      </c>
      <c r="G62" s="4" t="str">
        <f>IF(Ranked_number&lt;=COUNT(Entry_number),INDEX(Lookup_table,MATCH(Number,Calculations!AK:AK,0),9),"")</f>
        <v/>
      </c>
      <c r="H62" s="4" t="str">
        <f>IF(Ranked_number&lt;=COUNT(Entry_number),INDEX(Lookup_table,MATCH(Number,Calculations!AK:AK,0),10),"")</f>
        <v/>
      </c>
      <c r="I62" s="9" t="str">
        <f>IF(D62&lt;=COUNT(Entry_number),INDEX(Lookup_table,MATCH(Number,Calculations!AK:AK,0),11),"")</f>
        <v/>
      </c>
      <c r="J62" s="114" t="str">
        <f>IF(D62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2" s="175"/>
      <c r="O62" s="176"/>
    </row>
    <row r="63" spans="1:15" x14ac:dyDescent="0.2">
      <c r="D63" s="89">
        <v>62</v>
      </c>
      <c r="E63" s="24" t="str">
        <f>IF(Number&lt;=COUNT(Entry_number),INDEX(Lookup_table,MATCH(Number,Calculations!AK:AK,0),3),"")</f>
        <v/>
      </c>
      <c r="F63" s="4" t="str">
        <f>IF(Ranked_number&lt;=COUNT(Entry_number),INDEX(Lookup_table,MATCH(Number,Calculations!AK:AK,0),5),"")</f>
        <v/>
      </c>
      <c r="G63" s="4" t="str">
        <f>IF(Ranked_number&lt;=COUNT(Entry_number),INDEX(Lookup_table,MATCH(Number,Calculations!AK:AK,0),9),"")</f>
        <v/>
      </c>
      <c r="H63" s="4" t="str">
        <f>IF(Ranked_number&lt;=COUNT(Entry_number),INDEX(Lookup_table,MATCH(Number,Calculations!AK:AK,0),10),"")</f>
        <v/>
      </c>
      <c r="I63" s="9" t="str">
        <f>IF(D63&lt;=COUNT(Entry_number),INDEX(Lookup_table,MATCH(Number,Calculations!AK:AK,0),11),"")</f>
        <v/>
      </c>
      <c r="J63" s="114" t="str">
        <f>IF(D63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3" s="175"/>
      <c r="O63" s="176"/>
    </row>
    <row r="64" spans="1:15" x14ac:dyDescent="0.2">
      <c r="D64" s="89">
        <v>63</v>
      </c>
      <c r="E64" s="24" t="str">
        <f>IF(Number&lt;=COUNT(Entry_number),INDEX(Lookup_table,MATCH(Number,Calculations!AK:AK,0),3),"")</f>
        <v/>
      </c>
      <c r="F64" s="4" t="str">
        <f>IF(Ranked_number&lt;=COUNT(Entry_number),INDEX(Lookup_table,MATCH(Number,Calculations!AK:AK,0),5),"")</f>
        <v/>
      </c>
      <c r="G64" s="4" t="str">
        <f>IF(Ranked_number&lt;=COUNT(Entry_number),INDEX(Lookup_table,MATCH(Number,Calculations!AK:AK,0),9),"")</f>
        <v/>
      </c>
      <c r="H64" s="4" t="str">
        <f>IF(Ranked_number&lt;=COUNT(Entry_number),INDEX(Lookup_table,MATCH(Number,Calculations!AK:AK,0),10),"")</f>
        <v/>
      </c>
      <c r="I64" s="9" t="str">
        <f>IF(D64&lt;=COUNT(Entry_number),INDEX(Lookup_table,MATCH(Number,Calculations!AK:AK,0),11),"")</f>
        <v/>
      </c>
      <c r="J64" s="114" t="str">
        <f>IF(D64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4" s="175"/>
      <c r="O64" s="176"/>
    </row>
    <row r="65" spans="4:15" x14ac:dyDescent="0.2">
      <c r="D65" s="89">
        <v>64</v>
      </c>
      <c r="E65" s="24" t="str">
        <f>IF(Number&lt;=COUNT(Entry_number),INDEX(Lookup_table,MATCH(Number,Calculations!AK:AK,0),3),"")</f>
        <v/>
      </c>
      <c r="F65" s="4" t="str">
        <f>IF(Ranked_number&lt;=COUNT(Entry_number),INDEX(Lookup_table,MATCH(Number,Calculations!AK:AK,0),5),"")</f>
        <v/>
      </c>
      <c r="G65" s="4" t="str">
        <f>IF(Ranked_number&lt;=COUNT(Entry_number),INDEX(Lookup_table,MATCH(Number,Calculations!AK:AK,0),9),"")</f>
        <v/>
      </c>
      <c r="H65" s="4" t="str">
        <f>IF(Ranked_number&lt;=COUNT(Entry_number),INDEX(Lookup_table,MATCH(Number,Calculations!AK:AK,0),10),"")</f>
        <v/>
      </c>
      <c r="I65" s="9" t="str">
        <f>IF(D65&lt;=COUNT(Entry_number),INDEX(Lookup_table,MATCH(Number,Calculations!AK:AK,0),11),"")</f>
        <v/>
      </c>
      <c r="J65" s="114" t="str">
        <f>IF(D65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5" s="175"/>
      <c r="O65" s="176"/>
    </row>
    <row r="66" spans="4:15" x14ac:dyDescent="0.2">
      <c r="D66" s="89">
        <v>65</v>
      </c>
      <c r="E66" s="24" t="str">
        <f>IF(Number&lt;=COUNT(Entry_number),INDEX(Lookup_table,MATCH(Number,Calculations!AK:AK,0),3),"")</f>
        <v/>
      </c>
      <c r="F66" s="4" t="str">
        <f>IF(Ranked_number&lt;=COUNT(Entry_number),INDEX(Lookup_table,MATCH(Number,Calculations!AK:AK,0),5),"")</f>
        <v/>
      </c>
      <c r="G66" s="4" t="str">
        <f>IF(Ranked_number&lt;=COUNT(Entry_number),INDEX(Lookup_table,MATCH(Number,Calculations!AK:AK,0),9),"")</f>
        <v/>
      </c>
      <c r="H66" s="4" t="str">
        <f>IF(Ranked_number&lt;=COUNT(Entry_number),INDEX(Lookup_table,MATCH(Number,Calculations!AK:AK,0),10),"")</f>
        <v/>
      </c>
      <c r="I66" s="9" t="str">
        <f>IF(D66&lt;=COUNT(Entry_number),INDEX(Lookup_table,MATCH(Number,Calculations!AK:AK,0),11),"")</f>
        <v/>
      </c>
      <c r="J66" s="114" t="str">
        <f>IF(D66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6" s="175"/>
      <c r="O66" s="176"/>
    </row>
    <row r="67" spans="4:15" x14ac:dyDescent="0.2">
      <c r="D67" s="89">
        <v>66</v>
      </c>
      <c r="E67" s="24" t="str">
        <f>IF(Number&lt;=COUNT(Entry_number),INDEX(Lookup_table,MATCH(Number,Calculations!AK:AK,0),3),"")</f>
        <v/>
      </c>
      <c r="F67" s="4" t="str">
        <f>IF(Ranked_number&lt;=COUNT(Entry_number),INDEX(Lookup_table,MATCH(Number,Calculations!AK:AK,0),5),"")</f>
        <v/>
      </c>
      <c r="G67" s="4" t="str">
        <f>IF(Ranked_number&lt;=COUNT(Entry_number),INDEX(Lookup_table,MATCH(Number,Calculations!AK:AK,0),9),"")</f>
        <v/>
      </c>
      <c r="H67" s="4" t="str">
        <f>IF(Ranked_number&lt;=COUNT(Entry_number),INDEX(Lookup_table,MATCH(Number,Calculations!AK:AK,0),10),"")</f>
        <v/>
      </c>
      <c r="I67" s="9" t="str">
        <f>IF(D67&lt;=COUNT(Entry_number),INDEX(Lookup_table,MATCH(Number,Calculations!AK:AK,0),11),"")</f>
        <v/>
      </c>
      <c r="J67" s="114" t="str">
        <f>IF(D67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7" s="175"/>
      <c r="O67" s="176"/>
    </row>
    <row r="68" spans="4:15" x14ac:dyDescent="0.2">
      <c r="D68" s="89">
        <v>67</v>
      </c>
      <c r="E68" s="24" t="str">
        <f>IF(Number&lt;=COUNT(Entry_number),INDEX(Lookup_table,MATCH(Number,Calculations!AK:AK,0),3),"")</f>
        <v/>
      </c>
      <c r="F68" s="4" t="str">
        <f>IF(Ranked_number&lt;=COUNT(Entry_number),INDEX(Lookup_table,MATCH(Number,Calculations!AK:AK,0),5),"")</f>
        <v/>
      </c>
      <c r="G68" s="4" t="str">
        <f>IF(Ranked_number&lt;=COUNT(Entry_number),INDEX(Lookup_table,MATCH(Number,Calculations!AK:AK,0),9),"")</f>
        <v/>
      </c>
      <c r="H68" s="4" t="str">
        <f>IF(Ranked_number&lt;=COUNT(Entry_number),INDEX(Lookup_table,MATCH(Number,Calculations!AK:AK,0),10),"")</f>
        <v/>
      </c>
      <c r="I68" s="9" t="str">
        <f>IF(D68&lt;=COUNT(Entry_number),INDEX(Lookup_table,MATCH(Number,Calculations!AK:AK,0),11),"")</f>
        <v/>
      </c>
      <c r="J68" s="114" t="str">
        <f>IF(D68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8" s="175"/>
      <c r="O68" s="176"/>
    </row>
    <row r="69" spans="4:15" x14ac:dyDescent="0.2">
      <c r="D69" s="89">
        <v>68</v>
      </c>
      <c r="E69" s="24" t="str">
        <f>IF(Number&lt;=COUNT(Entry_number),INDEX(Lookup_table,MATCH(Number,Calculations!AK:AK,0),3),"")</f>
        <v/>
      </c>
      <c r="F69" s="4" t="str">
        <f>IF(Ranked_number&lt;=COUNT(Entry_number),INDEX(Lookup_table,MATCH(Number,Calculations!AK:AK,0),5),"")</f>
        <v/>
      </c>
      <c r="G69" s="4" t="str">
        <f>IF(Ranked_number&lt;=COUNT(Entry_number),INDEX(Lookup_table,MATCH(Number,Calculations!AK:AK,0),9),"")</f>
        <v/>
      </c>
      <c r="H69" s="4" t="str">
        <f>IF(Ranked_number&lt;=COUNT(Entry_number),INDEX(Lookup_table,MATCH(Number,Calculations!AK:AK,0),10),"")</f>
        <v/>
      </c>
      <c r="I69" s="9" t="str">
        <f>IF(D69&lt;=COUNT(Entry_number),INDEX(Lookup_table,MATCH(Number,Calculations!AK:AK,0),11),"")</f>
        <v/>
      </c>
      <c r="J69" s="114" t="str">
        <f>IF(D69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69" s="175"/>
      <c r="O69" s="176"/>
    </row>
    <row r="70" spans="4:15" x14ac:dyDescent="0.2">
      <c r="D70" s="89">
        <v>69</v>
      </c>
      <c r="E70" s="24" t="str">
        <f>IF(Number&lt;=COUNT(Entry_number),INDEX(Lookup_table,MATCH(Number,Calculations!AK:AK,0),3),"")</f>
        <v/>
      </c>
      <c r="F70" s="4" t="str">
        <f>IF(Ranked_number&lt;=COUNT(Entry_number),INDEX(Lookup_table,MATCH(Number,Calculations!AK:AK,0),5),"")</f>
        <v/>
      </c>
      <c r="G70" s="4" t="str">
        <f>IF(Ranked_number&lt;=COUNT(Entry_number),INDEX(Lookup_table,MATCH(Number,Calculations!AK:AK,0),9),"")</f>
        <v/>
      </c>
      <c r="H70" s="4" t="str">
        <f>IF(Ranked_number&lt;=COUNT(Entry_number),INDEX(Lookup_table,MATCH(Number,Calculations!AK:AK,0),10),"")</f>
        <v/>
      </c>
      <c r="I70" s="9" t="str">
        <f>IF(D70&lt;=COUNT(Entry_number),INDEX(Lookup_table,MATCH(Number,Calculations!AK:AK,0),11),"")</f>
        <v/>
      </c>
      <c r="J70" s="114" t="str">
        <f>IF(D70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0" s="175"/>
      <c r="O70" s="176"/>
    </row>
    <row r="71" spans="4:15" x14ac:dyDescent="0.2">
      <c r="D71" s="89">
        <v>70</v>
      </c>
      <c r="E71" s="24" t="str">
        <f>IF(Number&lt;=COUNT(Entry_number),INDEX(Lookup_table,MATCH(Number,Calculations!AK:AK,0),3),"")</f>
        <v/>
      </c>
      <c r="F71" s="4" t="str">
        <f>IF(Ranked_number&lt;=COUNT(Entry_number),INDEX(Lookup_table,MATCH(Number,Calculations!AK:AK,0),5),"")</f>
        <v/>
      </c>
      <c r="G71" s="4" t="str">
        <f>IF(Ranked_number&lt;=COUNT(Entry_number),INDEX(Lookup_table,MATCH(Number,Calculations!AK:AK,0),9),"")</f>
        <v/>
      </c>
      <c r="H71" s="4" t="str">
        <f>IF(Ranked_number&lt;=COUNT(Entry_number),INDEX(Lookup_table,MATCH(Number,Calculations!AK:AK,0),10),"")</f>
        <v/>
      </c>
      <c r="I71" s="9" t="str">
        <f>IF(D71&lt;=COUNT(Entry_number),INDEX(Lookup_table,MATCH(Number,Calculations!AK:AK,0),11),"")</f>
        <v/>
      </c>
      <c r="J71" s="114" t="str">
        <f>IF(D71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1" s="175"/>
      <c r="O71" s="176"/>
    </row>
    <row r="72" spans="4:15" x14ac:dyDescent="0.2">
      <c r="D72" s="89">
        <v>71</v>
      </c>
      <c r="E72" s="24" t="str">
        <f>IF(Number&lt;=COUNT(Entry_number),INDEX(Lookup_table,MATCH(Number,Calculations!AK:AK,0),3),"")</f>
        <v/>
      </c>
      <c r="F72" s="4" t="str">
        <f>IF(Ranked_number&lt;=COUNT(Entry_number),INDEX(Lookup_table,MATCH(Number,Calculations!AK:AK,0),5),"")</f>
        <v/>
      </c>
      <c r="G72" s="4" t="str">
        <f>IF(Ranked_number&lt;=COUNT(Entry_number),INDEX(Lookup_table,MATCH(Number,Calculations!AK:AK,0),9),"")</f>
        <v/>
      </c>
      <c r="H72" s="4" t="str">
        <f>IF(Ranked_number&lt;=COUNT(Entry_number),INDEX(Lookup_table,MATCH(Number,Calculations!AK:AK,0),10),"")</f>
        <v/>
      </c>
      <c r="I72" s="9" t="str">
        <f>IF(D72&lt;=COUNT(Entry_number),INDEX(Lookup_table,MATCH(Number,Calculations!AK:AK,0),11),"")</f>
        <v/>
      </c>
      <c r="J72" s="114" t="str">
        <f>IF(D72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2" s="175"/>
      <c r="O72" s="176"/>
    </row>
    <row r="73" spans="4:15" x14ac:dyDescent="0.2">
      <c r="D73" s="89">
        <v>72</v>
      </c>
      <c r="E73" s="24" t="str">
        <f>IF(Number&lt;=COUNT(Entry_number),INDEX(Lookup_table,MATCH(Number,Calculations!AK:AK,0),3),"")</f>
        <v/>
      </c>
      <c r="F73" s="4" t="str">
        <f>IF(Ranked_number&lt;=COUNT(Entry_number),INDEX(Lookup_table,MATCH(Number,Calculations!AK:AK,0),5),"")</f>
        <v/>
      </c>
      <c r="G73" s="4" t="str">
        <f>IF(Ranked_number&lt;=COUNT(Entry_number),INDEX(Lookup_table,MATCH(Number,Calculations!AK:AK,0),9),"")</f>
        <v/>
      </c>
      <c r="H73" s="4" t="str">
        <f>IF(Ranked_number&lt;=COUNT(Entry_number),INDEX(Lookup_table,MATCH(Number,Calculations!AK:AK,0),10),"")</f>
        <v/>
      </c>
      <c r="I73" s="9" t="str">
        <f>IF(D73&lt;=COUNT(Entry_number),INDEX(Lookup_table,MATCH(Number,Calculations!AK:AK,0),11),"")</f>
        <v/>
      </c>
      <c r="J73" s="114" t="str">
        <f>IF(D73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3" s="175"/>
      <c r="O73" s="176"/>
    </row>
    <row r="74" spans="4:15" x14ac:dyDescent="0.2">
      <c r="D74" s="89">
        <v>73</v>
      </c>
      <c r="E74" s="24" t="str">
        <f>IF(Number&lt;=COUNT(Entry_number),INDEX(Lookup_table,MATCH(Number,Calculations!AK:AK,0),3),"")</f>
        <v/>
      </c>
      <c r="F74" s="4" t="str">
        <f>IF(Ranked_number&lt;=COUNT(Entry_number),INDEX(Lookup_table,MATCH(Number,Calculations!AK:AK,0),5),"")</f>
        <v/>
      </c>
      <c r="G74" s="4" t="str">
        <f>IF(Ranked_number&lt;=COUNT(Entry_number),INDEX(Lookup_table,MATCH(Number,Calculations!AK:AK,0),9),"")</f>
        <v/>
      </c>
      <c r="H74" s="4" t="str">
        <f>IF(Ranked_number&lt;=COUNT(Entry_number),INDEX(Lookup_table,MATCH(Number,Calculations!AK:AK,0),10),"")</f>
        <v/>
      </c>
      <c r="I74" s="9" t="str">
        <f>IF(D74&lt;=COUNT(Entry_number),INDEX(Lookup_table,MATCH(Number,Calculations!AK:AK,0),11),"")</f>
        <v/>
      </c>
      <c r="J74" s="114" t="str">
        <f>IF(D74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4" s="175"/>
      <c r="O74" s="176"/>
    </row>
    <row r="75" spans="4:15" x14ac:dyDescent="0.2">
      <c r="D75" s="89">
        <v>74</v>
      </c>
      <c r="E75" s="24" t="str">
        <f>IF(Number&lt;=COUNT(Entry_number),INDEX(Lookup_table,MATCH(Number,Calculations!AK:AK,0),3),"")</f>
        <v/>
      </c>
      <c r="F75" s="4" t="str">
        <f>IF(Ranked_number&lt;=COUNT(Entry_number),INDEX(Lookup_table,MATCH(Number,Calculations!AK:AK,0),5),"")</f>
        <v/>
      </c>
      <c r="G75" s="4" t="str">
        <f>IF(Ranked_number&lt;=COUNT(Entry_number),INDEX(Lookup_table,MATCH(Number,Calculations!AK:AK,0),9),"")</f>
        <v/>
      </c>
      <c r="H75" s="4" t="str">
        <f>IF(Ranked_number&lt;=COUNT(Entry_number),INDEX(Lookup_table,MATCH(Number,Calculations!AK:AK,0),10),"")</f>
        <v/>
      </c>
      <c r="I75" s="9" t="str">
        <f>IF(D75&lt;=COUNT(Entry_number),INDEX(Lookup_table,MATCH(Number,Calculations!AK:AK,0),11),"")</f>
        <v/>
      </c>
      <c r="J75" s="114" t="str">
        <f>IF(D75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5" s="175"/>
      <c r="O75" s="176"/>
    </row>
    <row r="76" spans="4:15" x14ac:dyDescent="0.2">
      <c r="D76" s="89">
        <v>75</v>
      </c>
      <c r="E76" s="24" t="str">
        <f>IF(Number&lt;=COUNT(Entry_number),INDEX(Lookup_table,MATCH(Number,Calculations!AK:AK,0),3),"")</f>
        <v/>
      </c>
      <c r="F76" s="4" t="str">
        <f>IF(Ranked_number&lt;=COUNT(Entry_number),INDEX(Lookup_table,MATCH(Number,Calculations!AK:AK,0),5),"")</f>
        <v/>
      </c>
      <c r="G76" s="4" t="str">
        <f>IF(Ranked_number&lt;=COUNT(Entry_number),INDEX(Lookup_table,MATCH(Number,Calculations!AK:AK,0),9),"")</f>
        <v/>
      </c>
      <c r="H76" s="4" t="str">
        <f>IF(Ranked_number&lt;=COUNT(Entry_number),INDEX(Lookup_table,MATCH(Number,Calculations!AK:AK,0),10),"")</f>
        <v/>
      </c>
      <c r="I76" s="9" t="str">
        <f>IF(D76&lt;=COUNT(Entry_number),INDEX(Lookup_table,MATCH(Number,Calculations!AK:AK,0),11),"")</f>
        <v/>
      </c>
      <c r="J76" s="114" t="str">
        <f>IF(D76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6" s="175"/>
      <c r="O76" s="176"/>
    </row>
    <row r="77" spans="4:15" x14ac:dyDescent="0.2">
      <c r="D77" s="89">
        <v>76</v>
      </c>
      <c r="E77" s="24" t="str">
        <f>IF(Number&lt;=COUNT(Entry_number),INDEX(Lookup_table,MATCH(Number,Calculations!AK:AK,0),3),"")</f>
        <v/>
      </c>
      <c r="F77" s="4" t="str">
        <f>IF(Ranked_number&lt;=COUNT(Entry_number),INDEX(Lookup_table,MATCH(Number,Calculations!AK:AK,0),5),"")</f>
        <v/>
      </c>
      <c r="G77" s="4" t="str">
        <f>IF(Ranked_number&lt;=COUNT(Entry_number),INDEX(Lookup_table,MATCH(Number,Calculations!AK:AK,0),9),"")</f>
        <v/>
      </c>
      <c r="H77" s="4" t="str">
        <f>IF(Ranked_number&lt;=COUNT(Entry_number),INDEX(Lookup_table,MATCH(Number,Calculations!AK:AK,0),10),"")</f>
        <v/>
      </c>
      <c r="I77" s="9" t="str">
        <f>IF(D77&lt;=COUNT(Entry_number),INDEX(Lookup_table,MATCH(Number,Calculations!AK:AK,0),11),"")</f>
        <v/>
      </c>
      <c r="J77" s="114" t="str">
        <f>IF(D77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7" s="175"/>
      <c r="O77" s="176"/>
    </row>
    <row r="78" spans="4:15" x14ac:dyDescent="0.2">
      <c r="D78" s="89">
        <v>77</v>
      </c>
      <c r="E78" s="24" t="str">
        <f>IF(Number&lt;=COUNT(Entry_number),INDEX(Lookup_table,MATCH(Number,Calculations!AK:AK,0),3),"")</f>
        <v/>
      </c>
      <c r="F78" s="4" t="str">
        <f>IF(Ranked_number&lt;=COUNT(Entry_number),INDEX(Lookup_table,MATCH(Number,Calculations!AK:AK,0),5),"")</f>
        <v/>
      </c>
      <c r="G78" s="4" t="str">
        <f>IF(Ranked_number&lt;=COUNT(Entry_number),INDEX(Lookup_table,MATCH(Number,Calculations!AK:AK,0),9),"")</f>
        <v/>
      </c>
      <c r="H78" s="4" t="str">
        <f>IF(Ranked_number&lt;=COUNT(Entry_number),INDEX(Lookup_table,MATCH(Number,Calculations!AK:AK,0),10),"")</f>
        <v/>
      </c>
      <c r="I78" s="9" t="str">
        <f>IF(D78&lt;=COUNT(Entry_number),INDEX(Lookup_table,MATCH(Number,Calculations!AK:AK,0),11),"")</f>
        <v/>
      </c>
      <c r="J78" s="114" t="str">
        <f>IF(D78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8" s="175"/>
      <c r="O78" s="176"/>
    </row>
    <row r="79" spans="4:15" x14ac:dyDescent="0.2">
      <c r="D79" s="89">
        <v>78</v>
      </c>
      <c r="E79" s="24" t="str">
        <f>IF(Number&lt;=COUNT(Entry_number),INDEX(Lookup_table,MATCH(Number,Calculations!AK:AK,0),3),"")</f>
        <v/>
      </c>
      <c r="F79" s="4" t="str">
        <f>IF(Ranked_number&lt;=COUNT(Entry_number),INDEX(Lookup_table,MATCH(Number,Calculations!AK:AK,0),5),"")</f>
        <v/>
      </c>
      <c r="G79" s="4" t="str">
        <f>IF(Ranked_number&lt;=COUNT(Entry_number),INDEX(Lookup_table,MATCH(Number,Calculations!AK:AK,0),9),"")</f>
        <v/>
      </c>
      <c r="H79" s="4" t="str">
        <f>IF(Ranked_number&lt;=COUNT(Entry_number),INDEX(Lookup_table,MATCH(Number,Calculations!AK:AK,0),10),"")</f>
        <v/>
      </c>
      <c r="I79" s="9" t="str">
        <f>IF(D79&lt;=COUNT(Entry_number),INDEX(Lookup_table,MATCH(Number,Calculations!AK:AK,0),11),"")</f>
        <v/>
      </c>
      <c r="J79" s="114" t="str">
        <f>IF(D79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79" s="175"/>
      <c r="O79" s="176"/>
    </row>
    <row r="80" spans="4:15" x14ac:dyDescent="0.2">
      <c r="D80" s="89">
        <v>79</v>
      </c>
      <c r="E80" s="24" t="str">
        <f>IF(Number&lt;=COUNT(Entry_number),INDEX(Lookup_table,MATCH(Number,Calculations!AK:AK,0),3),"")</f>
        <v/>
      </c>
      <c r="F80" s="4" t="str">
        <f>IF(Ranked_number&lt;=COUNT(Entry_number),INDEX(Lookup_table,MATCH(Number,Calculations!AK:AK,0),5),"")</f>
        <v/>
      </c>
      <c r="G80" s="4" t="str">
        <f>IF(Ranked_number&lt;=COUNT(Entry_number),INDEX(Lookup_table,MATCH(Number,Calculations!AK:AK,0),9),"")</f>
        <v/>
      </c>
      <c r="H80" s="4" t="str">
        <f>IF(Ranked_number&lt;=COUNT(Entry_number),INDEX(Lookup_table,MATCH(Number,Calculations!AK:AK,0),10),"")</f>
        <v/>
      </c>
      <c r="I80" s="9" t="str">
        <f>IF(D80&lt;=COUNT(Entry_number),INDEX(Lookup_table,MATCH(Number,Calculations!AK:AK,0),11),"")</f>
        <v/>
      </c>
      <c r="J80" s="114" t="str">
        <f>IF(D80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0" s="175"/>
      <c r="O80" s="176"/>
    </row>
    <row r="81" spans="4:15" x14ac:dyDescent="0.2">
      <c r="D81" s="89">
        <v>80</v>
      </c>
      <c r="E81" s="24" t="str">
        <f>IF(Number&lt;=COUNT(Entry_number),INDEX(Lookup_table,MATCH(Number,Calculations!AK:AK,0),3),"")</f>
        <v/>
      </c>
      <c r="F81" s="4" t="str">
        <f>IF(Ranked_number&lt;=COUNT(Entry_number),INDEX(Lookup_table,MATCH(Number,Calculations!AK:AK,0),5),"")</f>
        <v/>
      </c>
      <c r="G81" s="4" t="str">
        <f>IF(Ranked_number&lt;=COUNT(Entry_number),INDEX(Lookup_table,MATCH(Number,Calculations!AK:AK,0),9),"")</f>
        <v/>
      </c>
      <c r="H81" s="4" t="str">
        <f>IF(Ranked_number&lt;=COUNT(Entry_number),INDEX(Lookup_table,MATCH(Number,Calculations!AK:AK,0),10),"")</f>
        <v/>
      </c>
      <c r="I81" s="9" t="str">
        <f>IF(D81&lt;=COUNT(Entry_number),INDEX(Lookup_table,MATCH(Number,Calculations!AK:AK,0),11),"")</f>
        <v/>
      </c>
      <c r="J81" s="114" t="str">
        <f>IF(D81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1" s="175"/>
      <c r="O81" s="176"/>
    </row>
    <row r="82" spans="4:15" x14ac:dyDescent="0.2">
      <c r="D82" s="89">
        <v>81</v>
      </c>
      <c r="E82" s="24" t="str">
        <f>IF(Number&lt;=COUNT(Entry_number),INDEX(Lookup_table,MATCH(Number,Calculations!AK:AK,0),3),"")</f>
        <v/>
      </c>
      <c r="F82" s="4" t="str">
        <f>IF(Ranked_number&lt;=COUNT(Entry_number),INDEX(Lookup_table,MATCH(Number,Calculations!AK:AK,0),5),"")</f>
        <v/>
      </c>
      <c r="G82" s="4" t="str">
        <f>IF(Ranked_number&lt;=COUNT(Entry_number),INDEX(Lookup_table,MATCH(Number,Calculations!AK:AK,0),9),"")</f>
        <v/>
      </c>
      <c r="H82" s="4" t="str">
        <f>IF(Ranked_number&lt;=COUNT(Entry_number),INDEX(Lookup_table,MATCH(Number,Calculations!AK:AK,0),10),"")</f>
        <v/>
      </c>
      <c r="I82" s="9" t="str">
        <f>IF(D82&lt;=COUNT(Entry_number),INDEX(Lookup_table,MATCH(Number,Calculations!AK:AK,0),11),"")</f>
        <v/>
      </c>
      <c r="J82" s="114" t="str">
        <f>IF(D82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2" s="175"/>
      <c r="O82" s="176"/>
    </row>
    <row r="83" spans="4:15" x14ac:dyDescent="0.2">
      <c r="D83" s="89">
        <v>82</v>
      </c>
      <c r="E83" s="24" t="str">
        <f>IF(Number&lt;=COUNT(Entry_number),INDEX(Lookup_table,MATCH(Number,Calculations!AK:AK,0),3),"")</f>
        <v/>
      </c>
      <c r="F83" s="4" t="str">
        <f>IF(Ranked_number&lt;=COUNT(Entry_number),INDEX(Lookup_table,MATCH(Number,Calculations!AK:AK,0),5),"")</f>
        <v/>
      </c>
      <c r="G83" s="4" t="str">
        <f>IF(Ranked_number&lt;=COUNT(Entry_number),INDEX(Lookup_table,MATCH(Number,Calculations!AK:AK,0),9),"")</f>
        <v/>
      </c>
      <c r="H83" s="4" t="str">
        <f>IF(Ranked_number&lt;=COUNT(Entry_number),INDEX(Lookup_table,MATCH(Number,Calculations!AK:AK,0),10),"")</f>
        <v/>
      </c>
      <c r="I83" s="9" t="str">
        <f>IF(D83&lt;=COUNT(Entry_number),INDEX(Lookup_table,MATCH(Number,Calculations!AK:AK,0),11),"")</f>
        <v/>
      </c>
      <c r="J83" s="114" t="str">
        <f>IF(D83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3" s="175"/>
      <c r="O83" s="176"/>
    </row>
    <row r="84" spans="4:15" x14ac:dyDescent="0.2">
      <c r="D84" s="89">
        <v>83</v>
      </c>
      <c r="E84" s="24" t="str">
        <f>IF(Number&lt;=COUNT(Entry_number),INDEX(Lookup_table,MATCH(Number,Calculations!AK:AK,0),3),"")</f>
        <v/>
      </c>
      <c r="F84" s="4" t="str">
        <f>IF(Ranked_number&lt;=COUNT(Entry_number),INDEX(Lookup_table,MATCH(Number,Calculations!AK:AK,0),5),"")</f>
        <v/>
      </c>
      <c r="G84" s="4" t="str">
        <f>IF(Ranked_number&lt;=COUNT(Entry_number),INDEX(Lookup_table,MATCH(Number,Calculations!AK:AK,0),9),"")</f>
        <v/>
      </c>
      <c r="H84" s="4" t="str">
        <f>IF(Ranked_number&lt;=COUNT(Entry_number),INDEX(Lookup_table,MATCH(Number,Calculations!AK:AK,0),10),"")</f>
        <v/>
      </c>
      <c r="I84" s="9" t="str">
        <f>IF(D84&lt;=COUNT(Entry_number),INDEX(Lookup_table,MATCH(Number,Calculations!AK:AK,0),11),"")</f>
        <v/>
      </c>
      <c r="J84" s="114" t="str">
        <f>IF(D84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4" s="175"/>
      <c r="O84" s="176"/>
    </row>
    <row r="85" spans="4:15" x14ac:dyDescent="0.2">
      <c r="D85" s="89">
        <v>84</v>
      </c>
      <c r="E85" s="24" t="str">
        <f>IF(Number&lt;=COUNT(Entry_number),INDEX(Lookup_table,MATCH(Number,Calculations!AK:AK,0),3),"")</f>
        <v/>
      </c>
      <c r="F85" s="4" t="str">
        <f>IF(Ranked_number&lt;=COUNT(Entry_number),INDEX(Lookup_table,MATCH(Number,Calculations!AK:AK,0),5),"")</f>
        <v/>
      </c>
      <c r="G85" s="4" t="str">
        <f>IF(Ranked_number&lt;=COUNT(Entry_number),INDEX(Lookup_table,MATCH(Number,Calculations!AK:AK,0),9),"")</f>
        <v/>
      </c>
      <c r="H85" s="4" t="str">
        <f>IF(Ranked_number&lt;=COUNT(Entry_number),INDEX(Lookup_table,MATCH(Number,Calculations!AK:AK,0),10),"")</f>
        <v/>
      </c>
      <c r="I85" s="9" t="str">
        <f>IF(D85&lt;=COUNT(Entry_number),INDEX(Lookup_table,MATCH(Number,Calculations!AK:AK,0),11),"")</f>
        <v/>
      </c>
      <c r="J85" s="114" t="str">
        <f>IF(D85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5" s="175"/>
      <c r="O85" s="176"/>
    </row>
    <row r="86" spans="4:15" x14ac:dyDescent="0.2">
      <c r="D86" s="89">
        <v>85</v>
      </c>
      <c r="E86" s="24" t="str">
        <f>IF(Number&lt;=COUNT(Entry_number),INDEX(Lookup_table,MATCH(Number,Calculations!AK:AK,0),3),"")</f>
        <v/>
      </c>
      <c r="F86" s="4" t="str">
        <f>IF(Ranked_number&lt;=COUNT(Entry_number),INDEX(Lookup_table,MATCH(Number,Calculations!AK:AK,0),5),"")</f>
        <v/>
      </c>
      <c r="G86" s="4" t="str">
        <f>IF(Ranked_number&lt;=COUNT(Entry_number),INDEX(Lookup_table,MATCH(Number,Calculations!AK:AK,0),9),"")</f>
        <v/>
      </c>
      <c r="H86" s="4" t="str">
        <f>IF(Ranked_number&lt;=COUNT(Entry_number),INDEX(Lookup_table,MATCH(Number,Calculations!AK:AK,0),10),"")</f>
        <v/>
      </c>
      <c r="I86" s="9" t="str">
        <f>IF(D86&lt;=COUNT(Entry_number),INDEX(Lookup_table,MATCH(Number,Calculations!AK:AK,0),11),"")</f>
        <v/>
      </c>
      <c r="J86" s="114" t="str">
        <f>IF(D86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6" s="175"/>
      <c r="O86" s="176"/>
    </row>
    <row r="87" spans="4:15" x14ac:dyDescent="0.2">
      <c r="D87" s="89">
        <v>86</v>
      </c>
      <c r="E87" s="24" t="str">
        <f>IF(Number&lt;=COUNT(Entry_number),INDEX(Lookup_table,MATCH(Number,Calculations!AK:AK,0),3),"")</f>
        <v/>
      </c>
      <c r="F87" s="4" t="str">
        <f>IF(Ranked_number&lt;=COUNT(Entry_number),INDEX(Lookup_table,MATCH(Number,Calculations!AK:AK,0),5),"")</f>
        <v/>
      </c>
      <c r="G87" s="4" t="str">
        <f>IF(Ranked_number&lt;=COUNT(Entry_number),INDEX(Lookup_table,MATCH(Number,Calculations!AK:AK,0),9),"")</f>
        <v/>
      </c>
      <c r="H87" s="4" t="str">
        <f>IF(Ranked_number&lt;=COUNT(Entry_number),INDEX(Lookup_table,MATCH(Number,Calculations!AK:AK,0),10),"")</f>
        <v/>
      </c>
      <c r="I87" s="9" t="str">
        <f>IF(D87&lt;=COUNT(Entry_number),INDEX(Lookup_table,MATCH(Number,Calculations!AK:AK,0),11),"")</f>
        <v/>
      </c>
      <c r="J87" s="114" t="str">
        <f>IF(D87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7" s="175"/>
      <c r="O87" s="176"/>
    </row>
    <row r="88" spans="4:15" x14ac:dyDescent="0.2">
      <c r="D88" s="89">
        <v>87</v>
      </c>
      <c r="E88" s="24" t="str">
        <f>IF(Number&lt;=COUNT(Entry_number),INDEX(Lookup_table,MATCH(Number,Calculations!AK:AK,0),3),"")</f>
        <v/>
      </c>
      <c r="F88" s="4" t="str">
        <f>IF(Ranked_number&lt;=COUNT(Entry_number),INDEX(Lookup_table,MATCH(Number,Calculations!AK:AK,0),5),"")</f>
        <v/>
      </c>
      <c r="G88" s="4" t="str">
        <f>IF(Ranked_number&lt;=COUNT(Entry_number),INDEX(Lookup_table,MATCH(Number,Calculations!AK:AK,0),9),"")</f>
        <v/>
      </c>
      <c r="H88" s="4" t="str">
        <f>IF(Ranked_number&lt;=COUNT(Entry_number),INDEX(Lookup_table,MATCH(Number,Calculations!AK:AK,0),10),"")</f>
        <v/>
      </c>
      <c r="I88" s="9" t="str">
        <f>IF(D88&lt;=COUNT(Entry_number),INDEX(Lookup_table,MATCH(Number,Calculations!AK:AK,0),11),"")</f>
        <v/>
      </c>
      <c r="J88" s="114" t="str">
        <f>IF(D88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8" s="175"/>
      <c r="O88" s="176"/>
    </row>
    <row r="89" spans="4:15" x14ac:dyDescent="0.2">
      <c r="D89" s="89">
        <v>88</v>
      </c>
      <c r="E89" s="24" t="str">
        <f>IF(Number&lt;=COUNT(Entry_number),INDEX(Lookup_table,MATCH(Number,Calculations!AK:AK,0),3),"")</f>
        <v/>
      </c>
      <c r="F89" s="4" t="str">
        <f>IF(Ranked_number&lt;=COUNT(Entry_number),INDEX(Lookup_table,MATCH(Number,Calculations!AK:AK,0),5),"")</f>
        <v/>
      </c>
      <c r="G89" s="4" t="str">
        <f>IF(Ranked_number&lt;=COUNT(Entry_number),INDEX(Lookup_table,MATCH(Number,Calculations!AK:AK,0),9),"")</f>
        <v/>
      </c>
      <c r="H89" s="4" t="str">
        <f>IF(Ranked_number&lt;=COUNT(Entry_number),INDEX(Lookup_table,MATCH(Number,Calculations!AK:AK,0),10),"")</f>
        <v/>
      </c>
      <c r="I89" s="9" t="str">
        <f>IF(D89&lt;=COUNT(Entry_number),INDEX(Lookup_table,MATCH(Number,Calculations!AK:AK,0),11),"")</f>
        <v/>
      </c>
      <c r="J89" s="114" t="str">
        <f>IF(D89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89" s="175"/>
      <c r="O89" s="176"/>
    </row>
    <row r="90" spans="4:15" x14ac:dyDescent="0.2">
      <c r="D90" s="89">
        <v>89</v>
      </c>
      <c r="E90" s="24" t="str">
        <f>IF(Number&lt;=COUNT(Entry_number),INDEX(Lookup_table,MATCH(Number,Calculations!AK:AK,0),3),"")</f>
        <v/>
      </c>
      <c r="F90" s="4" t="str">
        <f>IF(Ranked_number&lt;=COUNT(Entry_number),INDEX(Lookup_table,MATCH(Number,Calculations!AK:AK,0),5),"")</f>
        <v/>
      </c>
      <c r="G90" s="4" t="str">
        <f>IF(Ranked_number&lt;=COUNT(Entry_number),INDEX(Lookup_table,MATCH(Number,Calculations!AK:AK,0),9),"")</f>
        <v/>
      </c>
      <c r="H90" s="4" t="str">
        <f>IF(Ranked_number&lt;=COUNT(Entry_number),INDEX(Lookup_table,MATCH(Number,Calculations!AK:AK,0),10),"")</f>
        <v/>
      </c>
      <c r="I90" s="9" t="str">
        <f>IF(D90&lt;=COUNT(Entry_number),INDEX(Lookup_table,MATCH(Number,Calculations!AK:AK,0),11),"")</f>
        <v/>
      </c>
      <c r="J90" s="114" t="str">
        <f>IF(D90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0" s="175"/>
      <c r="O90" s="176"/>
    </row>
    <row r="91" spans="4:15" x14ac:dyDescent="0.2">
      <c r="D91" s="89">
        <v>90</v>
      </c>
      <c r="E91" s="24" t="str">
        <f>IF(Number&lt;=COUNT(Entry_number),INDEX(Lookup_table,MATCH(Number,Calculations!AK:AK,0),3),"")</f>
        <v/>
      </c>
      <c r="F91" s="4" t="str">
        <f>IF(Ranked_number&lt;=COUNT(Entry_number),INDEX(Lookup_table,MATCH(Number,Calculations!AK:AK,0),5),"")</f>
        <v/>
      </c>
      <c r="G91" s="4" t="str">
        <f>IF(Ranked_number&lt;=COUNT(Entry_number),INDEX(Lookup_table,MATCH(Number,Calculations!AK:AK,0),9),"")</f>
        <v/>
      </c>
      <c r="H91" s="4" t="str">
        <f>IF(Ranked_number&lt;=COUNT(Entry_number),INDEX(Lookup_table,MATCH(Number,Calculations!AK:AK,0),10),"")</f>
        <v/>
      </c>
      <c r="I91" s="9" t="str">
        <f>IF(D91&lt;=COUNT(Entry_number),INDEX(Lookup_table,MATCH(Number,Calculations!AK:AK,0),11),"")</f>
        <v/>
      </c>
      <c r="J91" s="114" t="str">
        <f>IF(D91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1" s="175"/>
      <c r="O91" s="176"/>
    </row>
    <row r="92" spans="4:15" x14ac:dyDescent="0.2">
      <c r="D92" s="89">
        <v>91</v>
      </c>
      <c r="E92" s="24" t="str">
        <f>IF(Number&lt;=COUNT(Entry_number),INDEX(Lookup_table,MATCH(Number,Calculations!AK:AK,0),3),"")</f>
        <v/>
      </c>
      <c r="F92" s="4" t="str">
        <f>IF(Ranked_number&lt;=COUNT(Entry_number),INDEX(Lookup_table,MATCH(Number,Calculations!AK:AK,0),5),"")</f>
        <v/>
      </c>
      <c r="G92" s="4" t="str">
        <f>IF(Ranked_number&lt;=COUNT(Entry_number),INDEX(Lookup_table,MATCH(Number,Calculations!AK:AK,0),9),"")</f>
        <v/>
      </c>
      <c r="H92" s="4" t="str">
        <f>IF(Ranked_number&lt;=COUNT(Entry_number),INDEX(Lookup_table,MATCH(Number,Calculations!AK:AK,0),10),"")</f>
        <v/>
      </c>
      <c r="I92" s="9" t="str">
        <f>IF(D92&lt;=COUNT(Entry_number),INDEX(Lookup_table,MATCH(Number,Calculations!AK:AK,0),11),"")</f>
        <v/>
      </c>
      <c r="J92" s="114" t="str">
        <f>IF(D92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2" s="175"/>
      <c r="O92" s="176"/>
    </row>
    <row r="93" spans="4:15" x14ac:dyDescent="0.2">
      <c r="D93" s="89">
        <v>92</v>
      </c>
      <c r="E93" s="24" t="str">
        <f>IF(Number&lt;=COUNT(Entry_number),INDEX(Lookup_table,MATCH(Number,Calculations!AK:AK,0),3),"")</f>
        <v/>
      </c>
      <c r="F93" s="4" t="str">
        <f>IF(Ranked_number&lt;=COUNT(Entry_number),INDEX(Lookup_table,MATCH(Number,Calculations!AK:AK,0),5),"")</f>
        <v/>
      </c>
      <c r="G93" s="4" t="str">
        <f>IF(Ranked_number&lt;=COUNT(Entry_number),INDEX(Lookup_table,MATCH(Number,Calculations!AK:AK,0),9),"")</f>
        <v/>
      </c>
      <c r="H93" s="4" t="str">
        <f>IF(Ranked_number&lt;=COUNT(Entry_number),INDEX(Lookup_table,MATCH(Number,Calculations!AK:AK,0),10),"")</f>
        <v/>
      </c>
      <c r="I93" s="9" t="str">
        <f>IF(D93&lt;=COUNT(Entry_number),INDEX(Lookup_table,MATCH(Number,Calculations!AK:AK,0),11),"")</f>
        <v/>
      </c>
      <c r="J93" s="114" t="str">
        <f>IF(D93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3" s="175"/>
      <c r="O93" s="176"/>
    </row>
    <row r="94" spans="4:15" x14ac:dyDescent="0.2">
      <c r="D94" s="89">
        <v>93</v>
      </c>
      <c r="E94" s="24" t="str">
        <f>IF(Number&lt;=COUNT(Entry_number),INDEX(Lookup_table,MATCH(Number,Calculations!AK:AK,0),3),"")</f>
        <v/>
      </c>
      <c r="F94" s="4" t="str">
        <f>IF(Ranked_number&lt;=COUNT(Entry_number),INDEX(Lookup_table,MATCH(Number,Calculations!AK:AK,0),5),"")</f>
        <v/>
      </c>
      <c r="G94" s="4" t="str">
        <f>IF(Ranked_number&lt;=COUNT(Entry_number),INDEX(Lookup_table,MATCH(Number,Calculations!AK:AK,0),9),"")</f>
        <v/>
      </c>
      <c r="H94" s="4" t="str">
        <f>IF(Ranked_number&lt;=COUNT(Entry_number),INDEX(Lookup_table,MATCH(Number,Calculations!AK:AK,0),10),"")</f>
        <v/>
      </c>
      <c r="I94" s="9" t="str">
        <f>IF(D94&lt;=COUNT(Entry_number),INDEX(Lookup_table,MATCH(Number,Calculations!AK:AK,0),11),"")</f>
        <v/>
      </c>
      <c r="J94" s="114" t="str">
        <f>IF(D94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4" s="175"/>
      <c r="O94" s="176"/>
    </row>
    <row r="95" spans="4:15" x14ac:dyDescent="0.2">
      <c r="D95" s="89">
        <v>94</v>
      </c>
      <c r="E95" s="24" t="str">
        <f>IF(Number&lt;=COUNT(Entry_number),INDEX(Lookup_table,MATCH(Number,Calculations!AK:AK,0),3),"")</f>
        <v/>
      </c>
      <c r="F95" s="4" t="str">
        <f>IF(Ranked_number&lt;=COUNT(Entry_number),INDEX(Lookup_table,MATCH(Number,Calculations!AK:AK,0),5),"")</f>
        <v/>
      </c>
      <c r="G95" s="4" t="str">
        <f>IF(Ranked_number&lt;=COUNT(Entry_number),INDEX(Lookup_table,MATCH(Number,Calculations!AK:AK,0),9),"")</f>
        <v/>
      </c>
      <c r="H95" s="4" t="str">
        <f>IF(Ranked_number&lt;=COUNT(Entry_number),INDEX(Lookup_table,MATCH(Number,Calculations!AK:AK,0),10),"")</f>
        <v/>
      </c>
      <c r="I95" s="9" t="str">
        <f>IF(D95&lt;=COUNT(Entry_number),INDEX(Lookup_table,MATCH(Number,Calculations!AK:AK,0),11),"")</f>
        <v/>
      </c>
      <c r="J95" s="114" t="str">
        <f>IF(D95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5" s="175"/>
      <c r="O95" s="176"/>
    </row>
    <row r="96" spans="4:15" x14ac:dyDescent="0.2">
      <c r="D96" s="89">
        <v>95</v>
      </c>
      <c r="E96" s="24" t="str">
        <f>IF(Number&lt;=COUNT(Entry_number),INDEX(Lookup_table,MATCH(Number,Calculations!AK:AK,0),3),"")</f>
        <v/>
      </c>
      <c r="F96" s="4" t="str">
        <f>IF(Ranked_number&lt;=COUNT(Entry_number),INDEX(Lookup_table,MATCH(Number,Calculations!AK:AK,0),5),"")</f>
        <v/>
      </c>
      <c r="G96" s="4" t="str">
        <f>IF(Ranked_number&lt;=COUNT(Entry_number),INDEX(Lookup_table,MATCH(Number,Calculations!AK:AK,0),9),"")</f>
        <v/>
      </c>
      <c r="H96" s="4" t="str">
        <f>IF(Ranked_number&lt;=COUNT(Entry_number),INDEX(Lookup_table,MATCH(Number,Calculations!AK:AK,0),10),"")</f>
        <v/>
      </c>
      <c r="I96" s="9" t="str">
        <f>IF(D96&lt;=COUNT(Entry_number),INDEX(Lookup_table,MATCH(Number,Calculations!AK:AK,0),11),"")</f>
        <v/>
      </c>
      <c r="J96" s="114" t="str">
        <f>IF(D96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6" s="175"/>
      <c r="O96" s="176"/>
    </row>
    <row r="97" spans="4:15" x14ac:dyDescent="0.2">
      <c r="D97" s="89">
        <v>96</v>
      </c>
      <c r="E97" s="24" t="str">
        <f>IF(Number&lt;=COUNT(Entry_number),INDEX(Lookup_table,MATCH(Number,Calculations!AK:AK,0),3),"")</f>
        <v/>
      </c>
      <c r="F97" s="4" t="str">
        <f>IF(Ranked_number&lt;=COUNT(Entry_number),INDEX(Lookup_table,MATCH(Number,Calculations!AK:AK,0),5),"")</f>
        <v/>
      </c>
      <c r="G97" s="4" t="str">
        <f>IF(Ranked_number&lt;=COUNT(Entry_number),INDEX(Lookup_table,MATCH(Number,Calculations!AK:AK,0),9),"")</f>
        <v/>
      </c>
      <c r="H97" s="4" t="str">
        <f>IF(Ranked_number&lt;=COUNT(Entry_number),INDEX(Lookup_table,MATCH(Number,Calculations!AK:AK,0),10),"")</f>
        <v/>
      </c>
      <c r="I97" s="9" t="str">
        <f>IF(D97&lt;=COUNT(Entry_number),INDEX(Lookup_table,MATCH(Number,Calculations!AK:AK,0),11),"")</f>
        <v/>
      </c>
      <c r="J97" s="114" t="str">
        <f>IF(D97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7" s="175"/>
      <c r="O97" s="176"/>
    </row>
    <row r="98" spans="4:15" x14ac:dyDescent="0.2">
      <c r="D98" s="89">
        <v>97</v>
      </c>
      <c r="E98" s="24" t="str">
        <f>IF(Number&lt;=COUNT(Entry_number),INDEX(Lookup_table,MATCH(Number,Calculations!AK:AK,0),3),"")</f>
        <v/>
      </c>
      <c r="F98" s="4" t="str">
        <f>IF(Ranked_number&lt;=COUNT(Entry_number),INDEX(Lookup_table,MATCH(Number,Calculations!AK:AK,0),5),"")</f>
        <v/>
      </c>
      <c r="G98" s="4" t="str">
        <f>IF(Ranked_number&lt;=COUNT(Entry_number),INDEX(Lookup_table,MATCH(Number,Calculations!AK:AK,0),9),"")</f>
        <v/>
      </c>
      <c r="H98" s="4" t="str">
        <f>IF(Ranked_number&lt;=COUNT(Entry_number),INDEX(Lookup_table,MATCH(Number,Calculations!AK:AK,0),10),"")</f>
        <v/>
      </c>
      <c r="I98" s="9" t="str">
        <f>IF(D98&lt;=COUNT(Entry_number),INDEX(Lookup_table,MATCH(Number,Calculations!AK:AK,0),11),"")</f>
        <v/>
      </c>
      <c r="J98" s="114" t="str">
        <f>IF(D98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8" s="175"/>
      <c r="O98" s="176"/>
    </row>
    <row r="99" spans="4:15" x14ac:dyDescent="0.2">
      <c r="D99" s="89">
        <v>98</v>
      </c>
      <c r="E99" s="24" t="str">
        <f>IF(Number&lt;=COUNT(Entry_number),INDEX(Lookup_table,MATCH(Number,Calculations!AK:AK,0),3),"")</f>
        <v/>
      </c>
      <c r="F99" s="4" t="str">
        <f>IF(Ranked_number&lt;=COUNT(Entry_number),INDEX(Lookup_table,MATCH(Number,Calculations!AK:AK,0),5),"")</f>
        <v/>
      </c>
      <c r="G99" s="4" t="str">
        <f>IF(Ranked_number&lt;=COUNT(Entry_number),INDEX(Lookup_table,MATCH(Number,Calculations!AK:AK,0),9),"")</f>
        <v/>
      </c>
      <c r="H99" s="4" t="str">
        <f>IF(Ranked_number&lt;=COUNT(Entry_number),INDEX(Lookup_table,MATCH(Number,Calculations!AK:AK,0),10),"")</f>
        <v/>
      </c>
      <c r="I99" s="9" t="str">
        <f>IF(D99&lt;=COUNT(Entry_number),INDEX(Lookup_table,MATCH(Number,Calculations!AK:AK,0),11),"")</f>
        <v/>
      </c>
      <c r="J99" s="114" t="str">
        <f>IF(D99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99" s="175"/>
      <c r="O99" s="176"/>
    </row>
    <row r="100" spans="4:15" x14ac:dyDescent="0.2">
      <c r="D100" s="89">
        <v>99</v>
      </c>
      <c r="E100" s="24" t="str">
        <f>IF(Number&lt;=COUNT(Entry_number),INDEX(Lookup_table,MATCH(Number,Calculations!AK:AK,0),3),"")</f>
        <v/>
      </c>
      <c r="F100" s="4" t="str">
        <f>IF(Ranked_number&lt;=COUNT(Entry_number),INDEX(Lookup_table,MATCH(Number,Calculations!AK:AK,0),5),"")</f>
        <v/>
      </c>
      <c r="G100" s="4" t="str">
        <f>IF(Ranked_number&lt;=COUNT(Entry_number),INDEX(Lookup_table,MATCH(Number,Calculations!AK:AK,0),9),"")</f>
        <v/>
      </c>
      <c r="H100" s="4" t="str">
        <f>IF(Ranked_number&lt;=COUNT(Entry_number),INDEX(Lookup_table,MATCH(Number,Calculations!AK:AK,0),10),"")</f>
        <v/>
      </c>
      <c r="I100" s="9" t="str">
        <f>IF(D100&lt;=COUNT(Entry_number),INDEX(Lookup_table,MATCH(Number,Calculations!AK:AK,0),11),"")</f>
        <v/>
      </c>
      <c r="J100" s="114" t="str">
        <f>IF(D100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0" s="175"/>
      <c r="O100" s="176"/>
    </row>
    <row r="101" spans="4:15" x14ac:dyDescent="0.2">
      <c r="D101" s="89">
        <v>100</v>
      </c>
      <c r="E101" s="24" t="str">
        <f>IF(Number&lt;=COUNT(Entry_number),INDEX(Lookup_table,MATCH(Number,Calculations!AK:AK,0),3),"")</f>
        <v/>
      </c>
      <c r="F101" s="4" t="str">
        <f>IF(Ranked_number&lt;=COUNT(Entry_number),INDEX(Lookup_table,MATCH(Number,Calculations!AK:AK,0),5),"")</f>
        <v/>
      </c>
      <c r="G101" s="4" t="str">
        <f>IF(Ranked_number&lt;=COUNT(Entry_number),INDEX(Lookup_table,MATCH(Number,Calculations!AK:AK,0),9),"")</f>
        <v/>
      </c>
      <c r="H101" s="4" t="str">
        <f>IF(Ranked_number&lt;=COUNT(Entry_number),INDEX(Lookup_table,MATCH(Number,Calculations!AK:AK,0),10),"")</f>
        <v/>
      </c>
      <c r="I101" s="9" t="str">
        <f>IF(D101&lt;=COUNT(Entry_number),INDEX(Lookup_table,MATCH(Number,Calculations!AK:AK,0),11),"")</f>
        <v/>
      </c>
      <c r="J101" s="114" t="str">
        <f>IF(D101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1" s="175"/>
      <c r="O101" s="176"/>
    </row>
    <row r="102" spans="4:15" x14ac:dyDescent="0.2">
      <c r="D102" s="89">
        <v>101</v>
      </c>
      <c r="E102" s="24" t="str">
        <f>IF(Number&lt;=COUNT(Entry_number),INDEX(Lookup_table,MATCH(Number,Calculations!AK:AK,0),3),"")</f>
        <v/>
      </c>
      <c r="F102" s="4" t="str">
        <f>IF(Ranked_number&lt;=COUNT(Entry_number),INDEX(Lookup_table,MATCH(Number,Calculations!AK:AK,0),5),"")</f>
        <v/>
      </c>
      <c r="G102" s="4" t="str">
        <f>IF(Ranked_number&lt;=COUNT(Entry_number),INDEX(Lookup_table,MATCH(Number,Calculations!AK:AK,0),9),"")</f>
        <v/>
      </c>
      <c r="H102" s="4" t="str">
        <f>IF(Ranked_number&lt;=COUNT(Entry_number),INDEX(Lookup_table,MATCH(Number,Calculations!AK:AK,0),10),"")</f>
        <v/>
      </c>
      <c r="I102" s="9" t="str">
        <f>IF(D102&lt;=COUNT(Entry_number),INDEX(Lookup_table,MATCH(Number,Calculations!AK:AK,0),11),"")</f>
        <v/>
      </c>
      <c r="J102" s="114" t="str">
        <f>IF(D102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2" s="175"/>
      <c r="O102" s="176"/>
    </row>
    <row r="103" spans="4:15" x14ac:dyDescent="0.2">
      <c r="D103" s="89">
        <v>102</v>
      </c>
      <c r="E103" s="24" t="str">
        <f>IF(Number&lt;=COUNT(Entry_number),INDEX(Lookup_table,MATCH(Number,Calculations!AK:AK,0),3),"")</f>
        <v/>
      </c>
      <c r="F103" s="4" t="str">
        <f>IF(Ranked_number&lt;=COUNT(Entry_number),INDEX(Lookup_table,MATCH(Number,Calculations!AK:AK,0),5),"")</f>
        <v/>
      </c>
      <c r="G103" s="4" t="str">
        <f>IF(Ranked_number&lt;=COUNT(Entry_number),INDEX(Lookup_table,MATCH(Number,Calculations!AK:AK,0),9),"")</f>
        <v/>
      </c>
      <c r="H103" s="4" t="str">
        <f>IF(Ranked_number&lt;=COUNT(Entry_number),INDEX(Lookup_table,MATCH(Number,Calculations!AK:AK,0),10),"")</f>
        <v/>
      </c>
      <c r="I103" s="9" t="str">
        <f>IF(D103&lt;=COUNT(Entry_number),INDEX(Lookup_table,MATCH(Number,Calculations!AK:AK,0),11),"")</f>
        <v/>
      </c>
      <c r="J103" s="114" t="str">
        <f>IF(D103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3" s="175"/>
      <c r="O103" s="176"/>
    </row>
    <row r="104" spans="4:15" x14ac:dyDescent="0.2">
      <c r="D104" s="89">
        <v>103</v>
      </c>
      <c r="E104" s="24" t="str">
        <f>IF(Number&lt;=COUNT(Entry_number),INDEX(Lookup_table,MATCH(Number,Calculations!AK:AK,0),3),"")</f>
        <v/>
      </c>
      <c r="F104" s="4" t="str">
        <f>IF(Ranked_number&lt;=COUNT(Entry_number),INDEX(Lookup_table,MATCH(Number,Calculations!AK:AK,0),5),"")</f>
        <v/>
      </c>
      <c r="G104" s="4" t="str">
        <f>IF(Ranked_number&lt;=COUNT(Entry_number),INDEX(Lookup_table,MATCH(Number,Calculations!AK:AK,0),9),"")</f>
        <v/>
      </c>
      <c r="H104" s="4" t="str">
        <f>IF(Ranked_number&lt;=COUNT(Entry_number),INDEX(Lookup_table,MATCH(Number,Calculations!AK:AK,0),10),"")</f>
        <v/>
      </c>
      <c r="I104" s="9" t="str">
        <f>IF(D104&lt;=COUNT(Entry_number),INDEX(Lookup_table,MATCH(Number,Calculations!AK:AK,0),11),"")</f>
        <v/>
      </c>
      <c r="J104" s="114" t="str">
        <f>IF(D104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4" s="175"/>
      <c r="O104" s="176"/>
    </row>
    <row r="105" spans="4:15" x14ac:dyDescent="0.2">
      <c r="D105" s="89">
        <v>104</v>
      </c>
      <c r="E105" s="24" t="str">
        <f>IF(Number&lt;=COUNT(Entry_number),INDEX(Lookup_table,MATCH(Number,Calculations!AK:AK,0),3),"")</f>
        <v/>
      </c>
      <c r="F105" s="4" t="str">
        <f>IF(Ranked_number&lt;=COUNT(Entry_number),INDEX(Lookup_table,MATCH(Number,Calculations!AK:AK,0),5),"")</f>
        <v/>
      </c>
      <c r="G105" s="4" t="str">
        <f>IF(Ranked_number&lt;=COUNT(Entry_number),INDEX(Lookup_table,MATCH(Number,Calculations!AK:AK,0),9),"")</f>
        <v/>
      </c>
      <c r="H105" s="4" t="str">
        <f>IF(Ranked_number&lt;=COUNT(Entry_number),INDEX(Lookup_table,MATCH(Number,Calculations!AK:AK,0),10),"")</f>
        <v/>
      </c>
      <c r="I105" s="9" t="str">
        <f>IF(D105&lt;=COUNT(Entry_number),INDEX(Lookup_table,MATCH(Number,Calculations!AK:AK,0),11),"")</f>
        <v/>
      </c>
      <c r="J105" s="114" t="str">
        <f>IF(D105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5" s="175"/>
      <c r="O105" s="176"/>
    </row>
    <row r="106" spans="4:15" x14ac:dyDescent="0.2">
      <c r="D106" s="89">
        <v>105</v>
      </c>
      <c r="E106" s="24" t="str">
        <f>IF(Number&lt;=COUNT(Entry_number),INDEX(Lookup_table,MATCH(Number,Calculations!AK:AK,0),3),"")</f>
        <v/>
      </c>
      <c r="F106" s="4" t="str">
        <f>IF(Ranked_number&lt;=COUNT(Entry_number),INDEX(Lookup_table,MATCH(Number,Calculations!AK:AK,0),5),"")</f>
        <v/>
      </c>
      <c r="G106" s="4" t="str">
        <f>IF(Ranked_number&lt;=COUNT(Entry_number),INDEX(Lookup_table,MATCH(Number,Calculations!AK:AK,0),9),"")</f>
        <v/>
      </c>
      <c r="H106" s="4" t="str">
        <f>IF(Ranked_number&lt;=COUNT(Entry_number),INDEX(Lookup_table,MATCH(Number,Calculations!AK:AK,0),10),"")</f>
        <v/>
      </c>
      <c r="I106" s="9" t="str">
        <f>IF(D106&lt;=COUNT(Entry_number),INDEX(Lookup_table,MATCH(Number,Calculations!AK:AK,0),11),"")</f>
        <v/>
      </c>
      <c r="J106" s="114" t="str">
        <f>IF(D106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6" s="175"/>
      <c r="O106" s="176"/>
    </row>
    <row r="107" spans="4:15" x14ac:dyDescent="0.2">
      <c r="D107" s="89">
        <v>106</v>
      </c>
      <c r="E107" s="24" t="str">
        <f>IF(Number&lt;=COUNT(Entry_number),INDEX(Lookup_table,MATCH(Number,Calculations!AK:AK,0),3),"")</f>
        <v/>
      </c>
      <c r="F107" s="4" t="str">
        <f>IF(Ranked_number&lt;=COUNT(Entry_number),INDEX(Lookup_table,MATCH(Number,Calculations!AK:AK,0),5),"")</f>
        <v/>
      </c>
      <c r="G107" s="4" t="str">
        <f>IF(Ranked_number&lt;=COUNT(Entry_number),INDEX(Lookup_table,MATCH(Number,Calculations!AK:AK,0),9),"")</f>
        <v/>
      </c>
      <c r="H107" s="4" t="str">
        <f>IF(Ranked_number&lt;=COUNT(Entry_number),INDEX(Lookup_table,MATCH(Number,Calculations!AK:AK,0),10),"")</f>
        <v/>
      </c>
      <c r="I107" s="9" t="str">
        <f>IF(D107&lt;=COUNT(Entry_number),INDEX(Lookup_table,MATCH(Number,Calculations!AK:AK,0),11),"")</f>
        <v/>
      </c>
      <c r="J107" s="114" t="str">
        <f>IF(D107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7" s="175"/>
      <c r="O107" s="176"/>
    </row>
    <row r="108" spans="4:15" x14ac:dyDescent="0.2">
      <c r="D108" s="89">
        <v>107</v>
      </c>
      <c r="E108" s="24" t="str">
        <f>IF(Number&lt;=COUNT(Entry_number),INDEX(Lookup_table,MATCH(Number,Calculations!AK:AK,0),3),"")</f>
        <v/>
      </c>
      <c r="F108" s="4" t="str">
        <f>IF(Ranked_number&lt;=COUNT(Entry_number),INDEX(Lookup_table,MATCH(Number,Calculations!AK:AK,0),5),"")</f>
        <v/>
      </c>
      <c r="G108" s="4" t="str">
        <f>IF(Ranked_number&lt;=COUNT(Entry_number),INDEX(Lookup_table,MATCH(Number,Calculations!AK:AK,0),9),"")</f>
        <v/>
      </c>
      <c r="H108" s="4" t="str">
        <f>IF(Ranked_number&lt;=COUNT(Entry_number),INDEX(Lookup_table,MATCH(Number,Calculations!AK:AK,0),10),"")</f>
        <v/>
      </c>
      <c r="I108" s="9" t="str">
        <f>IF(D108&lt;=COUNT(Entry_number),INDEX(Lookup_table,MATCH(Number,Calculations!AK:AK,0),11),"")</f>
        <v/>
      </c>
      <c r="J108" s="114" t="str">
        <f>IF(D108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8" s="175"/>
      <c r="O108" s="176"/>
    </row>
    <row r="109" spans="4:15" x14ac:dyDescent="0.2">
      <c r="D109" s="89">
        <v>108</v>
      </c>
      <c r="E109" s="24" t="str">
        <f>IF(Number&lt;=COUNT(Entry_number),INDEX(Lookup_table,MATCH(Number,Calculations!AK:AK,0),3),"")</f>
        <v/>
      </c>
      <c r="F109" s="4" t="str">
        <f>IF(Ranked_number&lt;=COUNT(Entry_number),INDEX(Lookup_table,MATCH(Number,Calculations!AK:AK,0),5),"")</f>
        <v/>
      </c>
      <c r="G109" s="4" t="str">
        <f>IF(Ranked_number&lt;=COUNT(Entry_number),INDEX(Lookup_table,MATCH(Number,Calculations!AK:AK,0),9),"")</f>
        <v/>
      </c>
      <c r="H109" s="4" t="str">
        <f>IF(Ranked_number&lt;=COUNT(Entry_number),INDEX(Lookup_table,MATCH(Number,Calculations!AK:AK,0),10),"")</f>
        <v/>
      </c>
      <c r="I109" s="9" t="str">
        <f>IF(D109&lt;=COUNT(Entry_number),INDEX(Lookup_table,MATCH(Number,Calculations!AK:AK,0),11),"")</f>
        <v/>
      </c>
      <c r="J109" s="114" t="str">
        <f>IF(D109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09" s="175"/>
      <c r="O109" s="176"/>
    </row>
    <row r="110" spans="4:15" x14ac:dyDescent="0.2">
      <c r="D110" s="89">
        <v>109</v>
      </c>
      <c r="E110" s="24" t="str">
        <f>IF(Number&lt;=COUNT(Entry_number),INDEX(Lookup_table,MATCH(Number,Calculations!AK:AK,0),3),"")</f>
        <v/>
      </c>
      <c r="F110" s="4" t="str">
        <f>IF(Ranked_number&lt;=COUNT(Entry_number),INDEX(Lookup_table,MATCH(Number,Calculations!AK:AK,0),5),"")</f>
        <v/>
      </c>
      <c r="G110" s="4" t="str">
        <f>IF(Ranked_number&lt;=COUNT(Entry_number),INDEX(Lookup_table,MATCH(Number,Calculations!AK:AK,0),9),"")</f>
        <v/>
      </c>
      <c r="H110" s="4" t="str">
        <f>IF(Ranked_number&lt;=COUNT(Entry_number),INDEX(Lookup_table,MATCH(Number,Calculations!AK:AK,0),10),"")</f>
        <v/>
      </c>
      <c r="I110" s="9" t="str">
        <f>IF(D110&lt;=COUNT(Entry_number),INDEX(Lookup_table,MATCH(Number,Calculations!AK:AK,0),11),"")</f>
        <v/>
      </c>
      <c r="J110" s="114" t="str">
        <f>IF(D110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0" s="175"/>
      <c r="O110" s="176"/>
    </row>
    <row r="111" spans="4:15" x14ac:dyDescent="0.2">
      <c r="D111" s="89">
        <v>110</v>
      </c>
      <c r="E111" s="24" t="str">
        <f>IF(Number&lt;=COUNT(Entry_number),INDEX(Lookup_table,MATCH(Number,Calculations!AK:AK,0),3),"")</f>
        <v/>
      </c>
      <c r="F111" s="4" t="str">
        <f>IF(Ranked_number&lt;=COUNT(Entry_number),INDEX(Lookup_table,MATCH(Number,Calculations!AK:AK,0),5),"")</f>
        <v/>
      </c>
      <c r="G111" s="4" t="str">
        <f>IF(Ranked_number&lt;=COUNT(Entry_number),INDEX(Lookup_table,MATCH(Number,Calculations!AK:AK,0),9),"")</f>
        <v/>
      </c>
      <c r="H111" s="4" t="str">
        <f>IF(Ranked_number&lt;=COUNT(Entry_number),INDEX(Lookup_table,MATCH(Number,Calculations!AK:AK,0),10),"")</f>
        <v/>
      </c>
      <c r="I111" s="9" t="str">
        <f>IF(D111&lt;=COUNT(Entry_number),INDEX(Lookup_table,MATCH(Number,Calculations!AK:AK,0),11),"")</f>
        <v/>
      </c>
      <c r="J111" s="114" t="str">
        <f>IF(D111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1" s="175"/>
      <c r="O111" s="176"/>
    </row>
    <row r="112" spans="4:15" x14ac:dyDescent="0.2">
      <c r="D112" s="89">
        <v>111</v>
      </c>
      <c r="E112" s="24" t="str">
        <f>IF(Number&lt;=COUNT(Entry_number),INDEX(Lookup_table,MATCH(Number,Calculations!AK:AK,0),3),"")</f>
        <v/>
      </c>
      <c r="F112" s="4" t="str">
        <f>IF(Ranked_number&lt;=COUNT(Entry_number),INDEX(Lookup_table,MATCH(Number,Calculations!AK:AK,0),5),"")</f>
        <v/>
      </c>
      <c r="G112" s="4" t="str">
        <f>IF(Ranked_number&lt;=COUNT(Entry_number),INDEX(Lookup_table,MATCH(Number,Calculations!AK:AK,0),9),"")</f>
        <v/>
      </c>
      <c r="H112" s="4" t="str">
        <f>IF(Ranked_number&lt;=COUNT(Entry_number),INDEX(Lookup_table,MATCH(Number,Calculations!AK:AK,0),10),"")</f>
        <v/>
      </c>
      <c r="I112" s="9" t="str">
        <f>IF(D112&lt;=COUNT(Entry_number),INDEX(Lookup_table,MATCH(Number,Calculations!AK:AK,0),11),"")</f>
        <v/>
      </c>
      <c r="J112" s="114" t="str">
        <f>IF(D112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2" s="175"/>
      <c r="O112" s="176"/>
    </row>
    <row r="113" spans="4:15" x14ac:dyDescent="0.2">
      <c r="D113" s="89">
        <v>112</v>
      </c>
      <c r="E113" s="24" t="str">
        <f>IF(Number&lt;=COUNT(Entry_number),INDEX(Lookup_table,MATCH(Number,Calculations!AK:AK,0),3),"")</f>
        <v/>
      </c>
      <c r="F113" s="4" t="str">
        <f>IF(Ranked_number&lt;=COUNT(Entry_number),INDEX(Lookup_table,MATCH(Number,Calculations!AK:AK,0),5),"")</f>
        <v/>
      </c>
      <c r="G113" s="4" t="str">
        <f>IF(Ranked_number&lt;=COUNT(Entry_number),INDEX(Lookup_table,MATCH(Number,Calculations!AK:AK,0),9),"")</f>
        <v/>
      </c>
      <c r="H113" s="4" t="str">
        <f>IF(Ranked_number&lt;=COUNT(Entry_number),INDEX(Lookup_table,MATCH(Number,Calculations!AK:AK,0),10),"")</f>
        <v/>
      </c>
      <c r="I113" s="9" t="str">
        <f>IF(D113&lt;=COUNT(Entry_number),INDEX(Lookup_table,MATCH(Number,Calculations!AK:AK,0),11),"")</f>
        <v/>
      </c>
      <c r="J113" s="114" t="str">
        <f>IF(D113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3" s="175"/>
      <c r="O113" s="176"/>
    </row>
    <row r="114" spans="4:15" x14ac:dyDescent="0.2">
      <c r="D114" s="89">
        <v>113</v>
      </c>
      <c r="E114" s="24" t="str">
        <f>IF(Number&lt;=COUNT(Entry_number),INDEX(Lookup_table,MATCH(Number,Calculations!AK:AK,0),3),"")</f>
        <v/>
      </c>
      <c r="F114" s="4" t="str">
        <f>IF(Ranked_number&lt;=COUNT(Entry_number),INDEX(Lookup_table,MATCH(Number,Calculations!AK:AK,0),5),"")</f>
        <v/>
      </c>
      <c r="G114" s="4" t="str">
        <f>IF(Ranked_number&lt;=COUNT(Entry_number),INDEX(Lookup_table,MATCH(Number,Calculations!AK:AK,0),9),"")</f>
        <v/>
      </c>
      <c r="H114" s="4" t="str">
        <f>IF(Ranked_number&lt;=COUNT(Entry_number),INDEX(Lookup_table,MATCH(Number,Calculations!AK:AK,0),10),"")</f>
        <v/>
      </c>
      <c r="I114" s="9" t="str">
        <f>IF(D114&lt;=COUNT(Entry_number),INDEX(Lookup_table,MATCH(Number,Calculations!AK:AK,0),11),"")</f>
        <v/>
      </c>
      <c r="J114" s="114" t="str">
        <f>IF(D114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4" s="175"/>
      <c r="O114" s="176"/>
    </row>
    <row r="115" spans="4:15" x14ac:dyDescent="0.2">
      <c r="D115" s="89">
        <v>114</v>
      </c>
      <c r="E115" s="24" t="str">
        <f>IF(Number&lt;=COUNT(Entry_number),INDEX(Lookup_table,MATCH(Number,Calculations!AK:AK,0),3),"")</f>
        <v/>
      </c>
      <c r="F115" s="4" t="str">
        <f>IF(Ranked_number&lt;=COUNT(Entry_number),INDEX(Lookup_table,MATCH(Number,Calculations!AK:AK,0),5),"")</f>
        <v/>
      </c>
      <c r="G115" s="4" t="str">
        <f>IF(Ranked_number&lt;=COUNT(Entry_number),INDEX(Lookup_table,MATCH(Number,Calculations!AK:AK,0),9),"")</f>
        <v/>
      </c>
      <c r="H115" s="4" t="str">
        <f>IF(Ranked_number&lt;=COUNT(Entry_number),INDEX(Lookup_table,MATCH(Number,Calculations!AK:AK,0),10),"")</f>
        <v/>
      </c>
      <c r="I115" s="9" t="str">
        <f>IF(D115&lt;=COUNT(Entry_number),INDEX(Lookup_table,MATCH(Number,Calculations!AK:AK,0),11),"")</f>
        <v/>
      </c>
      <c r="J115" s="114" t="str">
        <f>IF(D115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5" s="175"/>
      <c r="O115" s="176"/>
    </row>
    <row r="116" spans="4:15" x14ac:dyDescent="0.2">
      <c r="D116" s="89">
        <v>115</v>
      </c>
      <c r="E116" s="24" t="str">
        <f>IF(Number&lt;=COUNT(Entry_number),INDEX(Lookup_table,MATCH(Number,Calculations!AK:AK,0),3),"")</f>
        <v/>
      </c>
      <c r="F116" s="4" t="str">
        <f>IF(Ranked_number&lt;=COUNT(Entry_number),INDEX(Lookup_table,MATCH(Number,Calculations!AK:AK,0),5),"")</f>
        <v/>
      </c>
      <c r="G116" s="4" t="str">
        <f>IF(Ranked_number&lt;=COUNT(Entry_number),INDEX(Lookup_table,MATCH(Number,Calculations!AK:AK,0),9),"")</f>
        <v/>
      </c>
      <c r="H116" s="4" t="str">
        <f>IF(Ranked_number&lt;=COUNT(Entry_number),INDEX(Lookup_table,MATCH(Number,Calculations!AK:AK,0),10),"")</f>
        <v/>
      </c>
      <c r="I116" s="9" t="str">
        <f>IF(D116&lt;=COUNT(Entry_number),INDEX(Lookup_table,MATCH(Number,Calculations!AK:AK,0),11),"")</f>
        <v/>
      </c>
      <c r="J116" s="114" t="str">
        <f>IF(D116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6" s="175"/>
      <c r="O116" s="176"/>
    </row>
    <row r="117" spans="4:15" x14ac:dyDescent="0.2">
      <c r="D117" s="89">
        <v>116</v>
      </c>
      <c r="E117" s="24" t="str">
        <f>IF(Number&lt;=COUNT(Entry_number),INDEX(Lookup_table,MATCH(Number,Calculations!AK:AK,0),3),"")</f>
        <v/>
      </c>
      <c r="F117" s="4" t="str">
        <f>IF(Ranked_number&lt;=COUNT(Entry_number),INDEX(Lookup_table,MATCH(Number,Calculations!AK:AK,0),5),"")</f>
        <v/>
      </c>
      <c r="G117" s="4" t="str">
        <f>IF(Ranked_number&lt;=COUNT(Entry_number),INDEX(Lookup_table,MATCH(Number,Calculations!AK:AK,0),9),"")</f>
        <v/>
      </c>
      <c r="H117" s="4" t="str">
        <f>IF(Ranked_number&lt;=COUNT(Entry_number),INDEX(Lookup_table,MATCH(Number,Calculations!AK:AK,0),10),"")</f>
        <v/>
      </c>
      <c r="I117" s="9" t="str">
        <f>IF(D117&lt;=COUNT(Entry_number),INDEX(Lookup_table,MATCH(Number,Calculations!AK:AK,0),11),"")</f>
        <v/>
      </c>
      <c r="J117" s="114" t="str">
        <f>IF(D117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7" s="175"/>
      <c r="O117" s="176"/>
    </row>
    <row r="118" spans="4:15" x14ac:dyDescent="0.2">
      <c r="D118" s="89">
        <v>117</v>
      </c>
      <c r="E118" s="24" t="str">
        <f>IF(Number&lt;=COUNT(Entry_number),INDEX(Lookup_table,MATCH(Number,Calculations!AK:AK,0),3),"")</f>
        <v/>
      </c>
      <c r="F118" s="4" t="str">
        <f>IF(Ranked_number&lt;=COUNT(Entry_number),INDEX(Lookup_table,MATCH(Number,Calculations!AK:AK,0),5),"")</f>
        <v/>
      </c>
      <c r="G118" s="4" t="str">
        <f>IF(Ranked_number&lt;=COUNT(Entry_number),INDEX(Lookup_table,MATCH(Number,Calculations!AK:AK,0),9),"")</f>
        <v/>
      </c>
      <c r="H118" s="4" t="str">
        <f>IF(Ranked_number&lt;=COUNT(Entry_number),INDEX(Lookup_table,MATCH(Number,Calculations!AK:AK,0),10),"")</f>
        <v/>
      </c>
      <c r="I118" s="9" t="str">
        <f>IF(D118&lt;=COUNT(Entry_number),INDEX(Lookup_table,MATCH(Number,Calculations!AK:AK,0),11),"")</f>
        <v/>
      </c>
      <c r="J118" s="114" t="str">
        <f>IF(D118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8" s="175"/>
      <c r="O118" s="176"/>
    </row>
    <row r="119" spans="4:15" x14ac:dyDescent="0.2">
      <c r="D119" s="89">
        <v>118</v>
      </c>
      <c r="E119" s="24" t="str">
        <f>IF(Number&lt;=COUNT(Entry_number),INDEX(Lookup_table,MATCH(Number,Calculations!AK:AK,0),3),"")</f>
        <v/>
      </c>
      <c r="F119" s="4" t="str">
        <f>IF(Ranked_number&lt;=COUNT(Entry_number),INDEX(Lookup_table,MATCH(Number,Calculations!AK:AK,0),5),"")</f>
        <v/>
      </c>
      <c r="G119" s="4" t="str">
        <f>IF(Ranked_number&lt;=COUNT(Entry_number),INDEX(Lookup_table,MATCH(Number,Calculations!AK:AK,0),9),"")</f>
        <v/>
      </c>
      <c r="H119" s="4" t="str">
        <f>IF(Ranked_number&lt;=COUNT(Entry_number),INDEX(Lookup_table,MATCH(Number,Calculations!AK:AK,0),10),"")</f>
        <v/>
      </c>
      <c r="I119" s="9" t="str">
        <f>IF(D119&lt;=COUNT(Entry_number),INDEX(Lookup_table,MATCH(Number,Calculations!AK:AK,0),11),"")</f>
        <v/>
      </c>
      <c r="J119" s="114" t="str">
        <f>IF(D119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19" s="175"/>
      <c r="O119" s="176"/>
    </row>
    <row r="120" spans="4:15" x14ac:dyDescent="0.2">
      <c r="D120" s="89">
        <v>119</v>
      </c>
      <c r="E120" s="24" t="str">
        <f>IF(Number&lt;=COUNT(Entry_number),INDEX(Lookup_table,MATCH(Number,Calculations!AK:AK,0),3),"")</f>
        <v/>
      </c>
      <c r="F120" s="4" t="str">
        <f>IF(Ranked_number&lt;=COUNT(Entry_number),INDEX(Lookup_table,MATCH(Number,Calculations!AK:AK,0),5),"")</f>
        <v/>
      </c>
      <c r="G120" s="4" t="str">
        <f>IF(Ranked_number&lt;=COUNT(Entry_number),INDEX(Lookup_table,MATCH(Number,Calculations!AK:AK,0),9),"")</f>
        <v/>
      </c>
      <c r="H120" s="4" t="str">
        <f>IF(Ranked_number&lt;=COUNT(Entry_number),INDEX(Lookup_table,MATCH(Number,Calculations!AK:AK,0),10),"")</f>
        <v/>
      </c>
      <c r="I120" s="9" t="str">
        <f>IF(D120&lt;=COUNT(Entry_number),INDEX(Lookup_table,MATCH(Number,Calculations!AK:AK,0),11),"")</f>
        <v/>
      </c>
      <c r="J120" s="114" t="str">
        <f>IF(D120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0" s="175"/>
      <c r="O120" s="176"/>
    </row>
    <row r="121" spans="4:15" x14ac:dyDescent="0.2">
      <c r="D121" s="89">
        <v>120</v>
      </c>
      <c r="E121" s="24" t="str">
        <f>IF(Number&lt;=COUNT(Entry_number),INDEX(Lookup_table,MATCH(Number,Calculations!AK:AK,0),3),"")</f>
        <v/>
      </c>
      <c r="F121" s="4" t="str">
        <f>IF(Ranked_number&lt;=COUNT(Entry_number),INDEX(Lookup_table,MATCH(Number,Calculations!AK:AK,0),5),"")</f>
        <v/>
      </c>
      <c r="G121" s="4" t="str">
        <f>IF(Ranked_number&lt;=COUNT(Entry_number),INDEX(Lookup_table,MATCH(Number,Calculations!AK:AK,0),9),"")</f>
        <v/>
      </c>
      <c r="H121" s="4" t="str">
        <f>IF(Ranked_number&lt;=COUNT(Entry_number),INDEX(Lookup_table,MATCH(Number,Calculations!AK:AK,0),10),"")</f>
        <v/>
      </c>
      <c r="I121" s="9" t="str">
        <f>IF(D121&lt;=COUNT(Entry_number),INDEX(Lookup_table,MATCH(Number,Calculations!AK:AK,0),11),"")</f>
        <v/>
      </c>
      <c r="J121" s="114" t="str">
        <f>IF(D121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1" s="175"/>
      <c r="O121" s="176"/>
    </row>
    <row r="122" spans="4:15" x14ac:dyDescent="0.2">
      <c r="D122" s="89">
        <v>121</v>
      </c>
      <c r="E122" s="24" t="str">
        <f>IF(Number&lt;=COUNT(Entry_number),INDEX(Lookup_table,MATCH(Number,Calculations!AK:AK,0),3),"")</f>
        <v/>
      </c>
      <c r="F122" s="4" t="str">
        <f>IF(Ranked_number&lt;=COUNT(Entry_number),INDEX(Lookup_table,MATCH(Number,Calculations!AK:AK,0),5),"")</f>
        <v/>
      </c>
      <c r="G122" s="4" t="str">
        <f>IF(Ranked_number&lt;=COUNT(Entry_number),INDEX(Lookup_table,MATCH(Number,Calculations!AK:AK,0),9),"")</f>
        <v/>
      </c>
      <c r="H122" s="4" t="str">
        <f>IF(Ranked_number&lt;=COUNT(Entry_number),INDEX(Lookup_table,MATCH(Number,Calculations!AK:AK,0),10),"")</f>
        <v/>
      </c>
      <c r="I122" s="9" t="str">
        <f>IF(D122&lt;=COUNT(Entry_number),INDEX(Lookup_table,MATCH(Number,Calculations!AK:AK,0),11),"")</f>
        <v/>
      </c>
      <c r="J122" s="114" t="str">
        <f>IF(D122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2" s="175"/>
      <c r="O122" s="176"/>
    </row>
    <row r="123" spans="4:15" x14ac:dyDescent="0.2">
      <c r="D123" s="89">
        <v>122</v>
      </c>
      <c r="E123" s="24" t="str">
        <f>IF(Number&lt;=COUNT(Entry_number),INDEX(Lookup_table,MATCH(Number,Calculations!AK:AK,0),3),"")</f>
        <v/>
      </c>
      <c r="F123" s="4" t="str">
        <f>IF(Ranked_number&lt;=COUNT(Entry_number),INDEX(Lookup_table,MATCH(Number,Calculations!AK:AK,0),5),"")</f>
        <v/>
      </c>
      <c r="G123" s="4" t="str">
        <f>IF(Ranked_number&lt;=COUNT(Entry_number),INDEX(Lookup_table,MATCH(Number,Calculations!AK:AK,0),9),"")</f>
        <v/>
      </c>
      <c r="H123" s="4" t="str">
        <f>IF(Ranked_number&lt;=COUNT(Entry_number),INDEX(Lookup_table,MATCH(Number,Calculations!AK:AK,0),10),"")</f>
        <v/>
      </c>
      <c r="I123" s="9" t="str">
        <f>IF(D123&lt;=COUNT(Entry_number),INDEX(Lookup_table,MATCH(Number,Calculations!AK:AK,0),11),"")</f>
        <v/>
      </c>
      <c r="J123" s="114" t="str">
        <f>IF(D123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3" s="175"/>
      <c r="O123" s="176"/>
    </row>
    <row r="124" spans="4:15" x14ac:dyDescent="0.2">
      <c r="D124" s="89">
        <v>123</v>
      </c>
      <c r="E124" s="24" t="str">
        <f>IF(Number&lt;=COUNT(Entry_number),INDEX(Lookup_table,MATCH(Number,Calculations!AK:AK,0),3),"")</f>
        <v/>
      </c>
      <c r="F124" s="4" t="str">
        <f>IF(Ranked_number&lt;=COUNT(Entry_number),INDEX(Lookup_table,MATCH(Number,Calculations!AK:AK,0),5),"")</f>
        <v/>
      </c>
      <c r="G124" s="4" t="str">
        <f>IF(Ranked_number&lt;=COUNT(Entry_number),INDEX(Lookup_table,MATCH(Number,Calculations!AK:AK,0),9),"")</f>
        <v/>
      </c>
      <c r="H124" s="4" t="str">
        <f>IF(Ranked_number&lt;=COUNT(Entry_number),INDEX(Lookup_table,MATCH(Number,Calculations!AK:AK,0),10),"")</f>
        <v/>
      </c>
      <c r="I124" s="9" t="str">
        <f>IF(D124&lt;=COUNT(Entry_number),INDEX(Lookup_table,MATCH(Number,Calculations!AK:AK,0),11),"")</f>
        <v/>
      </c>
      <c r="J124" s="114" t="str">
        <f>IF(D124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4" s="175"/>
      <c r="O124" s="176"/>
    </row>
    <row r="125" spans="4:15" x14ac:dyDescent="0.2">
      <c r="D125" s="89">
        <v>124</v>
      </c>
      <c r="E125" s="24" t="str">
        <f>IF(Number&lt;=COUNT(Entry_number),INDEX(Lookup_table,MATCH(Number,Calculations!AK:AK,0),3),"")</f>
        <v/>
      </c>
      <c r="F125" s="4" t="str">
        <f>IF(Ranked_number&lt;=COUNT(Entry_number),INDEX(Lookup_table,MATCH(Number,Calculations!AK:AK,0),5),"")</f>
        <v/>
      </c>
      <c r="G125" s="4" t="str">
        <f>IF(Ranked_number&lt;=COUNT(Entry_number),INDEX(Lookup_table,MATCH(Number,Calculations!AK:AK,0),9),"")</f>
        <v/>
      </c>
      <c r="H125" s="4" t="str">
        <f>IF(Ranked_number&lt;=COUNT(Entry_number),INDEX(Lookup_table,MATCH(Number,Calculations!AK:AK,0),10),"")</f>
        <v/>
      </c>
      <c r="I125" s="9" t="str">
        <f>IF(D125&lt;=COUNT(Entry_number),INDEX(Lookup_table,MATCH(Number,Calculations!AK:AK,0),11),"")</f>
        <v/>
      </c>
      <c r="J125" s="114" t="str">
        <f>IF(D125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5" s="175"/>
      <c r="O125" s="176"/>
    </row>
    <row r="126" spans="4:15" x14ac:dyDescent="0.2">
      <c r="D126" s="89">
        <v>125</v>
      </c>
      <c r="E126" s="24" t="str">
        <f>IF(Number&lt;=COUNT(Entry_number),INDEX(Lookup_table,MATCH(Number,Calculations!AK:AK,0),3),"")</f>
        <v/>
      </c>
      <c r="F126" s="4" t="str">
        <f>IF(Ranked_number&lt;=COUNT(Entry_number),INDEX(Lookup_table,MATCH(Number,Calculations!AK:AK,0),5),"")</f>
        <v/>
      </c>
      <c r="G126" s="4" t="str">
        <f>IF(Ranked_number&lt;=COUNT(Entry_number),INDEX(Lookup_table,MATCH(Number,Calculations!AK:AK,0),9),"")</f>
        <v/>
      </c>
      <c r="H126" s="4" t="str">
        <f>IF(Ranked_number&lt;=COUNT(Entry_number),INDEX(Lookup_table,MATCH(Number,Calculations!AK:AK,0),10),"")</f>
        <v/>
      </c>
      <c r="I126" s="9" t="str">
        <f>IF(D126&lt;=COUNT(Entry_number),INDEX(Lookup_table,MATCH(Number,Calculations!AK:AK,0),11),"")</f>
        <v/>
      </c>
      <c r="J126" s="114" t="str">
        <f>IF(D126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6" s="175"/>
      <c r="O126" s="176"/>
    </row>
    <row r="127" spans="4:15" x14ac:dyDescent="0.2">
      <c r="D127" s="89">
        <v>126</v>
      </c>
      <c r="E127" s="24" t="str">
        <f>IF(Number&lt;=COUNT(Entry_number),INDEX(Lookup_table,MATCH(Number,Calculations!AK:AK,0),3),"")</f>
        <v/>
      </c>
      <c r="F127" s="4" t="str">
        <f>IF(Ranked_number&lt;=COUNT(Entry_number),INDEX(Lookup_table,MATCH(Number,Calculations!AK:AK,0),5),"")</f>
        <v/>
      </c>
      <c r="G127" s="4" t="str">
        <f>IF(Ranked_number&lt;=COUNT(Entry_number),INDEX(Lookup_table,MATCH(Number,Calculations!AK:AK,0),9),"")</f>
        <v/>
      </c>
      <c r="H127" s="4" t="str">
        <f>IF(Ranked_number&lt;=COUNT(Entry_number),INDEX(Lookup_table,MATCH(Number,Calculations!AK:AK,0),10),"")</f>
        <v/>
      </c>
      <c r="I127" s="9" t="str">
        <f>IF(D127&lt;=COUNT(Entry_number),INDEX(Lookup_table,MATCH(Number,Calculations!AK:AK,0),11),"")</f>
        <v/>
      </c>
      <c r="J127" s="114" t="str">
        <f>IF(D127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7" s="175"/>
      <c r="O127" s="176"/>
    </row>
    <row r="128" spans="4:15" x14ac:dyDescent="0.2">
      <c r="D128" s="89">
        <v>127</v>
      </c>
      <c r="E128" s="24" t="str">
        <f>IF(Number&lt;=COUNT(Entry_number),INDEX(Lookup_table,MATCH(Number,Calculations!AK:AK,0),3),"")</f>
        <v/>
      </c>
      <c r="F128" s="4" t="str">
        <f>IF(Ranked_number&lt;=COUNT(Entry_number),INDEX(Lookup_table,MATCH(Number,Calculations!AK:AK,0),5),"")</f>
        <v/>
      </c>
      <c r="G128" s="4" t="str">
        <f>IF(Ranked_number&lt;=COUNT(Entry_number),INDEX(Lookup_table,MATCH(Number,Calculations!AK:AK,0),9),"")</f>
        <v/>
      </c>
      <c r="H128" s="4" t="str">
        <f>IF(Ranked_number&lt;=COUNT(Entry_number),INDEX(Lookup_table,MATCH(Number,Calculations!AK:AK,0),10),"")</f>
        <v/>
      </c>
      <c r="I128" s="9" t="str">
        <f>IF(D128&lt;=COUNT(Entry_number),INDEX(Lookup_table,MATCH(Number,Calculations!AK:AK,0),11),"")</f>
        <v/>
      </c>
      <c r="J128" s="114" t="str">
        <f>IF(D128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8" s="175"/>
      <c r="O128" s="176"/>
    </row>
    <row r="129" spans="4:15" x14ac:dyDescent="0.2">
      <c r="D129" s="89">
        <v>128</v>
      </c>
      <c r="E129" s="24" t="str">
        <f>IF(Number&lt;=COUNT(Entry_number),INDEX(Lookup_table,MATCH(Number,Calculations!AK:AK,0),3),"")</f>
        <v/>
      </c>
      <c r="F129" s="4" t="str">
        <f>IF(Ranked_number&lt;=COUNT(Entry_number),INDEX(Lookup_table,MATCH(Number,Calculations!AK:AK,0),5),"")</f>
        <v/>
      </c>
      <c r="G129" s="4" t="str">
        <f>IF(Ranked_number&lt;=COUNT(Entry_number),INDEX(Lookup_table,MATCH(Number,Calculations!AK:AK,0),9),"")</f>
        <v/>
      </c>
      <c r="H129" s="4" t="str">
        <f>IF(Ranked_number&lt;=COUNT(Entry_number),INDEX(Lookup_table,MATCH(Number,Calculations!AK:AK,0),10),"")</f>
        <v/>
      </c>
      <c r="I129" s="9" t="str">
        <f>IF(D129&lt;=COUNT(Entry_number),INDEX(Lookup_table,MATCH(Number,Calculations!AK:AK,0),11),"")</f>
        <v/>
      </c>
      <c r="J129" s="114" t="str">
        <f>IF(D129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29" s="175"/>
      <c r="O129" s="176"/>
    </row>
    <row r="130" spans="4:15" x14ac:dyDescent="0.2">
      <c r="D130" s="89">
        <v>129</v>
      </c>
      <c r="E130" s="24" t="str">
        <f>IF(Number&lt;=COUNT(Entry_number),INDEX(Lookup_table,MATCH(Number,Calculations!AK:AK,0),3),"")</f>
        <v/>
      </c>
      <c r="F130" s="4" t="str">
        <f>IF(Ranked_number&lt;=COUNT(Entry_number),INDEX(Lookup_table,MATCH(Number,Calculations!AK:AK,0),5),"")</f>
        <v/>
      </c>
      <c r="G130" s="4" t="str">
        <f>IF(Ranked_number&lt;=COUNT(Entry_number),INDEX(Lookup_table,MATCH(Number,Calculations!AK:AK,0),9),"")</f>
        <v/>
      </c>
      <c r="H130" s="4" t="str">
        <f>IF(Ranked_number&lt;=COUNT(Entry_number),INDEX(Lookup_table,MATCH(Number,Calculations!AK:AK,0),10),"")</f>
        <v/>
      </c>
      <c r="I130" s="9" t="str">
        <f>IF(D130&lt;=COUNT(Entry_number),INDEX(Lookup_table,MATCH(Number,Calculations!AK:AK,0),11),"")</f>
        <v/>
      </c>
      <c r="J130" s="114" t="str">
        <f>IF(D130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0" s="175"/>
      <c r="O130" s="176"/>
    </row>
    <row r="131" spans="4:15" x14ac:dyDescent="0.2">
      <c r="D131" s="89">
        <v>130</v>
      </c>
      <c r="E131" s="24" t="str">
        <f>IF(Number&lt;=COUNT(Entry_number),INDEX(Lookup_table,MATCH(Number,Calculations!AK:AK,0),3),"")</f>
        <v/>
      </c>
      <c r="F131" s="4" t="str">
        <f>IF(Ranked_number&lt;=COUNT(Entry_number),INDEX(Lookup_table,MATCH(Number,Calculations!AK:AK,0),5),"")</f>
        <v/>
      </c>
      <c r="G131" s="4" t="str">
        <f>IF(Ranked_number&lt;=COUNT(Entry_number),INDEX(Lookup_table,MATCH(Number,Calculations!AK:AK,0),9),"")</f>
        <v/>
      </c>
      <c r="H131" s="4" t="str">
        <f>IF(Ranked_number&lt;=COUNT(Entry_number),INDEX(Lookup_table,MATCH(Number,Calculations!AK:AK,0),10),"")</f>
        <v/>
      </c>
      <c r="I131" s="9" t="str">
        <f>IF(D131&lt;=COUNT(Entry_number),INDEX(Lookup_table,MATCH(Number,Calculations!AK:AK,0),11),"")</f>
        <v/>
      </c>
      <c r="J131" s="114" t="str">
        <f>IF(D131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1" s="175"/>
      <c r="O131" s="176"/>
    </row>
    <row r="132" spans="4:15" x14ac:dyDescent="0.2">
      <c r="D132" s="89">
        <v>131</v>
      </c>
      <c r="E132" s="24" t="str">
        <f>IF(Number&lt;=COUNT(Entry_number),INDEX(Lookup_table,MATCH(Number,Calculations!AK:AK,0),3),"")</f>
        <v/>
      </c>
      <c r="F132" s="4" t="str">
        <f>IF(Ranked_number&lt;=COUNT(Entry_number),INDEX(Lookup_table,MATCH(Number,Calculations!AK:AK,0),5),"")</f>
        <v/>
      </c>
      <c r="G132" s="4" t="str">
        <f>IF(Ranked_number&lt;=COUNT(Entry_number),INDEX(Lookup_table,MATCH(Number,Calculations!AK:AK,0),9),"")</f>
        <v/>
      </c>
      <c r="H132" s="4" t="str">
        <f>IF(Ranked_number&lt;=COUNT(Entry_number),INDEX(Lookup_table,MATCH(Number,Calculations!AK:AK,0),10),"")</f>
        <v/>
      </c>
      <c r="I132" s="9" t="str">
        <f>IF(D132&lt;=COUNT(Entry_number),INDEX(Lookup_table,MATCH(Number,Calculations!AK:AK,0),11),"")</f>
        <v/>
      </c>
      <c r="J132" s="114" t="str">
        <f>IF(D132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2" s="175"/>
      <c r="O132" s="176"/>
    </row>
    <row r="133" spans="4:15" x14ac:dyDescent="0.2">
      <c r="D133" s="89">
        <v>132</v>
      </c>
      <c r="E133" s="24" t="str">
        <f>IF(Number&lt;=COUNT(Entry_number),INDEX(Lookup_table,MATCH(Number,Calculations!AK:AK,0),3),"")</f>
        <v/>
      </c>
      <c r="F133" s="4" t="str">
        <f>IF(Ranked_number&lt;=COUNT(Entry_number),INDEX(Lookup_table,MATCH(Number,Calculations!AK:AK,0),5),"")</f>
        <v/>
      </c>
      <c r="G133" s="4" t="str">
        <f>IF(Ranked_number&lt;=COUNT(Entry_number),INDEX(Lookup_table,MATCH(Number,Calculations!AK:AK,0),9),"")</f>
        <v/>
      </c>
      <c r="H133" s="4" t="str">
        <f>IF(Ranked_number&lt;=COUNT(Entry_number),INDEX(Lookup_table,MATCH(Number,Calculations!AK:AK,0),10),"")</f>
        <v/>
      </c>
      <c r="I133" s="9" t="str">
        <f>IF(D133&lt;=COUNT(Entry_number),INDEX(Lookup_table,MATCH(Number,Calculations!AK:AK,0),11),"")</f>
        <v/>
      </c>
      <c r="J133" s="114" t="str">
        <f>IF(D133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3" s="175"/>
      <c r="O133" s="176"/>
    </row>
    <row r="134" spans="4:15" x14ac:dyDescent="0.2">
      <c r="D134" s="89">
        <v>133</v>
      </c>
      <c r="E134" s="24" t="str">
        <f>IF(Number&lt;=COUNT(Entry_number),INDEX(Lookup_table,MATCH(Number,Calculations!AK:AK,0),3),"")</f>
        <v/>
      </c>
      <c r="F134" s="4" t="str">
        <f>IF(Ranked_number&lt;=COUNT(Entry_number),INDEX(Lookup_table,MATCH(Number,Calculations!AK:AK,0),5),"")</f>
        <v/>
      </c>
      <c r="G134" s="4" t="str">
        <f>IF(Ranked_number&lt;=COUNT(Entry_number),INDEX(Lookup_table,MATCH(Number,Calculations!AK:AK,0),9),"")</f>
        <v/>
      </c>
      <c r="H134" s="4" t="str">
        <f>IF(Ranked_number&lt;=COUNT(Entry_number),INDEX(Lookup_table,MATCH(Number,Calculations!AK:AK,0),10),"")</f>
        <v/>
      </c>
      <c r="I134" s="9" t="str">
        <f>IF(D134&lt;=COUNT(Entry_number),INDEX(Lookup_table,MATCH(Number,Calculations!AK:AK,0),11),"")</f>
        <v/>
      </c>
      <c r="J134" s="114" t="str">
        <f>IF(D134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4" s="175"/>
      <c r="O134" s="176"/>
    </row>
    <row r="135" spans="4:15" x14ac:dyDescent="0.2">
      <c r="D135" s="89">
        <v>134</v>
      </c>
      <c r="E135" s="24" t="str">
        <f>IF(Number&lt;=COUNT(Entry_number),INDEX(Lookup_table,MATCH(Number,Calculations!AK:AK,0),3),"")</f>
        <v/>
      </c>
      <c r="F135" s="4" t="str">
        <f>IF(Ranked_number&lt;=COUNT(Entry_number),INDEX(Lookup_table,MATCH(Number,Calculations!AK:AK,0),5),"")</f>
        <v/>
      </c>
      <c r="G135" s="4" t="str">
        <f>IF(Ranked_number&lt;=COUNT(Entry_number),INDEX(Lookup_table,MATCH(Number,Calculations!AK:AK,0),9),"")</f>
        <v/>
      </c>
      <c r="H135" s="4" t="str">
        <f>IF(Ranked_number&lt;=COUNT(Entry_number),INDEX(Lookup_table,MATCH(Number,Calculations!AK:AK,0),10),"")</f>
        <v/>
      </c>
      <c r="I135" s="9" t="str">
        <f>IF(D135&lt;=COUNT(Entry_number),INDEX(Lookup_table,MATCH(Number,Calculations!AK:AK,0),11),"")</f>
        <v/>
      </c>
      <c r="J135" s="114" t="str">
        <f>IF(D135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5" s="175"/>
      <c r="O135" s="176"/>
    </row>
    <row r="136" spans="4:15" x14ac:dyDescent="0.2">
      <c r="D136" s="89">
        <v>135</v>
      </c>
      <c r="E136" s="24" t="str">
        <f>IF(Number&lt;=COUNT(Entry_number),INDEX(Lookup_table,MATCH(Number,Calculations!AK:AK,0),3),"")</f>
        <v/>
      </c>
      <c r="F136" s="4" t="str">
        <f>IF(Ranked_number&lt;=COUNT(Entry_number),INDEX(Lookup_table,MATCH(Number,Calculations!AK:AK,0),5),"")</f>
        <v/>
      </c>
      <c r="G136" s="4" t="str">
        <f>IF(Ranked_number&lt;=COUNT(Entry_number),INDEX(Lookup_table,MATCH(Number,Calculations!AK:AK,0),9),"")</f>
        <v/>
      </c>
      <c r="H136" s="4" t="str">
        <f>IF(Ranked_number&lt;=COUNT(Entry_number),INDEX(Lookup_table,MATCH(Number,Calculations!AK:AK,0),10),"")</f>
        <v/>
      </c>
      <c r="I136" s="9" t="str">
        <f>IF(D136&lt;=COUNT(Entry_number),INDEX(Lookup_table,MATCH(Number,Calculations!AK:AK,0),11),"")</f>
        <v/>
      </c>
      <c r="J136" s="114" t="str">
        <f>IF(D136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6" s="175"/>
      <c r="O136" s="176"/>
    </row>
    <row r="137" spans="4:15" x14ac:dyDescent="0.2">
      <c r="D137" s="89">
        <v>136</v>
      </c>
      <c r="E137" s="24" t="str">
        <f>IF(Number&lt;=COUNT(Entry_number),INDEX(Lookup_table,MATCH(Number,Calculations!AK:AK,0),3),"")</f>
        <v/>
      </c>
      <c r="F137" s="4" t="str">
        <f>IF(Ranked_number&lt;=COUNT(Entry_number),INDEX(Lookup_table,MATCH(Number,Calculations!AK:AK,0),5),"")</f>
        <v/>
      </c>
      <c r="G137" s="4" t="str">
        <f>IF(Ranked_number&lt;=COUNT(Entry_number),INDEX(Lookup_table,MATCH(Number,Calculations!AK:AK,0),9),"")</f>
        <v/>
      </c>
      <c r="H137" s="4" t="str">
        <f>IF(Ranked_number&lt;=COUNT(Entry_number),INDEX(Lookup_table,MATCH(Number,Calculations!AK:AK,0),10),"")</f>
        <v/>
      </c>
      <c r="I137" s="9" t="str">
        <f>IF(D137&lt;=COUNT(Entry_number),INDEX(Lookup_table,MATCH(Number,Calculations!AK:AK,0),11),"")</f>
        <v/>
      </c>
      <c r="J137" s="114" t="str">
        <f>IF(D137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7" s="175"/>
      <c r="O137" s="176"/>
    </row>
    <row r="138" spans="4:15" x14ac:dyDescent="0.2">
      <c r="D138" s="89">
        <v>137</v>
      </c>
      <c r="E138" s="24" t="str">
        <f>IF(Number&lt;=COUNT(Entry_number),INDEX(Lookup_table,MATCH(Number,Calculations!AK:AK,0),3),"")</f>
        <v/>
      </c>
      <c r="F138" s="4" t="str">
        <f>IF(Ranked_number&lt;=COUNT(Entry_number),INDEX(Lookup_table,MATCH(Number,Calculations!AK:AK,0),5),"")</f>
        <v/>
      </c>
      <c r="G138" s="4" t="str">
        <f>IF(Ranked_number&lt;=COUNT(Entry_number),INDEX(Lookup_table,MATCH(Number,Calculations!AK:AK,0),9),"")</f>
        <v/>
      </c>
      <c r="H138" s="4" t="str">
        <f>IF(Ranked_number&lt;=COUNT(Entry_number),INDEX(Lookup_table,MATCH(Number,Calculations!AK:AK,0),10),"")</f>
        <v/>
      </c>
      <c r="I138" s="9" t="str">
        <f>IF(D138&lt;=COUNT(Entry_number),INDEX(Lookup_table,MATCH(Number,Calculations!AK:AK,0),11),"")</f>
        <v/>
      </c>
      <c r="J138" s="114" t="str">
        <f>IF(D138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8" s="175"/>
      <c r="O138" s="176"/>
    </row>
    <row r="139" spans="4:15" x14ac:dyDescent="0.2">
      <c r="D139" s="89">
        <v>138</v>
      </c>
      <c r="E139" s="24" t="str">
        <f>IF(Number&lt;=COUNT(Entry_number),INDEX(Lookup_table,MATCH(Number,Calculations!AK:AK,0),3),"")</f>
        <v/>
      </c>
      <c r="F139" s="4" t="str">
        <f>IF(Ranked_number&lt;=COUNT(Entry_number),INDEX(Lookup_table,MATCH(Number,Calculations!AK:AK,0),5),"")</f>
        <v/>
      </c>
      <c r="G139" s="4" t="str">
        <f>IF(Ranked_number&lt;=COUNT(Entry_number),INDEX(Lookup_table,MATCH(Number,Calculations!AK:AK,0),9),"")</f>
        <v/>
      </c>
      <c r="H139" s="4" t="str">
        <f>IF(Ranked_number&lt;=COUNT(Entry_number),INDEX(Lookup_table,MATCH(Number,Calculations!AK:AK,0),10),"")</f>
        <v/>
      </c>
      <c r="I139" s="9" t="str">
        <f>IF(D139&lt;=COUNT(Entry_number),INDEX(Lookup_table,MATCH(Number,Calculations!AK:AK,0),11),"")</f>
        <v/>
      </c>
      <c r="J139" s="114" t="str">
        <f>IF(D139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39" s="175"/>
      <c r="O139" s="176"/>
    </row>
    <row r="140" spans="4:15" x14ac:dyDescent="0.2">
      <c r="D140" s="89">
        <v>139</v>
      </c>
      <c r="E140" s="24" t="str">
        <f>IF(Number&lt;=COUNT(Entry_number),INDEX(Lookup_table,MATCH(Number,Calculations!AK:AK,0),3),"")</f>
        <v/>
      </c>
      <c r="F140" s="4" t="str">
        <f>IF(Ranked_number&lt;=COUNT(Entry_number),INDEX(Lookup_table,MATCH(Number,Calculations!AK:AK,0),5),"")</f>
        <v/>
      </c>
      <c r="G140" s="4" t="str">
        <f>IF(Ranked_number&lt;=COUNT(Entry_number),INDEX(Lookup_table,MATCH(Number,Calculations!AK:AK,0),9),"")</f>
        <v/>
      </c>
      <c r="H140" s="4" t="str">
        <f>IF(Ranked_number&lt;=COUNT(Entry_number),INDEX(Lookup_table,MATCH(Number,Calculations!AK:AK,0),10),"")</f>
        <v/>
      </c>
      <c r="I140" s="9" t="str">
        <f>IF(D140&lt;=COUNT(Entry_number),INDEX(Lookup_table,MATCH(Number,Calculations!AK:AK,0),11),"")</f>
        <v/>
      </c>
      <c r="J140" s="114" t="str">
        <f>IF(D140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0" s="175"/>
      <c r="O140" s="176"/>
    </row>
    <row r="141" spans="4:15" x14ac:dyDescent="0.2">
      <c r="D141" s="89">
        <v>140</v>
      </c>
      <c r="E141" s="24" t="str">
        <f>IF(Number&lt;=COUNT(Entry_number),INDEX(Lookup_table,MATCH(Number,Calculations!AK:AK,0),3),"")</f>
        <v/>
      </c>
      <c r="F141" s="4" t="str">
        <f>IF(Ranked_number&lt;=COUNT(Entry_number),INDEX(Lookup_table,MATCH(Number,Calculations!AK:AK,0),5),"")</f>
        <v/>
      </c>
      <c r="G141" s="4" t="str">
        <f>IF(Ranked_number&lt;=COUNT(Entry_number),INDEX(Lookup_table,MATCH(Number,Calculations!AK:AK,0),9),"")</f>
        <v/>
      </c>
      <c r="H141" s="4" t="str">
        <f>IF(Ranked_number&lt;=COUNT(Entry_number),INDEX(Lookup_table,MATCH(Number,Calculations!AK:AK,0),10),"")</f>
        <v/>
      </c>
      <c r="I141" s="9" t="str">
        <f>IF(D141&lt;=COUNT(Entry_number),INDEX(Lookup_table,MATCH(Number,Calculations!AK:AK,0),11),"")</f>
        <v/>
      </c>
      <c r="J141" s="114" t="str">
        <f>IF(D141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1" s="175"/>
      <c r="O141" s="176"/>
    </row>
    <row r="142" spans="4:15" x14ac:dyDescent="0.2">
      <c r="D142" s="89">
        <v>141</v>
      </c>
      <c r="E142" s="24" t="str">
        <f>IF(Number&lt;=COUNT(Entry_number),INDEX(Lookup_table,MATCH(Number,Calculations!AK:AK,0),3),"")</f>
        <v/>
      </c>
      <c r="F142" s="4" t="str">
        <f>IF(Ranked_number&lt;=COUNT(Entry_number),INDEX(Lookup_table,MATCH(Number,Calculations!AK:AK,0),5),"")</f>
        <v/>
      </c>
      <c r="G142" s="4" t="str">
        <f>IF(Ranked_number&lt;=COUNT(Entry_number),INDEX(Lookup_table,MATCH(Number,Calculations!AK:AK,0),9),"")</f>
        <v/>
      </c>
      <c r="H142" s="4" t="str">
        <f>IF(Ranked_number&lt;=COUNT(Entry_number),INDEX(Lookup_table,MATCH(Number,Calculations!AK:AK,0),10),"")</f>
        <v/>
      </c>
      <c r="I142" s="9" t="str">
        <f>IF(D142&lt;=COUNT(Entry_number),INDEX(Lookup_table,MATCH(Number,Calculations!AK:AK,0),11),"")</f>
        <v/>
      </c>
      <c r="J142" s="114" t="str">
        <f>IF(D142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2" s="175"/>
      <c r="O142" s="176"/>
    </row>
    <row r="143" spans="4:15" x14ac:dyDescent="0.2">
      <c r="D143" s="89">
        <v>142</v>
      </c>
      <c r="E143" s="24" t="str">
        <f>IF(Number&lt;=COUNT(Entry_number),INDEX(Lookup_table,MATCH(Number,Calculations!AK:AK,0),3),"")</f>
        <v/>
      </c>
      <c r="F143" s="4" t="str">
        <f>IF(Ranked_number&lt;=COUNT(Entry_number),INDEX(Lookup_table,MATCH(Number,Calculations!AK:AK,0),5),"")</f>
        <v/>
      </c>
      <c r="G143" s="4" t="str">
        <f>IF(Ranked_number&lt;=COUNT(Entry_number),INDEX(Lookup_table,MATCH(Number,Calculations!AK:AK,0),9),"")</f>
        <v/>
      </c>
      <c r="H143" s="4" t="str">
        <f>IF(Ranked_number&lt;=COUNT(Entry_number),INDEX(Lookup_table,MATCH(Number,Calculations!AK:AK,0),10),"")</f>
        <v/>
      </c>
      <c r="I143" s="9" t="str">
        <f>IF(D143&lt;=COUNT(Entry_number),INDEX(Lookup_table,MATCH(Number,Calculations!AK:AK,0),11),"")</f>
        <v/>
      </c>
      <c r="J143" s="114" t="str">
        <f>IF(D143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3" s="175"/>
      <c r="O143" s="176"/>
    </row>
    <row r="144" spans="4:15" x14ac:dyDescent="0.2">
      <c r="D144" s="89">
        <v>143</v>
      </c>
      <c r="E144" s="24" t="str">
        <f>IF(Number&lt;=COUNT(Entry_number),INDEX(Lookup_table,MATCH(Number,Calculations!AK:AK,0),3),"")</f>
        <v/>
      </c>
      <c r="F144" s="4" t="str">
        <f>IF(Ranked_number&lt;=COUNT(Entry_number),INDEX(Lookup_table,MATCH(Number,Calculations!AK:AK,0),5),"")</f>
        <v/>
      </c>
      <c r="G144" s="4" t="str">
        <f>IF(Ranked_number&lt;=COUNT(Entry_number),INDEX(Lookup_table,MATCH(Number,Calculations!AK:AK,0),9),"")</f>
        <v/>
      </c>
      <c r="H144" s="4" t="str">
        <f>IF(Ranked_number&lt;=COUNT(Entry_number),INDEX(Lookup_table,MATCH(Number,Calculations!AK:AK,0),10),"")</f>
        <v/>
      </c>
      <c r="I144" s="9" t="str">
        <f>IF(D144&lt;=COUNT(Entry_number),INDEX(Lookup_table,MATCH(Number,Calculations!AK:AK,0),11),"")</f>
        <v/>
      </c>
      <c r="J144" s="114" t="str">
        <f>IF(D144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4" s="175"/>
      <c r="O144" s="176"/>
    </row>
    <row r="145" spans="4:15" x14ac:dyDescent="0.2">
      <c r="D145" s="89">
        <v>144</v>
      </c>
      <c r="E145" s="24" t="str">
        <f>IF(Number&lt;=COUNT(Entry_number),INDEX(Lookup_table,MATCH(Number,Calculations!AK:AK,0),3),"")</f>
        <v/>
      </c>
      <c r="F145" s="4" t="str">
        <f>IF(Ranked_number&lt;=COUNT(Entry_number),INDEX(Lookup_table,MATCH(Number,Calculations!AK:AK,0),5),"")</f>
        <v/>
      </c>
      <c r="G145" s="4" t="str">
        <f>IF(Ranked_number&lt;=COUNT(Entry_number),INDEX(Lookup_table,MATCH(Number,Calculations!AK:AK,0),9),"")</f>
        <v/>
      </c>
      <c r="H145" s="4" t="str">
        <f>IF(Ranked_number&lt;=COUNT(Entry_number),INDEX(Lookup_table,MATCH(Number,Calculations!AK:AK,0),10),"")</f>
        <v/>
      </c>
      <c r="I145" s="9" t="str">
        <f>IF(D145&lt;=COUNT(Entry_number),INDEX(Lookup_table,MATCH(Number,Calculations!AK:AK,0),11),"")</f>
        <v/>
      </c>
      <c r="J145" s="114" t="str">
        <f>IF(D145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5" s="175"/>
      <c r="O145" s="176"/>
    </row>
    <row r="146" spans="4:15" x14ac:dyDescent="0.2">
      <c r="D146" s="89">
        <v>145</v>
      </c>
      <c r="E146" s="24" t="str">
        <f>IF(Number&lt;=COUNT(Entry_number),INDEX(Lookup_table,MATCH(Number,Calculations!AK:AK,0),3),"")</f>
        <v/>
      </c>
      <c r="F146" s="4" t="str">
        <f>IF(Ranked_number&lt;=COUNT(Entry_number),INDEX(Lookup_table,MATCH(Number,Calculations!AK:AK,0),5),"")</f>
        <v/>
      </c>
      <c r="G146" s="4" t="str">
        <f>IF(Ranked_number&lt;=COUNT(Entry_number),INDEX(Lookup_table,MATCH(Number,Calculations!AK:AK,0),9),"")</f>
        <v/>
      </c>
      <c r="H146" s="4" t="str">
        <f>IF(Ranked_number&lt;=COUNT(Entry_number),INDEX(Lookup_table,MATCH(Number,Calculations!AK:AK,0),10),"")</f>
        <v/>
      </c>
      <c r="I146" s="9" t="str">
        <f>IF(D146&lt;=COUNT(Entry_number),INDEX(Lookup_table,MATCH(Number,Calculations!AK:AK,0),11),"")</f>
        <v/>
      </c>
      <c r="J146" s="114" t="str">
        <f>IF(D146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6" s="175"/>
      <c r="O146" s="176"/>
    </row>
    <row r="147" spans="4:15" x14ac:dyDescent="0.2">
      <c r="D147" s="89">
        <v>146</v>
      </c>
      <c r="E147" s="24" t="str">
        <f>IF(Number&lt;=COUNT(Entry_number),INDEX(Lookup_table,MATCH(Number,Calculations!AK:AK,0),3),"")</f>
        <v/>
      </c>
      <c r="F147" s="4" t="str">
        <f>IF(Ranked_number&lt;=COUNT(Entry_number),INDEX(Lookup_table,MATCH(Number,Calculations!AK:AK,0),5),"")</f>
        <v/>
      </c>
      <c r="G147" s="4" t="str">
        <f>IF(Ranked_number&lt;=COUNT(Entry_number),INDEX(Lookup_table,MATCH(Number,Calculations!AK:AK,0),9),"")</f>
        <v/>
      </c>
      <c r="H147" s="4" t="str">
        <f>IF(Ranked_number&lt;=COUNT(Entry_number),INDEX(Lookup_table,MATCH(Number,Calculations!AK:AK,0),10),"")</f>
        <v/>
      </c>
      <c r="I147" s="9" t="str">
        <f>IF(D147&lt;=COUNT(Entry_number),INDEX(Lookup_table,MATCH(Number,Calculations!AK:AK,0),11),"")</f>
        <v/>
      </c>
      <c r="J147" s="114" t="str">
        <f>IF(D147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7" s="175"/>
      <c r="O147" s="176"/>
    </row>
    <row r="148" spans="4:15" x14ac:dyDescent="0.2">
      <c r="D148" s="89">
        <v>147</v>
      </c>
      <c r="E148" s="24" t="str">
        <f>IF(Number&lt;=COUNT(Entry_number),INDEX(Lookup_table,MATCH(Number,Calculations!AK:AK,0),3),"")</f>
        <v/>
      </c>
      <c r="F148" s="4" t="str">
        <f>IF(Ranked_number&lt;=COUNT(Entry_number),INDEX(Lookup_table,MATCH(Number,Calculations!AK:AK,0),5),"")</f>
        <v/>
      </c>
      <c r="G148" s="4" t="str">
        <f>IF(Ranked_number&lt;=COUNT(Entry_number),INDEX(Lookup_table,MATCH(Number,Calculations!AK:AK,0),9),"")</f>
        <v/>
      </c>
      <c r="H148" s="4" t="str">
        <f>IF(Ranked_number&lt;=COUNT(Entry_number),INDEX(Lookup_table,MATCH(Number,Calculations!AK:AK,0),10),"")</f>
        <v/>
      </c>
      <c r="I148" s="9" t="str">
        <f>IF(D148&lt;=COUNT(Entry_number),INDEX(Lookup_table,MATCH(Number,Calculations!AK:AK,0),11),"")</f>
        <v/>
      </c>
      <c r="J148" s="114" t="str">
        <f>IF(D148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8" s="175"/>
      <c r="O148" s="176"/>
    </row>
    <row r="149" spans="4:15" x14ac:dyDescent="0.2">
      <c r="D149" s="89">
        <v>148</v>
      </c>
      <c r="E149" s="24" t="str">
        <f>IF(Number&lt;=COUNT(Entry_number),INDEX(Lookup_table,MATCH(Number,Calculations!AK:AK,0),3),"")</f>
        <v/>
      </c>
      <c r="F149" s="4" t="str">
        <f>IF(Ranked_number&lt;=COUNT(Entry_number),INDEX(Lookup_table,MATCH(Number,Calculations!AK:AK,0),5),"")</f>
        <v/>
      </c>
      <c r="G149" s="4" t="str">
        <f>IF(Ranked_number&lt;=COUNT(Entry_number),INDEX(Lookup_table,MATCH(Number,Calculations!AK:AK,0),9),"")</f>
        <v/>
      </c>
      <c r="H149" s="4" t="str">
        <f>IF(Ranked_number&lt;=COUNT(Entry_number),INDEX(Lookup_table,MATCH(Number,Calculations!AK:AK,0),10),"")</f>
        <v/>
      </c>
      <c r="I149" s="9" t="str">
        <f>IF(D149&lt;=COUNT(Entry_number),INDEX(Lookup_table,MATCH(Number,Calculations!AK:AK,0),11),"")</f>
        <v/>
      </c>
      <c r="J149" s="114" t="str">
        <f>IF(D149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49" s="175"/>
      <c r="O149" s="176"/>
    </row>
    <row r="150" spans="4:15" x14ac:dyDescent="0.2">
      <c r="D150" s="89">
        <v>149</v>
      </c>
      <c r="E150" s="24" t="str">
        <f>IF(Number&lt;=COUNT(Entry_number),INDEX(Lookup_table,MATCH(Number,Calculations!AK:AK,0),3),"")</f>
        <v/>
      </c>
      <c r="F150" s="4" t="str">
        <f>IF(Ranked_number&lt;=COUNT(Entry_number),INDEX(Lookup_table,MATCH(Number,Calculations!AK:AK,0),5),"")</f>
        <v/>
      </c>
      <c r="G150" s="4" t="str">
        <f>IF(Ranked_number&lt;=COUNT(Entry_number),INDEX(Lookup_table,MATCH(Number,Calculations!AK:AK,0),9),"")</f>
        <v/>
      </c>
      <c r="H150" s="4" t="str">
        <f>IF(Ranked_number&lt;=COUNT(Entry_number),INDEX(Lookup_table,MATCH(Number,Calculations!AK:AK,0),10),"")</f>
        <v/>
      </c>
      <c r="I150" s="9" t="str">
        <f>IF(D150&lt;=COUNT(Entry_number),INDEX(Lookup_table,MATCH(Number,Calculations!AK:AK,0),11),"")</f>
        <v/>
      </c>
      <c r="J150" s="114" t="str">
        <f>IF(D150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0" s="175"/>
      <c r="O150" s="176"/>
    </row>
    <row r="151" spans="4:15" x14ac:dyDescent="0.2">
      <c r="D151" s="89">
        <v>150</v>
      </c>
      <c r="E151" s="24" t="str">
        <f>IF(Number&lt;=COUNT(Entry_number),INDEX(Lookup_table,MATCH(Number,Calculations!AK:AK,0),3),"")</f>
        <v/>
      </c>
      <c r="F151" s="4" t="str">
        <f>IF(Ranked_number&lt;=COUNT(Entry_number),INDEX(Lookup_table,MATCH(Number,Calculations!AK:AK,0),5),"")</f>
        <v/>
      </c>
      <c r="G151" s="4" t="str">
        <f>IF(Ranked_number&lt;=COUNT(Entry_number),INDEX(Lookup_table,MATCH(Number,Calculations!AK:AK,0),9),"")</f>
        <v/>
      </c>
      <c r="H151" s="4" t="str">
        <f>IF(Ranked_number&lt;=COUNT(Entry_number),INDEX(Lookup_table,MATCH(Number,Calculations!AK:AK,0),10),"")</f>
        <v/>
      </c>
      <c r="I151" s="9" t="str">
        <f>IF(D151&lt;=COUNT(Entry_number),INDEX(Lookup_table,MATCH(Number,Calculations!AK:AK,0),11),"")</f>
        <v/>
      </c>
      <c r="J151" s="114" t="str">
        <f>IF(D151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1" s="175"/>
      <c r="O151" s="176"/>
    </row>
    <row r="152" spans="4:15" x14ac:dyDescent="0.2">
      <c r="D152" s="89">
        <v>151</v>
      </c>
      <c r="E152" s="24" t="str">
        <f>IF(Number&lt;=COUNT(Entry_number),INDEX(Lookup_table,MATCH(Number,Calculations!AK:AK,0),3),"")</f>
        <v/>
      </c>
      <c r="F152" s="4" t="str">
        <f>IF(Ranked_number&lt;=COUNT(Entry_number),INDEX(Lookup_table,MATCH(Number,Calculations!AK:AK,0),5),"")</f>
        <v/>
      </c>
      <c r="G152" s="4" t="str">
        <f>IF(Ranked_number&lt;=COUNT(Entry_number),INDEX(Lookup_table,MATCH(Number,Calculations!AK:AK,0),9),"")</f>
        <v/>
      </c>
      <c r="H152" s="4" t="str">
        <f>IF(Ranked_number&lt;=COUNT(Entry_number),INDEX(Lookup_table,MATCH(Number,Calculations!AK:AK,0),10),"")</f>
        <v/>
      </c>
      <c r="I152" s="9" t="str">
        <f>IF(D152&lt;=COUNT(Entry_number),INDEX(Lookup_table,MATCH(Number,Calculations!AK:AK,0),11),"")</f>
        <v/>
      </c>
      <c r="J152" s="114" t="str">
        <f>IF(D152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2" s="175"/>
      <c r="O152" s="176"/>
    </row>
    <row r="153" spans="4:15" x14ac:dyDescent="0.2">
      <c r="D153" s="89">
        <v>152</v>
      </c>
      <c r="E153" s="24" t="str">
        <f>IF(Number&lt;=COUNT(Entry_number),INDEX(Lookup_table,MATCH(Number,Calculations!AK:AK,0),3),"")</f>
        <v/>
      </c>
      <c r="F153" s="4" t="str">
        <f>IF(Ranked_number&lt;=COUNT(Entry_number),INDEX(Lookup_table,MATCH(Number,Calculations!AK:AK,0),5),"")</f>
        <v/>
      </c>
      <c r="G153" s="4" t="str">
        <f>IF(Ranked_number&lt;=COUNT(Entry_number),INDEX(Lookup_table,MATCH(Number,Calculations!AK:AK,0),9),"")</f>
        <v/>
      </c>
      <c r="H153" s="4" t="str">
        <f>IF(Ranked_number&lt;=COUNT(Entry_number),INDEX(Lookup_table,MATCH(Number,Calculations!AK:AK,0),10),"")</f>
        <v/>
      </c>
      <c r="I153" s="9" t="str">
        <f>IF(D153&lt;=COUNT(Entry_number),INDEX(Lookup_table,MATCH(Number,Calculations!AK:AK,0),11),"")</f>
        <v/>
      </c>
      <c r="J153" s="114" t="str">
        <f>IF(D153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3" s="175"/>
      <c r="O153" s="176"/>
    </row>
    <row r="154" spans="4:15" x14ac:dyDescent="0.2">
      <c r="D154" s="89">
        <v>153</v>
      </c>
      <c r="E154" s="24" t="str">
        <f>IF(Number&lt;=COUNT(Entry_number),INDEX(Lookup_table,MATCH(Number,Calculations!AK:AK,0),3),"")</f>
        <v/>
      </c>
      <c r="F154" s="4" t="str">
        <f>IF(Ranked_number&lt;=COUNT(Entry_number),INDEX(Lookup_table,MATCH(Number,Calculations!AK:AK,0),5),"")</f>
        <v/>
      </c>
      <c r="G154" s="4" t="str">
        <f>IF(Ranked_number&lt;=COUNT(Entry_number),INDEX(Lookup_table,MATCH(Number,Calculations!AK:AK,0),9),"")</f>
        <v/>
      </c>
      <c r="H154" s="4" t="str">
        <f>IF(Ranked_number&lt;=COUNT(Entry_number),INDEX(Lookup_table,MATCH(Number,Calculations!AK:AK,0),10),"")</f>
        <v/>
      </c>
      <c r="I154" s="9" t="str">
        <f>IF(D154&lt;=COUNT(Entry_number),INDEX(Lookup_table,MATCH(Number,Calculations!AK:AK,0),11),"")</f>
        <v/>
      </c>
      <c r="J154" s="114" t="str">
        <f>IF(D154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4" s="175"/>
      <c r="O154" s="176"/>
    </row>
    <row r="155" spans="4:15" x14ac:dyDescent="0.2">
      <c r="D155" s="89">
        <v>154</v>
      </c>
      <c r="E155" s="24" t="str">
        <f>IF(Number&lt;=COUNT(Entry_number),INDEX(Lookup_table,MATCH(Number,Calculations!AK:AK,0),3),"")</f>
        <v/>
      </c>
      <c r="F155" s="4" t="str">
        <f>IF(Ranked_number&lt;=COUNT(Entry_number),INDEX(Lookup_table,MATCH(Number,Calculations!AK:AK,0),5),"")</f>
        <v/>
      </c>
      <c r="G155" s="4" t="str">
        <f>IF(Ranked_number&lt;=COUNT(Entry_number),INDEX(Lookup_table,MATCH(Number,Calculations!AK:AK,0),9),"")</f>
        <v/>
      </c>
      <c r="H155" s="4" t="str">
        <f>IF(Ranked_number&lt;=COUNT(Entry_number),INDEX(Lookup_table,MATCH(Number,Calculations!AK:AK,0),10),"")</f>
        <v/>
      </c>
      <c r="I155" s="9" t="str">
        <f>IF(D155&lt;=COUNT(Entry_number),INDEX(Lookup_table,MATCH(Number,Calculations!AK:AK,0),11),"")</f>
        <v/>
      </c>
      <c r="J155" s="114" t="str">
        <f>IF(D155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5" s="175"/>
      <c r="O155" s="176"/>
    </row>
    <row r="156" spans="4:15" x14ac:dyDescent="0.2">
      <c r="D156" s="89">
        <v>155</v>
      </c>
      <c r="E156" s="24" t="str">
        <f>IF(Number&lt;=COUNT(Entry_number),INDEX(Lookup_table,MATCH(Number,Calculations!AK:AK,0),3),"")</f>
        <v/>
      </c>
      <c r="F156" s="4" t="str">
        <f>IF(Ranked_number&lt;=COUNT(Entry_number),INDEX(Lookup_table,MATCH(Number,Calculations!AK:AK,0),5),"")</f>
        <v/>
      </c>
      <c r="G156" s="4" t="str">
        <f>IF(Ranked_number&lt;=COUNT(Entry_number),INDEX(Lookup_table,MATCH(Number,Calculations!AK:AK,0),9),"")</f>
        <v/>
      </c>
      <c r="H156" s="4" t="str">
        <f>IF(Ranked_number&lt;=COUNT(Entry_number),INDEX(Lookup_table,MATCH(Number,Calculations!AK:AK,0),10),"")</f>
        <v/>
      </c>
      <c r="I156" s="9" t="str">
        <f>IF(D156&lt;=COUNT(Entry_number),INDEX(Lookup_table,MATCH(Number,Calculations!AK:AK,0),11),"")</f>
        <v/>
      </c>
      <c r="J156" s="114" t="str">
        <f>IF(D156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6" s="175"/>
      <c r="O156" s="176"/>
    </row>
    <row r="157" spans="4:15" x14ac:dyDescent="0.2">
      <c r="D157" s="89">
        <v>156</v>
      </c>
      <c r="E157" s="24" t="str">
        <f>IF(Number&lt;=COUNT(Entry_number),INDEX(Lookup_table,MATCH(Number,Calculations!AK:AK,0),3),"")</f>
        <v/>
      </c>
      <c r="F157" s="4" t="str">
        <f>IF(Ranked_number&lt;=COUNT(Entry_number),INDEX(Lookup_table,MATCH(Number,Calculations!AK:AK,0),5),"")</f>
        <v/>
      </c>
      <c r="G157" s="4" t="str">
        <f>IF(Ranked_number&lt;=COUNT(Entry_number),INDEX(Lookup_table,MATCH(Number,Calculations!AK:AK,0),9),"")</f>
        <v/>
      </c>
      <c r="H157" s="4" t="str">
        <f>IF(Ranked_number&lt;=COUNT(Entry_number),INDEX(Lookup_table,MATCH(Number,Calculations!AK:AK,0),10),"")</f>
        <v/>
      </c>
      <c r="I157" s="9" t="str">
        <f>IF(D157&lt;=COUNT(Entry_number),INDEX(Lookup_table,MATCH(Number,Calculations!AK:AK,0),11),"")</f>
        <v/>
      </c>
      <c r="J157" s="114" t="str">
        <f>IF(D157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7" s="175"/>
      <c r="O157" s="176"/>
    </row>
    <row r="158" spans="4:15" x14ac:dyDescent="0.2">
      <c r="D158" s="89">
        <v>157</v>
      </c>
      <c r="E158" s="24" t="str">
        <f>IF(Number&lt;=COUNT(Entry_number),INDEX(Lookup_table,MATCH(Number,Calculations!AK:AK,0),3),"")</f>
        <v/>
      </c>
      <c r="F158" s="4" t="str">
        <f>IF(Ranked_number&lt;=COUNT(Entry_number),INDEX(Lookup_table,MATCH(Number,Calculations!AK:AK,0),5),"")</f>
        <v/>
      </c>
      <c r="G158" s="4" t="str">
        <f>IF(Ranked_number&lt;=COUNT(Entry_number),INDEX(Lookup_table,MATCH(Number,Calculations!AK:AK,0),9),"")</f>
        <v/>
      </c>
      <c r="H158" s="4" t="str">
        <f>IF(Ranked_number&lt;=COUNT(Entry_number),INDEX(Lookup_table,MATCH(Number,Calculations!AK:AK,0),10),"")</f>
        <v/>
      </c>
      <c r="I158" s="9" t="str">
        <f>IF(D158&lt;=COUNT(Entry_number),INDEX(Lookup_table,MATCH(Number,Calculations!AK:AK,0),11),"")</f>
        <v/>
      </c>
      <c r="J158" s="114" t="str">
        <f>IF(D158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8" s="175"/>
      <c r="O158" s="176"/>
    </row>
    <row r="159" spans="4:15" x14ac:dyDescent="0.2">
      <c r="D159" s="89">
        <v>158</v>
      </c>
      <c r="E159" s="24" t="str">
        <f>IF(Number&lt;=COUNT(Entry_number),INDEX(Lookup_table,MATCH(Number,Calculations!AK:AK,0),3),"")</f>
        <v/>
      </c>
      <c r="F159" s="4" t="str">
        <f>IF(Ranked_number&lt;=COUNT(Entry_number),INDEX(Lookup_table,MATCH(Number,Calculations!AK:AK,0),5),"")</f>
        <v/>
      </c>
      <c r="G159" s="4" t="str">
        <f>IF(Ranked_number&lt;=COUNT(Entry_number),INDEX(Lookup_table,MATCH(Number,Calculations!AK:AK,0),9),"")</f>
        <v/>
      </c>
      <c r="H159" s="4" t="str">
        <f>IF(Ranked_number&lt;=COUNT(Entry_number),INDEX(Lookup_table,MATCH(Number,Calculations!AK:AK,0),10),"")</f>
        <v/>
      </c>
      <c r="I159" s="9" t="str">
        <f>IF(D159&lt;=COUNT(Entry_number),INDEX(Lookup_table,MATCH(Number,Calculations!AK:AK,0),11),"")</f>
        <v/>
      </c>
      <c r="J159" s="114" t="str">
        <f>IF(D159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59" s="175"/>
      <c r="O159" s="176"/>
    </row>
    <row r="160" spans="4:15" x14ac:dyDescent="0.2">
      <c r="D160" s="89">
        <v>159</v>
      </c>
      <c r="E160" s="24" t="str">
        <f>IF(Number&lt;=COUNT(Entry_number),INDEX(Lookup_table,MATCH(Number,Calculations!AK:AK,0),3),"")</f>
        <v/>
      </c>
      <c r="F160" s="4" t="str">
        <f>IF(Ranked_number&lt;=COUNT(Entry_number),INDEX(Lookup_table,MATCH(Number,Calculations!AK:AK,0),5),"")</f>
        <v/>
      </c>
      <c r="G160" s="4" t="str">
        <f>IF(Ranked_number&lt;=COUNT(Entry_number),INDEX(Lookup_table,MATCH(Number,Calculations!AK:AK,0),9),"")</f>
        <v/>
      </c>
      <c r="H160" s="4" t="str">
        <f>IF(Ranked_number&lt;=COUNT(Entry_number),INDEX(Lookup_table,MATCH(Number,Calculations!AK:AK,0),10),"")</f>
        <v/>
      </c>
      <c r="I160" s="9" t="str">
        <f>IF(D160&lt;=COUNT(Entry_number),INDEX(Lookup_table,MATCH(Number,Calculations!AK:AK,0),11),"")</f>
        <v/>
      </c>
      <c r="J160" s="114" t="str">
        <f>IF(D160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0" s="175"/>
      <c r="O160" s="176"/>
    </row>
    <row r="161" spans="4:15" x14ac:dyDescent="0.2">
      <c r="D161" s="89">
        <v>160</v>
      </c>
      <c r="E161" s="24" t="str">
        <f>IF(Number&lt;=COUNT(Entry_number),INDEX(Lookup_table,MATCH(Number,Calculations!AK:AK,0),3),"")</f>
        <v/>
      </c>
      <c r="F161" s="4" t="str">
        <f>IF(Ranked_number&lt;=COUNT(Entry_number),INDEX(Lookup_table,MATCH(Number,Calculations!AK:AK,0),5),"")</f>
        <v/>
      </c>
      <c r="G161" s="4" t="str">
        <f>IF(Ranked_number&lt;=COUNT(Entry_number),INDEX(Lookup_table,MATCH(Number,Calculations!AK:AK,0),9),"")</f>
        <v/>
      </c>
      <c r="H161" s="4" t="str">
        <f>IF(Ranked_number&lt;=COUNT(Entry_number),INDEX(Lookup_table,MATCH(Number,Calculations!AK:AK,0),10),"")</f>
        <v/>
      </c>
      <c r="I161" s="9" t="str">
        <f>IF(D161&lt;=COUNT(Entry_number),INDEX(Lookup_table,MATCH(Number,Calculations!AK:AK,0),11),"")</f>
        <v/>
      </c>
      <c r="J161" s="114" t="str">
        <f>IF(D161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1" s="175"/>
      <c r="O161" s="176"/>
    </row>
    <row r="162" spans="4:15" x14ac:dyDescent="0.2">
      <c r="D162" s="89">
        <v>161</v>
      </c>
      <c r="E162" s="24" t="str">
        <f>IF(Number&lt;=COUNT(Entry_number),INDEX(Lookup_table,MATCH(Number,Calculations!AK:AK,0),3),"")</f>
        <v/>
      </c>
      <c r="F162" s="4" t="str">
        <f>IF(Ranked_number&lt;=COUNT(Entry_number),INDEX(Lookup_table,MATCH(Number,Calculations!AK:AK,0),5),"")</f>
        <v/>
      </c>
      <c r="G162" s="4" t="str">
        <f>IF(Ranked_number&lt;=COUNT(Entry_number),INDEX(Lookup_table,MATCH(Number,Calculations!AK:AK,0),9),"")</f>
        <v/>
      </c>
      <c r="H162" s="4" t="str">
        <f>IF(Ranked_number&lt;=COUNT(Entry_number),INDEX(Lookup_table,MATCH(Number,Calculations!AK:AK,0),10),"")</f>
        <v/>
      </c>
      <c r="I162" s="9" t="str">
        <f>IF(D162&lt;=COUNT(Entry_number),INDEX(Lookup_table,MATCH(Number,Calculations!AK:AK,0),11),"")</f>
        <v/>
      </c>
      <c r="J162" s="114" t="str">
        <f>IF(D162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2" s="175"/>
      <c r="O162" s="176"/>
    </row>
    <row r="163" spans="4:15" x14ac:dyDescent="0.2">
      <c r="D163" s="89">
        <v>162</v>
      </c>
      <c r="E163" s="24" t="str">
        <f>IF(Number&lt;=COUNT(Entry_number),INDEX(Lookup_table,MATCH(Number,Calculations!AK:AK,0),3),"")</f>
        <v/>
      </c>
      <c r="F163" s="4" t="str">
        <f>IF(Ranked_number&lt;=COUNT(Entry_number),INDEX(Lookup_table,MATCH(Number,Calculations!AK:AK,0),5),"")</f>
        <v/>
      </c>
      <c r="G163" s="4" t="str">
        <f>IF(Ranked_number&lt;=COUNT(Entry_number),INDEX(Lookup_table,MATCH(Number,Calculations!AK:AK,0),9),"")</f>
        <v/>
      </c>
      <c r="H163" s="4" t="str">
        <f>IF(Ranked_number&lt;=COUNT(Entry_number),INDEX(Lookup_table,MATCH(Number,Calculations!AK:AK,0),10),"")</f>
        <v/>
      </c>
      <c r="I163" s="9" t="str">
        <f>IF(D163&lt;=COUNT(Entry_number),INDEX(Lookup_table,MATCH(Number,Calculations!AK:AK,0),11),"")</f>
        <v/>
      </c>
      <c r="J163" s="114" t="str">
        <f>IF(D163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3" s="175"/>
      <c r="O163" s="176"/>
    </row>
    <row r="164" spans="4:15" x14ac:dyDescent="0.2">
      <c r="D164" s="89">
        <v>163</v>
      </c>
      <c r="E164" s="24" t="str">
        <f>IF(Number&lt;=COUNT(Entry_number),INDEX(Lookup_table,MATCH(Number,Calculations!AK:AK,0),3),"")</f>
        <v/>
      </c>
      <c r="F164" s="4" t="str">
        <f>IF(Ranked_number&lt;=COUNT(Entry_number),INDEX(Lookup_table,MATCH(Number,Calculations!AK:AK,0),5),"")</f>
        <v/>
      </c>
      <c r="G164" s="4" t="str">
        <f>IF(Ranked_number&lt;=COUNT(Entry_number),INDEX(Lookup_table,MATCH(Number,Calculations!AK:AK,0),9),"")</f>
        <v/>
      </c>
      <c r="H164" s="4" t="str">
        <f>IF(Ranked_number&lt;=COUNT(Entry_number),INDEX(Lookup_table,MATCH(Number,Calculations!AK:AK,0),10),"")</f>
        <v/>
      </c>
      <c r="I164" s="9" t="str">
        <f>IF(D164&lt;=COUNT(Entry_number),INDEX(Lookup_table,MATCH(Number,Calculations!AK:AK,0),11),"")</f>
        <v/>
      </c>
      <c r="J164" s="114" t="str">
        <f>IF(D164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4" s="175"/>
      <c r="O164" s="176"/>
    </row>
    <row r="165" spans="4:15" x14ac:dyDescent="0.2">
      <c r="D165" s="89">
        <v>164</v>
      </c>
      <c r="E165" s="24" t="str">
        <f>IF(Number&lt;=COUNT(Entry_number),INDEX(Lookup_table,MATCH(Number,Calculations!AK:AK,0),3),"")</f>
        <v/>
      </c>
      <c r="F165" s="4" t="str">
        <f>IF(Ranked_number&lt;=COUNT(Entry_number),INDEX(Lookup_table,MATCH(Number,Calculations!AK:AK,0),5),"")</f>
        <v/>
      </c>
      <c r="G165" s="4" t="str">
        <f>IF(Ranked_number&lt;=COUNT(Entry_number),INDEX(Lookup_table,MATCH(Number,Calculations!AK:AK,0),9),"")</f>
        <v/>
      </c>
      <c r="H165" s="4" t="str">
        <f>IF(Ranked_number&lt;=COUNT(Entry_number),INDEX(Lookup_table,MATCH(Number,Calculations!AK:AK,0),10),"")</f>
        <v/>
      </c>
      <c r="I165" s="9" t="str">
        <f>IF(D165&lt;=COUNT(Entry_number),INDEX(Lookup_table,MATCH(Number,Calculations!AK:AK,0),11),"")</f>
        <v/>
      </c>
      <c r="J165" s="114" t="str">
        <f>IF(D165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5" s="175"/>
      <c r="O165" s="176"/>
    </row>
    <row r="166" spans="4:15" x14ac:dyDescent="0.2">
      <c r="D166" s="89">
        <v>165</v>
      </c>
      <c r="E166" s="24" t="str">
        <f>IF(Number&lt;=COUNT(Entry_number),INDEX(Lookup_table,MATCH(Number,Calculations!AK:AK,0),3),"")</f>
        <v/>
      </c>
      <c r="F166" s="4" t="str">
        <f>IF(Ranked_number&lt;=COUNT(Entry_number),INDEX(Lookup_table,MATCH(Number,Calculations!AK:AK,0),5),"")</f>
        <v/>
      </c>
      <c r="G166" s="4" t="str">
        <f>IF(Ranked_number&lt;=COUNT(Entry_number),INDEX(Lookup_table,MATCH(Number,Calculations!AK:AK,0),9),"")</f>
        <v/>
      </c>
      <c r="H166" s="4" t="str">
        <f>IF(Ranked_number&lt;=COUNT(Entry_number),INDEX(Lookup_table,MATCH(Number,Calculations!AK:AK,0),10),"")</f>
        <v/>
      </c>
      <c r="I166" s="9" t="str">
        <f>IF(D166&lt;=COUNT(Entry_number),INDEX(Lookup_table,MATCH(Number,Calculations!AK:AK,0),11),"")</f>
        <v/>
      </c>
      <c r="J166" s="114" t="str">
        <f>IF(D166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6" s="175"/>
      <c r="O166" s="176"/>
    </row>
    <row r="167" spans="4:15" x14ac:dyDescent="0.2">
      <c r="D167" s="89">
        <v>166</v>
      </c>
      <c r="E167" s="24" t="str">
        <f>IF(Number&lt;=COUNT(Entry_number),INDEX(Lookup_table,MATCH(Number,Calculations!AK:AK,0),3),"")</f>
        <v/>
      </c>
      <c r="F167" s="4" t="str">
        <f>IF(Ranked_number&lt;=COUNT(Entry_number),INDEX(Lookup_table,MATCH(Number,Calculations!AK:AK,0),5),"")</f>
        <v/>
      </c>
      <c r="G167" s="4" t="str">
        <f>IF(Ranked_number&lt;=COUNT(Entry_number),INDEX(Lookup_table,MATCH(Number,Calculations!AK:AK,0),9),"")</f>
        <v/>
      </c>
      <c r="H167" s="4" t="str">
        <f>IF(Ranked_number&lt;=COUNT(Entry_number),INDEX(Lookup_table,MATCH(Number,Calculations!AK:AK,0),10),"")</f>
        <v/>
      </c>
      <c r="I167" s="9" t="str">
        <f>IF(D167&lt;=COUNT(Entry_number),INDEX(Lookup_table,MATCH(Number,Calculations!AK:AK,0),11),"")</f>
        <v/>
      </c>
      <c r="J167" s="114" t="str">
        <f>IF(D167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7" s="175"/>
      <c r="O167" s="176"/>
    </row>
    <row r="168" spans="4:15" x14ac:dyDescent="0.2">
      <c r="D168" s="89">
        <v>167</v>
      </c>
      <c r="E168" s="24" t="str">
        <f>IF(Number&lt;=COUNT(Entry_number),INDEX(Lookup_table,MATCH(Number,Calculations!AK:AK,0),3),"")</f>
        <v/>
      </c>
      <c r="F168" s="4" t="str">
        <f>IF(Ranked_number&lt;=COUNT(Entry_number),INDEX(Lookup_table,MATCH(Number,Calculations!AK:AK,0),5),"")</f>
        <v/>
      </c>
      <c r="G168" s="4" t="str">
        <f>IF(Ranked_number&lt;=COUNT(Entry_number),INDEX(Lookup_table,MATCH(Number,Calculations!AK:AK,0),9),"")</f>
        <v/>
      </c>
      <c r="H168" s="4" t="str">
        <f>IF(Ranked_number&lt;=COUNT(Entry_number),INDEX(Lookup_table,MATCH(Number,Calculations!AK:AK,0),10),"")</f>
        <v/>
      </c>
      <c r="I168" s="9" t="str">
        <f>IF(D168&lt;=COUNT(Entry_number),INDEX(Lookup_table,MATCH(Number,Calculations!AK:AK,0),11),"")</f>
        <v/>
      </c>
      <c r="J168" s="114" t="str">
        <f>IF(D168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8" s="175"/>
      <c r="O168" s="176"/>
    </row>
    <row r="169" spans="4:15" x14ac:dyDescent="0.2">
      <c r="D169" s="89">
        <v>168</v>
      </c>
      <c r="E169" s="24" t="str">
        <f>IF(Number&lt;=COUNT(Entry_number),INDEX(Lookup_table,MATCH(Number,Calculations!AK:AK,0),3),"")</f>
        <v/>
      </c>
      <c r="F169" s="4" t="str">
        <f>IF(Ranked_number&lt;=COUNT(Entry_number),INDEX(Lookup_table,MATCH(Number,Calculations!AK:AK,0),5),"")</f>
        <v/>
      </c>
      <c r="G169" s="4" t="str">
        <f>IF(Ranked_number&lt;=COUNT(Entry_number),INDEX(Lookup_table,MATCH(Number,Calculations!AK:AK,0),9),"")</f>
        <v/>
      </c>
      <c r="H169" s="4" t="str">
        <f>IF(Ranked_number&lt;=COUNT(Entry_number),INDEX(Lookup_table,MATCH(Number,Calculations!AK:AK,0),10),"")</f>
        <v/>
      </c>
      <c r="I169" s="9" t="str">
        <f>IF(D169&lt;=COUNT(Entry_number),INDEX(Lookup_table,MATCH(Number,Calculations!AK:AK,0),11),"")</f>
        <v/>
      </c>
      <c r="J169" s="114" t="str">
        <f>IF(D169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69" s="175"/>
      <c r="O169" s="176"/>
    </row>
    <row r="170" spans="4:15" x14ac:dyDescent="0.2">
      <c r="D170" s="89">
        <v>169</v>
      </c>
      <c r="E170" s="24" t="str">
        <f>IF(Number&lt;=COUNT(Entry_number),INDEX(Lookup_table,MATCH(Number,Calculations!AK:AK,0),3),"")</f>
        <v/>
      </c>
      <c r="F170" s="4" t="str">
        <f>IF(Ranked_number&lt;=COUNT(Entry_number),INDEX(Lookup_table,MATCH(Number,Calculations!AK:AK,0),5),"")</f>
        <v/>
      </c>
      <c r="G170" s="4" t="str">
        <f>IF(Ranked_number&lt;=COUNT(Entry_number),INDEX(Lookup_table,MATCH(Number,Calculations!AK:AK,0),9),"")</f>
        <v/>
      </c>
      <c r="H170" s="4" t="str">
        <f>IF(Ranked_number&lt;=COUNT(Entry_number),INDEX(Lookup_table,MATCH(Number,Calculations!AK:AK,0),10),"")</f>
        <v/>
      </c>
      <c r="I170" s="9" t="str">
        <f>IF(D170&lt;=COUNT(Entry_number),INDEX(Lookup_table,MATCH(Number,Calculations!AK:AK,0),11),"")</f>
        <v/>
      </c>
      <c r="J170" s="114" t="str">
        <f>IF(D170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0" s="175"/>
      <c r="O170" s="176"/>
    </row>
    <row r="171" spans="4:15" x14ac:dyDescent="0.2">
      <c r="D171" s="89">
        <v>170</v>
      </c>
      <c r="E171" s="24" t="str">
        <f>IF(Number&lt;=COUNT(Entry_number),INDEX(Lookup_table,MATCH(Number,Calculations!AK:AK,0),3),"")</f>
        <v/>
      </c>
      <c r="F171" s="4" t="str">
        <f>IF(Ranked_number&lt;=COUNT(Entry_number),INDEX(Lookup_table,MATCH(Number,Calculations!AK:AK,0),5),"")</f>
        <v/>
      </c>
      <c r="G171" s="4" t="str">
        <f>IF(Ranked_number&lt;=COUNT(Entry_number),INDEX(Lookup_table,MATCH(Number,Calculations!AK:AK,0),9),"")</f>
        <v/>
      </c>
      <c r="H171" s="4" t="str">
        <f>IF(Ranked_number&lt;=COUNT(Entry_number),INDEX(Lookup_table,MATCH(Number,Calculations!AK:AK,0),10),"")</f>
        <v/>
      </c>
      <c r="I171" s="9" t="str">
        <f>IF(D171&lt;=COUNT(Entry_number),INDEX(Lookup_table,MATCH(Number,Calculations!AK:AK,0),11),"")</f>
        <v/>
      </c>
      <c r="J171" s="114" t="str">
        <f>IF(D171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1" s="175"/>
      <c r="O171" s="176"/>
    </row>
    <row r="172" spans="4:15" x14ac:dyDescent="0.2">
      <c r="D172" s="89">
        <v>171</v>
      </c>
      <c r="E172" s="24" t="str">
        <f>IF(Number&lt;=COUNT(Entry_number),INDEX(Lookup_table,MATCH(Number,Calculations!AK:AK,0),3),"")</f>
        <v/>
      </c>
      <c r="F172" s="4" t="str">
        <f>IF(Ranked_number&lt;=COUNT(Entry_number),INDEX(Lookup_table,MATCH(Number,Calculations!AK:AK,0),5),"")</f>
        <v/>
      </c>
      <c r="G172" s="4" t="str">
        <f>IF(Ranked_number&lt;=COUNT(Entry_number),INDEX(Lookup_table,MATCH(Number,Calculations!AK:AK,0),9),"")</f>
        <v/>
      </c>
      <c r="H172" s="4" t="str">
        <f>IF(Ranked_number&lt;=COUNT(Entry_number),INDEX(Lookup_table,MATCH(Number,Calculations!AK:AK,0),10),"")</f>
        <v/>
      </c>
      <c r="I172" s="9" t="str">
        <f>IF(D172&lt;=COUNT(Entry_number),INDEX(Lookup_table,MATCH(Number,Calculations!AK:AK,0),11),"")</f>
        <v/>
      </c>
      <c r="J172" s="114" t="str">
        <f>IF(D172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2" s="175"/>
      <c r="O172" s="176"/>
    </row>
    <row r="173" spans="4:15" x14ac:dyDescent="0.2">
      <c r="D173" s="89">
        <v>172</v>
      </c>
      <c r="E173" s="24" t="str">
        <f>IF(Number&lt;=COUNT(Entry_number),INDEX(Lookup_table,MATCH(Number,Calculations!AK:AK,0),3),"")</f>
        <v/>
      </c>
      <c r="F173" s="4" t="str">
        <f>IF(Ranked_number&lt;=COUNT(Entry_number),INDEX(Lookup_table,MATCH(Number,Calculations!AK:AK,0),5),"")</f>
        <v/>
      </c>
      <c r="G173" s="4" t="str">
        <f>IF(Ranked_number&lt;=COUNT(Entry_number),INDEX(Lookup_table,MATCH(Number,Calculations!AK:AK,0),9),"")</f>
        <v/>
      </c>
      <c r="H173" s="4" t="str">
        <f>IF(Ranked_number&lt;=COUNT(Entry_number),INDEX(Lookup_table,MATCH(Number,Calculations!AK:AK,0),10),"")</f>
        <v/>
      </c>
      <c r="I173" s="9" t="str">
        <f>IF(D173&lt;=COUNT(Entry_number),INDEX(Lookup_table,MATCH(Number,Calculations!AK:AK,0),11),"")</f>
        <v/>
      </c>
      <c r="J173" s="114" t="str">
        <f>IF(D173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3" s="175"/>
      <c r="O173" s="176"/>
    </row>
    <row r="174" spans="4:15" x14ac:dyDescent="0.2">
      <c r="D174" s="89">
        <v>173</v>
      </c>
      <c r="E174" s="24" t="str">
        <f>IF(Number&lt;=COUNT(Entry_number),INDEX(Lookup_table,MATCH(Number,Calculations!AK:AK,0),3),"")</f>
        <v/>
      </c>
      <c r="F174" s="4" t="str">
        <f>IF(Ranked_number&lt;=COUNT(Entry_number),INDEX(Lookup_table,MATCH(Number,Calculations!AK:AK,0),5),"")</f>
        <v/>
      </c>
      <c r="G174" s="4" t="str">
        <f>IF(Ranked_number&lt;=COUNT(Entry_number),INDEX(Lookup_table,MATCH(Number,Calculations!AK:AK,0),9),"")</f>
        <v/>
      </c>
      <c r="H174" s="4" t="str">
        <f>IF(Ranked_number&lt;=COUNT(Entry_number),INDEX(Lookup_table,MATCH(Number,Calculations!AK:AK,0),10),"")</f>
        <v/>
      </c>
      <c r="I174" s="9" t="str">
        <f>IF(D174&lt;=COUNT(Entry_number),INDEX(Lookup_table,MATCH(Number,Calculations!AK:AK,0),11),"")</f>
        <v/>
      </c>
      <c r="J174" s="114" t="str">
        <f>IF(D174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4" s="175"/>
      <c r="O174" s="176"/>
    </row>
    <row r="175" spans="4:15" x14ac:dyDescent="0.2">
      <c r="D175" s="89">
        <v>174</v>
      </c>
      <c r="E175" s="24" t="str">
        <f>IF(Number&lt;=COUNT(Entry_number),INDEX(Lookup_table,MATCH(Number,Calculations!AK:AK,0),3),"")</f>
        <v/>
      </c>
      <c r="F175" s="4" t="str">
        <f>IF(Ranked_number&lt;=COUNT(Entry_number),INDEX(Lookup_table,MATCH(Number,Calculations!AK:AK,0),5),"")</f>
        <v/>
      </c>
      <c r="G175" s="4" t="str">
        <f>IF(Ranked_number&lt;=COUNT(Entry_number),INDEX(Lookup_table,MATCH(Number,Calculations!AK:AK,0),9),"")</f>
        <v/>
      </c>
      <c r="H175" s="4" t="str">
        <f>IF(Ranked_number&lt;=COUNT(Entry_number),INDEX(Lookup_table,MATCH(Number,Calculations!AK:AK,0),10),"")</f>
        <v/>
      </c>
      <c r="I175" s="9" t="str">
        <f>IF(D175&lt;=COUNT(Entry_number),INDEX(Lookup_table,MATCH(Number,Calculations!AK:AK,0),11),"")</f>
        <v/>
      </c>
      <c r="J175" s="114" t="str">
        <f>IF(D175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5" s="175"/>
      <c r="O175" s="176"/>
    </row>
    <row r="176" spans="4:15" x14ac:dyDescent="0.2">
      <c r="D176" s="89">
        <v>175</v>
      </c>
      <c r="E176" s="24" t="str">
        <f>IF(Number&lt;=COUNT(Entry_number),INDEX(Lookup_table,MATCH(Number,Calculations!AK:AK,0),3),"")</f>
        <v/>
      </c>
      <c r="F176" s="4" t="str">
        <f>IF(Ranked_number&lt;=COUNT(Entry_number),INDEX(Lookup_table,MATCH(Number,Calculations!AK:AK,0),5),"")</f>
        <v/>
      </c>
      <c r="G176" s="4" t="str">
        <f>IF(Ranked_number&lt;=COUNT(Entry_number),INDEX(Lookup_table,MATCH(Number,Calculations!AK:AK,0),9),"")</f>
        <v/>
      </c>
      <c r="H176" s="4" t="str">
        <f>IF(Ranked_number&lt;=COUNT(Entry_number),INDEX(Lookup_table,MATCH(Number,Calculations!AK:AK,0),10),"")</f>
        <v/>
      </c>
      <c r="I176" s="9" t="str">
        <f>IF(D176&lt;=COUNT(Entry_number),INDEX(Lookup_table,MATCH(Number,Calculations!AK:AK,0),11),"")</f>
        <v/>
      </c>
      <c r="J176" s="114" t="str">
        <f>IF(D176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6" s="175"/>
      <c r="O176" s="176"/>
    </row>
    <row r="177" spans="4:15" x14ac:dyDescent="0.2">
      <c r="D177" s="89">
        <v>176</v>
      </c>
      <c r="E177" s="24" t="str">
        <f>IF(Number&lt;=COUNT(Entry_number),INDEX(Lookup_table,MATCH(Number,Calculations!AK:AK,0),3),"")</f>
        <v/>
      </c>
      <c r="F177" s="4" t="str">
        <f>IF(Ranked_number&lt;=COUNT(Entry_number),INDEX(Lookup_table,MATCH(Number,Calculations!AK:AK,0),5),"")</f>
        <v/>
      </c>
      <c r="G177" s="4" t="str">
        <f>IF(Ranked_number&lt;=COUNT(Entry_number),INDEX(Lookup_table,MATCH(Number,Calculations!AK:AK,0),9),"")</f>
        <v/>
      </c>
      <c r="H177" s="4" t="str">
        <f>IF(Ranked_number&lt;=COUNT(Entry_number),INDEX(Lookup_table,MATCH(Number,Calculations!AK:AK,0),10),"")</f>
        <v/>
      </c>
      <c r="I177" s="9" t="str">
        <f>IF(D177&lt;=COUNT(Entry_number),INDEX(Lookup_table,MATCH(Number,Calculations!AK:AK,0),11),"")</f>
        <v/>
      </c>
      <c r="J177" s="114" t="str">
        <f>IF(D177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7" s="175"/>
      <c r="O177" s="176"/>
    </row>
    <row r="178" spans="4:15" x14ac:dyDescent="0.2">
      <c r="D178" s="89">
        <v>177</v>
      </c>
      <c r="E178" s="24" t="str">
        <f>IF(Number&lt;=COUNT(Entry_number),INDEX(Lookup_table,MATCH(Number,Calculations!AK:AK,0),3),"")</f>
        <v/>
      </c>
      <c r="F178" s="4" t="str">
        <f>IF(Ranked_number&lt;=COUNT(Entry_number),INDEX(Lookup_table,MATCH(Number,Calculations!AK:AK,0),5),"")</f>
        <v/>
      </c>
      <c r="G178" s="4" t="str">
        <f>IF(Ranked_number&lt;=COUNT(Entry_number),INDEX(Lookup_table,MATCH(Number,Calculations!AK:AK,0),9),"")</f>
        <v/>
      </c>
      <c r="H178" s="4" t="str">
        <f>IF(Ranked_number&lt;=COUNT(Entry_number),INDEX(Lookup_table,MATCH(Number,Calculations!AK:AK,0),10),"")</f>
        <v/>
      </c>
      <c r="I178" s="9" t="str">
        <f>IF(D178&lt;=COUNT(Entry_number),INDEX(Lookup_table,MATCH(Number,Calculations!AK:AK,0),11),"")</f>
        <v/>
      </c>
      <c r="J178" s="114" t="str">
        <f>IF(D178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8" s="175"/>
      <c r="O178" s="176"/>
    </row>
    <row r="179" spans="4:15" x14ac:dyDescent="0.2">
      <c r="D179" s="89">
        <v>178</v>
      </c>
      <c r="E179" s="24" t="str">
        <f>IF(Number&lt;=COUNT(Entry_number),INDEX(Lookup_table,MATCH(Number,Calculations!AK:AK,0),3),"")</f>
        <v/>
      </c>
      <c r="F179" s="4" t="str">
        <f>IF(Ranked_number&lt;=COUNT(Entry_number),INDEX(Lookup_table,MATCH(Number,Calculations!AK:AK,0),5),"")</f>
        <v/>
      </c>
      <c r="G179" s="4" t="str">
        <f>IF(Ranked_number&lt;=COUNT(Entry_number),INDEX(Lookup_table,MATCH(Number,Calculations!AK:AK,0),9),"")</f>
        <v/>
      </c>
      <c r="H179" s="4" t="str">
        <f>IF(Ranked_number&lt;=COUNT(Entry_number),INDEX(Lookup_table,MATCH(Number,Calculations!AK:AK,0),10),"")</f>
        <v/>
      </c>
      <c r="I179" s="9" t="str">
        <f>IF(D179&lt;=COUNT(Entry_number),INDEX(Lookup_table,MATCH(Number,Calculations!AK:AK,0),11),"")</f>
        <v/>
      </c>
      <c r="J179" s="114" t="str">
        <f>IF(D179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79" s="175"/>
      <c r="O179" s="176"/>
    </row>
    <row r="180" spans="4:15" x14ac:dyDescent="0.2">
      <c r="D180" s="89">
        <v>179</v>
      </c>
      <c r="E180" s="24" t="str">
        <f>IF(Number&lt;=COUNT(Entry_number),INDEX(Lookup_table,MATCH(Number,Calculations!AK:AK,0),3),"")</f>
        <v/>
      </c>
      <c r="F180" s="4" t="str">
        <f>IF(Ranked_number&lt;=COUNT(Entry_number),INDEX(Lookup_table,MATCH(Number,Calculations!AK:AK,0),5),"")</f>
        <v/>
      </c>
      <c r="G180" s="4" t="str">
        <f>IF(Ranked_number&lt;=COUNT(Entry_number),INDEX(Lookup_table,MATCH(Number,Calculations!AK:AK,0),9),"")</f>
        <v/>
      </c>
      <c r="H180" s="4" t="str">
        <f>IF(Ranked_number&lt;=COUNT(Entry_number),INDEX(Lookup_table,MATCH(Number,Calculations!AK:AK,0),10),"")</f>
        <v/>
      </c>
      <c r="I180" s="9" t="str">
        <f>IF(D180&lt;=COUNT(Entry_number),INDEX(Lookup_table,MATCH(Number,Calculations!AK:AK,0),11),"")</f>
        <v/>
      </c>
      <c r="J180" s="114" t="str">
        <f>IF(D180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0" s="175"/>
      <c r="O180" s="176"/>
    </row>
    <row r="181" spans="4:15" x14ac:dyDescent="0.2">
      <c r="D181" s="89">
        <v>180</v>
      </c>
      <c r="E181" s="24" t="str">
        <f>IF(Number&lt;=COUNT(Entry_number),INDEX(Lookup_table,MATCH(Number,Calculations!AK:AK,0),3),"")</f>
        <v/>
      </c>
      <c r="F181" s="4" t="str">
        <f>IF(Ranked_number&lt;=COUNT(Entry_number),INDEX(Lookup_table,MATCH(Number,Calculations!AK:AK,0),5),"")</f>
        <v/>
      </c>
      <c r="G181" s="4" t="str">
        <f>IF(Ranked_number&lt;=COUNT(Entry_number),INDEX(Lookup_table,MATCH(Number,Calculations!AK:AK,0),9),"")</f>
        <v/>
      </c>
      <c r="H181" s="4" t="str">
        <f>IF(Ranked_number&lt;=COUNT(Entry_number),INDEX(Lookup_table,MATCH(Number,Calculations!AK:AK,0),10),"")</f>
        <v/>
      </c>
      <c r="I181" s="9" t="str">
        <f>IF(D181&lt;=COUNT(Entry_number),INDEX(Lookup_table,MATCH(Number,Calculations!AK:AK,0),11),"")</f>
        <v/>
      </c>
      <c r="J181" s="114" t="str">
        <f>IF(D181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1" s="175"/>
      <c r="O181" s="176"/>
    </row>
    <row r="182" spans="4:15" x14ac:dyDescent="0.2">
      <c r="D182" s="89">
        <v>181</v>
      </c>
      <c r="E182" s="24" t="str">
        <f>IF(Number&lt;=COUNT(Entry_number),INDEX(Lookup_table,MATCH(Number,Calculations!AK:AK,0),3),"")</f>
        <v/>
      </c>
      <c r="F182" s="4" t="str">
        <f>IF(Ranked_number&lt;=COUNT(Entry_number),INDEX(Lookup_table,MATCH(Number,Calculations!AK:AK,0),5),"")</f>
        <v/>
      </c>
      <c r="G182" s="4" t="str">
        <f>IF(Ranked_number&lt;=COUNT(Entry_number),INDEX(Lookup_table,MATCH(Number,Calculations!AK:AK,0),9),"")</f>
        <v/>
      </c>
      <c r="H182" s="4" t="str">
        <f>IF(Ranked_number&lt;=COUNT(Entry_number),INDEX(Lookup_table,MATCH(Number,Calculations!AK:AK,0),10),"")</f>
        <v/>
      </c>
      <c r="I182" s="9" t="str">
        <f>IF(D182&lt;=COUNT(Entry_number),INDEX(Lookup_table,MATCH(Number,Calculations!AK:AK,0),11),"")</f>
        <v/>
      </c>
      <c r="J182" s="114" t="str">
        <f>IF(D182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2" s="175"/>
      <c r="O182" s="176"/>
    </row>
    <row r="183" spans="4:15" x14ac:dyDescent="0.2">
      <c r="D183" s="89">
        <v>182</v>
      </c>
      <c r="E183" s="24" t="str">
        <f>IF(Number&lt;=COUNT(Entry_number),INDEX(Lookup_table,MATCH(Number,Calculations!AK:AK,0),3),"")</f>
        <v/>
      </c>
      <c r="F183" s="4" t="str">
        <f>IF(Ranked_number&lt;=COUNT(Entry_number),INDEX(Lookup_table,MATCH(Number,Calculations!AK:AK,0),5),"")</f>
        <v/>
      </c>
      <c r="G183" s="4" t="str">
        <f>IF(Ranked_number&lt;=COUNT(Entry_number),INDEX(Lookup_table,MATCH(Number,Calculations!AK:AK,0),9),"")</f>
        <v/>
      </c>
      <c r="H183" s="4" t="str">
        <f>IF(Ranked_number&lt;=COUNT(Entry_number),INDEX(Lookup_table,MATCH(Number,Calculations!AK:AK,0),10),"")</f>
        <v/>
      </c>
      <c r="I183" s="9" t="str">
        <f>IF(D183&lt;=COUNT(Entry_number),INDEX(Lookup_table,MATCH(Number,Calculations!AK:AK,0),11),"")</f>
        <v/>
      </c>
      <c r="J183" s="114" t="str">
        <f>IF(D183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3" s="175"/>
      <c r="O183" s="176"/>
    </row>
    <row r="184" spans="4:15" x14ac:dyDescent="0.2">
      <c r="D184" s="89">
        <v>183</v>
      </c>
      <c r="E184" s="24" t="str">
        <f>IF(Number&lt;=COUNT(Entry_number),INDEX(Lookup_table,MATCH(Number,Calculations!AK:AK,0),3),"")</f>
        <v/>
      </c>
      <c r="F184" s="4" t="str">
        <f>IF(Ranked_number&lt;=COUNT(Entry_number),INDEX(Lookup_table,MATCH(Number,Calculations!AK:AK,0),5),"")</f>
        <v/>
      </c>
      <c r="G184" s="4" t="str">
        <f>IF(Ranked_number&lt;=COUNT(Entry_number),INDEX(Lookup_table,MATCH(Number,Calculations!AK:AK,0),9),"")</f>
        <v/>
      </c>
      <c r="H184" s="4" t="str">
        <f>IF(Ranked_number&lt;=COUNT(Entry_number),INDEX(Lookup_table,MATCH(Number,Calculations!AK:AK,0),10),"")</f>
        <v/>
      </c>
      <c r="I184" s="9" t="str">
        <f>IF(D184&lt;=COUNT(Entry_number),INDEX(Lookup_table,MATCH(Number,Calculations!AK:AK,0),11),"")</f>
        <v/>
      </c>
      <c r="J184" s="114" t="str">
        <f>IF(D184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4" s="175"/>
      <c r="O184" s="176"/>
    </row>
    <row r="185" spans="4:15" x14ac:dyDescent="0.2">
      <c r="D185" s="89">
        <v>184</v>
      </c>
      <c r="E185" s="24" t="str">
        <f>IF(Number&lt;=COUNT(Entry_number),INDEX(Lookup_table,MATCH(Number,Calculations!AK:AK,0),3),"")</f>
        <v/>
      </c>
      <c r="F185" s="4" t="str">
        <f>IF(Ranked_number&lt;=COUNT(Entry_number),INDEX(Lookup_table,MATCH(Number,Calculations!AK:AK,0),5),"")</f>
        <v/>
      </c>
      <c r="G185" s="4" t="str">
        <f>IF(Ranked_number&lt;=COUNT(Entry_number),INDEX(Lookup_table,MATCH(Number,Calculations!AK:AK,0),9),"")</f>
        <v/>
      </c>
      <c r="H185" s="4" t="str">
        <f>IF(Ranked_number&lt;=COUNT(Entry_number),INDEX(Lookup_table,MATCH(Number,Calculations!AK:AK,0),10),"")</f>
        <v/>
      </c>
      <c r="I185" s="9" t="str">
        <f>IF(D185&lt;=COUNT(Entry_number),INDEX(Lookup_table,MATCH(Number,Calculations!AK:AK,0),11),"")</f>
        <v/>
      </c>
      <c r="J185" s="114" t="str">
        <f>IF(D185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5" s="175"/>
      <c r="O185" s="176"/>
    </row>
    <row r="186" spans="4:15" x14ac:dyDescent="0.2">
      <c r="D186" s="89">
        <v>185</v>
      </c>
      <c r="E186" s="24" t="str">
        <f>IF(Number&lt;=COUNT(Entry_number),INDEX(Lookup_table,MATCH(Number,Calculations!AK:AK,0),3),"")</f>
        <v/>
      </c>
      <c r="F186" s="4" t="str">
        <f>IF(Ranked_number&lt;=COUNT(Entry_number),INDEX(Lookup_table,MATCH(Number,Calculations!AK:AK,0),5),"")</f>
        <v/>
      </c>
      <c r="G186" s="4" t="str">
        <f>IF(Ranked_number&lt;=COUNT(Entry_number),INDEX(Lookup_table,MATCH(Number,Calculations!AK:AK,0),9),"")</f>
        <v/>
      </c>
      <c r="H186" s="4" t="str">
        <f>IF(Ranked_number&lt;=COUNT(Entry_number),INDEX(Lookup_table,MATCH(Number,Calculations!AK:AK,0),10),"")</f>
        <v/>
      </c>
      <c r="I186" s="9" t="str">
        <f>IF(D186&lt;=COUNT(Entry_number),INDEX(Lookup_table,MATCH(Number,Calculations!AK:AK,0),11),"")</f>
        <v/>
      </c>
      <c r="J186" s="114" t="str">
        <f>IF(D186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6" s="175"/>
      <c r="O186" s="176"/>
    </row>
    <row r="187" spans="4:15" x14ac:dyDescent="0.2">
      <c r="D187" s="89">
        <v>186</v>
      </c>
      <c r="E187" s="24" t="str">
        <f>IF(Number&lt;=COUNT(Entry_number),INDEX(Lookup_table,MATCH(Number,Calculations!AK:AK,0),3),"")</f>
        <v/>
      </c>
      <c r="F187" s="4" t="str">
        <f>IF(Ranked_number&lt;=COUNT(Entry_number),INDEX(Lookup_table,MATCH(Number,Calculations!AK:AK,0),5),"")</f>
        <v/>
      </c>
      <c r="G187" s="4" t="str">
        <f>IF(Ranked_number&lt;=COUNT(Entry_number),INDEX(Lookup_table,MATCH(Number,Calculations!AK:AK,0),9),"")</f>
        <v/>
      </c>
      <c r="H187" s="4" t="str">
        <f>IF(Ranked_number&lt;=COUNT(Entry_number),INDEX(Lookup_table,MATCH(Number,Calculations!AK:AK,0),10),"")</f>
        <v/>
      </c>
      <c r="I187" s="9" t="str">
        <f>IF(D187&lt;=COUNT(Entry_number),INDEX(Lookup_table,MATCH(Number,Calculations!AK:AK,0),11),"")</f>
        <v/>
      </c>
      <c r="J187" s="114" t="str">
        <f>IF(D187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7" s="175"/>
      <c r="O187" s="176"/>
    </row>
    <row r="188" spans="4:15" x14ac:dyDescent="0.2">
      <c r="D188" s="89">
        <v>187</v>
      </c>
      <c r="E188" s="24" t="str">
        <f>IF(Number&lt;=COUNT(Entry_number),INDEX(Lookup_table,MATCH(Number,Calculations!AK:AK,0),3),"")</f>
        <v/>
      </c>
      <c r="F188" s="4" t="str">
        <f>IF(Ranked_number&lt;=COUNT(Entry_number),INDEX(Lookup_table,MATCH(Number,Calculations!AK:AK,0),5),"")</f>
        <v/>
      </c>
      <c r="G188" s="4" t="str">
        <f>IF(Ranked_number&lt;=COUNT(Entry_number),INDEX(Lookup_table,MATCH(Number,Calculations!AK:AK,0),9),"")</f>
        <v/>
      </c>
      <c r="H188" s="4" t="str">
        <f>IF(Ranked_number&lt;=COUNT(Entry_number),INDEX(Lookup_table,MATCH(Number,Calculations!AK:AK,0),10),"")</f>
        <v/>
      </c>
      <c r="I188" s="9" t="str">
        <f>IF(D188&lt;=COUNT(Entry_number),INDEX(Lookup_table,MATCH(Number,Calculations!AK:AK,0),11),"")</f>
        <v/>
      </c>
      <c r="J188" s="114" t="str">
        <f>IF(D188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8" s="175"/>
      <c r="O188" s="176"/>
    </row>
    <row r="189" spans="4:15" x14ac:dyDescent="0.2">
      <c r="D189" s="89">
        <v>188</v>
      </c>
      <c r="E189" s="24" t="str">
        <f>IF(Number&lt;=COUNT(Entry_number),INDEX(Lookup_table,MATCH(Number,Calculations!AK:AK,0),3),"")</f>
        <v/>
      </c>
      <c r="F189" s="4" t="str">
        <f>IF(Ranked_number&lt;=COUNT(Entry_number),INDEX(Lookup_table,MATCH(Number,Calculations!AK:AK,0),5),"")</f>
        <v/>
      </c>
      <c r="G189" s="4" t="str">
        <f>IF(Ranked_number&lt;=COUNT(Entry_number),INDEX(Lookup_table,MATCH(Number,Calculations!AK:AK,0),9),"")</f>
        <v/>
      </c>
      <c r="H189" s="4" t="str">
        <f>IF(Ranked_number&lt;=COUNT(Entry_number),INDEX(Lookup_table,MATCH(Number,Calculations!AK:AK,0),10),"")</f>
        <v/>
      </c>
      <c r="I189" s="9" t="str">
        <f>IF(D189&lt;=COUNT(Entry_number),INDEX(Lookup_table,MATCH(Number,Calculations!AK:AK,0),11),"")</f>
        <v/>
      </c>
      <c r="J189" s="114" t="str">
        <f>IF(D189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89" s="175"/>
      <c r="O189" s="176"/>
    </row>
    <row r="190" spans="4:15" x14ac:dyDescent="0.2">
      <c r="D190" s="89">
        <v>189</v>
      </c>
      <c r="E190" s="24" t="str">
        <f>IF(Number&lt;=COUNT(Entry_number),INDEX(Lookup_table,MATCH(Number,Calculations!AK:AK,0),3),"")</f>
        <v/>
      </c>
      <c r="F190" s="4" t="str">
        <f>IF(Ranked_number&lt;=COUNT(Entry_number),INDEX(Lookup_table,MATCH(Number,Calculations!AK:AK,0),5),"")</f>
        <v/>
      </c>
      <c r="G190" s="4" t="str">
        <f>IF(Ranked_number&lt;=COUNT(Entry_number),INDEX(Lookup_table,MATCH(Number,Calculations!AK:AK,0),9),"")</f>
        <v/>
      </c>
      <c r="H190" s="4" t="str">
        <f>IF(Ranked_number&lt;=COUNT(Entry_number),INDEX(Lookup_table,MATCH(Number,Calculations!AK:AK,0),10),"")</f>
        <v/>
      </c>
      <c r="I190" s="9" t="str">
        <f>IF(D190&lt;=COUNT(Entry_number),INDEX(Lookup_table,MATCH(Number,Calculations!AK:AK,0),11),"")</f>
        <v/>
      </c>
      <c r="J190" s="114" t="str">
        <f>IF(D190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0" s="175"/>
      <c r="O190" s="176"/>
    </row>
    <row r="191" spans="4:15" x14ac:dyDescent="0.2">
      <c r="D191" s="89">
        <v>190</v>
      </c>
      <c r="E191" s="24" t="str">
        <f>IF(Number&lt;=COUNT(Entry_number),INDEX(Lookup_table,MATCH(Number,Calculations!AK:AK,0),3),"")</f>
        <v/>
      </c>
      <c r="F191" s="4" t="str">
        <f>IF(Ranked_number&lt;=COUNT(Entry_number),INDEX(Lookup_table,MATCH(Number,Calculations!AK:AK,0),5),"")</f>
        <v/>
      </c>
      <c r="G191" s="4" t="str">
        <f>IF(Ranked_number&lt;=COUNT(Entry_number),INDEX(Lookup_table,MATCH(Number,Calculations!AK:AK,0),9),"")</f>
        <v/>
      </c>
      <c r="H191" s="4" t="str">
        <f>IF(Ranked_number&lt;=COUNT(Entry_number),INDEX(Lookup_table,MATCH(Number,Calculations!AK:AK,0),10),"")</f>
        <v/>
      </c>
      <c r="I191" s="9" t="str">
        <f>IF(D191&lt;=COUNT(Entry_number),INDEX(Lookup_table,MATCH(Number,Calculations!AK:AK,0),11),"")</f>
        <v/>
      </c>
      <c r="J191" s="114" t="str">
        <f>IF(D191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1" s="175"/>
      <c r="O191" s="176"/>
    </row>
    <row r="192" spans="4:15" x14ac:dyDescent="0.2">
      <c r="D192" s="89">
        <v>191</v>
      </c>
      <c r="E192" s="24" t="str">
        <f>IF(Number&lt;=COUNT(Entry_number),INDEX(Lookup_table,MATCH(Number,Calculations!AK:AK,0),3),"")</f>
        <v/>
      </c>
      <c r="F192" s="4" t="str">
        <f>IF(Ranked_number&lt;=COUNT(Entry_number),INDEX(Lookup_table,MATCH(Number,Calculations!AK:AK,0),5),"")</f>
        <v/>
      </c>
      <c r="G192" s="4" t="str">
        <f>IF(Ranked_number&lt;=COUNT(Entry_number),INDEX(Lookup_table,MATCH(Number,Calculations!AK:AK,0),9),"")</f>
        <v/>
      </c>
      <c r="H192" s="4" t="str">
        <f>IF(Ranked_number&lt;=COUNT(Entry_number),INDEX(Lookup_table,MATCH(Number,Calculations!AK:AK,0),10),"")</f>
        <v/>
      </c>
      <c r="I192" s="9" t="str">
        <f>IF(D192&lt;=COUNT(Entry_number),INDEX(Lookup_table,MATCH(Number,Calculations!AK:AK,0),11),"")</f>
        <v/>
      </c>
      <c r="J192" s="114" t="str">
        <f>IF(D192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2" s="175"/>
      <c r="O192" s="176"/>
    </row>
    <row r="193" spans="4:15" x14ac:dyDescent="0.2">
      <c r="D193" s="89">
        <v>192</v>
      </c>
      <c r="E193" s="24" t="str">
        <f>IF(Number&lt;=COUNT(Entry_number),INDEX(Lookup_table,MATCH(Number,Calculations!AK:AK,0),3),"")</f>
        <v/>
      </c>
      <c r="F193" s="4" t="str">
        <f>IF(Ranked_number&lt;=COUNT(Entry_number),INDEX(Lookup_table,MATCH(Number,Calculations!AK:AK,0),5),"")</f>
        <v/>
      </c>
      <c r="G193" s="4" t="str">
        <f>IF(Ranked_number&lt;=COUNT(Entry_number),INDEX(Lookup_table,MATCH(Number,Calculations!AK:AK,0),9),"")</f>
        <v/>
      </c>
      <c r="H193" s="4" t="str">
        <f>IF(Ranked_number&lt;=COUNT(Entry_number),INDEX(Lookup_table,MATCH(Number,Calculations!AK:AK,0),10),"")</f>
        <v/>
      </c>
      <c r="I193" s="9" t="str">
        <f>IF(D193&lt;=COUNT(Entry_number),INDEX(Lookup_table,MATCH(Number,Calculations!AK:AK,0),11),"")</f>
        <v/>
      </c>
      <c r="J193" s="114" t="str">
        <f>IF(D193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3" s="175"/>
      <c r="O193" s="176"/>
    </row>
    <row r="194" spans="4:15" x14ac:dyDescent="0.2">
      <c r="D194" s="89">
        <v>193</v>
      </c>
      <c r="E194" s="24" t="str">
        <f>IF(Number&lt;=COUNT(Entry_number),INDEX(Lookup_table,MATCH(Number,Calculations!AK:AK,0),3),"")</f>
        <v/>
      </c>
      <c r="F194" s="4" t="str">
        <f>IF(Ranked_number&lt;=COUNT(Entry_number),INDEX(Lookup_table,MATCH(Number,Calculations!AK:AK,0),5),"")</f>
        <v/>
      </c>
      <c r="G194" s="4" t="str">
        <f>IF(Ranked_number&lt;=COUNT(Entry_number),INDEX(Lookup_table,MATCH(Number,Calculations!AK:AK,0),9),"")</f>
        <v/>
      </c>
      <c r="H194" s="4" t="str">
        <f>IF(Ranked_number&lt;=COUNT(Entry_number),INDEX(Lookup_table,MATCH(Number,Calculations!AK:AK,0),10),"")</f>
        <v/>
      </c>
      <c r="I194" s="9" t="str">
        <f>IF(D194&lt;=COUNT(Entry_number),INDEX(Lookup_table,MATCH(Number,Calculations!AK:AK,0),11),"")</f>
        <v/>
      </c>
      <c r="J194" s="114" t="str">
        <f>IF(D194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4" s="175"/>
      <c r="O194" s="176"/>
    </row>
    <row r="195" spans="4:15" x14ac:dyDescent="0.2">
      <c r="D195" s="89">
        <v>194</v>
      </c>
      <c r="E195" s="24" t="str">
        <f>IF(Number&lt;=COUNT(Entry_number),INDEX(Lookup_table,MATCH(Number,Calculations!AK:AK,0),3),"")</f>
        <v/>
      </c>
      <c r="F195" s="4" t="str">
        <f>IF(Ranked_number&lt;=COUNT(Entry_number),INDEX(Lookup_table,MATCH(Number,Calculations!AK:AK,0),5),"")</f>
        <v/>
      </c>
      <c r="G195" s="4" t="str">
        <f>IF(Ranked_number&lt;=COUNT(Entry_number),INDEX(Lookup_table,MATCH(Number,Calculations!AK:AK,0),9),"")</f>
        <v/>
      </c>
      <c r="H195" s="4" t="str">
        <f>IF(Ranked_number&lt;=COUNT(Entry_number),INDEX(Lookup_table,MATCH(Number,Calculations!AK:AK,0),10),"")</f>
        <v/>
      </c>
      <c r="I195" s="9" t="str">
        <f>IF(D195&lt;=COUNT(Entry_number),INDEX(Lookup_table,MATCH(Number,Calculations!AK:AK,0),11),"")</f>
        <v/>
      </c>
      <c r="J195" s="114" t="str">
        <f>IF(D195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5" s="175"/>
      <c r="O195" s="176"/>
    </row>
    <row r="196" spans="4:15" x14ac:dyDescent="0.2">
      <c r="D196" s="89">
        <v>195</v>
      </c>
      <c r="E196" s="24" t="str">
        <f>IF(Number&lt;=COUNT(Entry_number),INDEX(Lookup_table,MATCH(Number,Calculations!AK:AK,0),3),"")</f>
        <v/>
      </c>
      <c r="F196" s="4" t="str">
        <f>IF(Ranked_number&lt;=COUNT(Entry_number),INDEX(Lookup_table,MATCH(Number,Calculations!AK:AK,0),5),"")</f>
        <v/>
      </c>
      <c r="G196" s="4" t="str">
        <f>IF(Ranked_number&lt;=COUNT(Entry_number),INDEX(Lookup_table,MATCH(Number,Calculations!AK:AK,0),9),"")</f>
        <v/>
      </c>
      <c r="H196" s="4" t="str">
        <f>IF(Ranked_number&lt;=COUNT(Entry_number),INDEX(Lookup_table,MATCH(Number,Calculations!AK:AK,0),10),"")</f>
        <v/>
      </c>
      <c r="I196" s="9" t="str">
        <f>IF(D196&lt;=COUNT(Entry_number),INDEX(Lookup_table,MATCH(Number,Calculations!AK:AK,0),11),"")</f>
        <v/>
      </c>
      <c r="J196" s="114" t="str">
        <f>IF(D196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6" s="175"/>
      <c r="O196" s="176"/>
    </row>
    <row r="197" spans="4:15" x14ac:dyDescent="0.2">
      <c r="D197" s="89">
        <v>196</v>
      </c>
      <c r="E197" s="24" t="str">
        <f>IF(Number&lt;=COUNT(Entry_number),INDEX(Lookup_table,MATCH(Number,Calculations!AK:AK,0),3),"")</f>
        <v/>
      </c>
      <c r="F197" s="4" t="str">
        <f>IF(Ranked_number&lt;=COUNT(Entry_number),INDEX(Lookup_table,MATCH(Number,Calculations!AK:AK,0),5),"")</f>
        <v/>
      </c>
      <c r="G197" s="4" t="str">
        <f>IF(Ranked_number&lt;=COUNT(Entry_number),INDEX(Lookup_table,MATCH(Number,Calculations!AK:AK,0),9),"")</f>
        <v/>
      </c>
      <c r="H197" s="4" t="str">
        <f>IF(Ranked_number&lt;=COUNT(Entry_number),INDEX(Lookup_table,MATCH(Number,Calculations!AK:AK,0),10),"")</f>
        <v/>
      </c>
      <c r="I197" s="9" t="str">
        <f>IF(D197&lt;=COUNT(Entry_number),INDEX(Lookup_table,MATCH(Number,Calculations!AK:AK,0),11),"")</f>
        <v/>
      </c>
      <c r="J197" s="114" t="str">
        <f>IF(D197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7" s="175"/>
      <c r="O197" s="176"/>
    </row>
    <row r="198" spans="4:15" x14ac:dyDescent="0.2">
      <c r="D198" s="89">
        <v>197</v>
      </c>
      <c r="E198" s="24" t="str">
        <f>IF(Number&lt;=COUNT(Entry_number),INDEX(Lookup_table,MATCH(Number,Calculations!AK:AK,0),3),"")</f>
        <v/>
      </c>
      <c r="F198" s="4" t="str">
        <f>IF(Ranked_number&lt;=COUNT(Entry_number),INDEX(Lookup_table,MATCH(Number,Calculations!AK:AK,0),5),"")</f>
        <v/>
      </c>
      <c r="G198" s="4" t="str">
        <f>IF(Ranked_number&lt;=COUNT(Entry_number),INDEX(Lookup_table,MATCH(Number,Calculations!AK:AK,0),9),"")</f>
        <v/>
      </c>
      <c r="H198" s="4" t="str">
        <f>IF(Ranked_number&lt;=COUNT(Entry_number),INDEX(Lookup_table,MATCH(Number,Calculations!AK:AK,0),10),"")</f>
        <v/>
      </c>
      <c r="I198" s="9" t="str">
        <f>IF(D198&lt;=COUNT(Entry_number),INDEX(Lookup_table,MATCH(Number,Calculations!AK:AK,0),11),"")</f>
        <v/>
      </c>
      <c r="J198" s="114" t="str">
        <f>IF(D198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8" s="175"/>
      <c r="O198" s="176"/>
    </row>
    <row r="199" spans="4:15" x14ac:dyDescent="0.2">
      <c r="D199" s="89">
        <v>198</v>
      </c>
      <c r="E199" s="24" t="str">
        <f>IF(Number&lt;=COUNT(Entry_number),INDEX(Lookup_table,MATCH(Number,Calculations!AK:AK,0),3),"")</f>
        <v/>
      </c>
      <c r="F199" s="4" t="str">
        <f>IF(Ranked_number&lt;=COUNT(Entry_number),INDEX(Lookup_table,MATCH(Number,Calculations!AK:AK,0),5),"")</f>
        <v/>
      </c>
      <c r="G199" s="4" t="str">
        <f>IF(Ranked_number&lt;=COUNT(Entry_number),INDEX(Lookup_table,MATCH(Number,Calculations!AK:AK,0),9),"")</f>
        <v/>
      </c>
      <c r="H199" s="4" t="str">
        <f>IF(Ranked_number&lt;=COUNT(Entry_number),INDEX(Lookup_table,MATCH(Number,Calculations!AK:AK,0),10),"")</f>
        <v/>
      </c>
      <c r="I199" s="9" t="str">
        <f>IF(D199&lt;=COUNT(Entry_number),INDEX(Lookup_table,MATCH(Number,Calculations!AK:AK,0),11),"")</f>
        <v/>
      </c>
      <c r="J199" s="114" t="str">
        <f>IF(D199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199" s="175"/>
      <c r="O199" s="176"/>
    </row>
    <row r="200" spans="4:15" x14ac:dyDescent="0.2">
      <c r="D200" s="89">
        <v>199</v>
      </c>
      <c r="E200" s="24" t="str">
        <f>IF(Number&lt;=COUNT(Entry_number),INDEX(Lookup_table,MATCH(Number,Calculations!AK:AK,0),3),"")</f>
        <v/>
      </c>
      <c r="F200" s="4" t="str">
        <f>IF(Ranked_number&lt;=COUNT(Entry_number),INDEX(Lookup_table,MATCH(Number,Calculations!AK:AK,0),5),"")</f>
        <v/>
      </c>
      <c r="G200" s="4" t="str">
        <f>IF(Ranked_number&lt;=COUNT(Entry_number),INDEX(Lookup_table,MATCH(Number,Calculations!AK:AK,0),9),"")</f>
        <v/>
      </c>
      <c r="H200" s="4" t="str">
        <f>IF(Ranked_number&lt;=COUNT(Entry_number),INDEX(Lookup_table,MATCH(Number,Calculations!AK:AK,0),10),"")</f>
        <v/>
      </c>
      <c r="I200" s="9" t="str">
        <f>IF(D200&lt;=COUNT(Entry_number),INDEX(Lookup_table,MATCH(Number,Calculations!AK:AK,0),11),"")</f>
        <v/>
      </c>
      <c r="J200" s="114" t="str">
        <f>IF(D200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00" s="175"/>
      <c r="O200" s="176"/>
    </row>
    <row r="201" spans="4:15" x14ac:dyDescent="0.2">
      <c r="D201" s="79">
        <v>200</v>
      </c>
      <c r="E201" s="115" t="str">
        <f>IF(Number&lt;=COUNT(Entry_number),INDEX(Lookup_table,MATCH(Number,Calculations!AK:AK,0),3),"")</f>
        <v/>
      </c>
      <c r="F201" s="116" t="str">
        <f>IF(Ranked_number&lt;=COUNT(Entry_number),INDEX(Lookup_table,MATCH(Number,Calculations!AK:AK,0),5),"")</f>
        <v/>
      </c>
      <c r="G201" s="116" t="str">
        <f>IF(Ranked_number&lt;=COUNT(Entry_number),INDEX(Lookup_table,MATCH(Number,Calculations!AK:AK,0),9),"")</f>
        <v/>
      </c>
      <c r="H201" s="116" t="str">
        <f>IF(Ranked_number&lt;=COUNT(Entry_number),INDEX(Lookup_table,MATCH(Number,Calculations!AK:AK,0),10),"")</f>
        <v/>
      </c>
      <c r="I201" s="117" t="str">
        <f>IF(D201&lt;=COUNT(Entry_number),INDEX(Lookup_table,MATCH(Number,Calculations!AK:AK,0),11),"")</f>
        <v/>
      </c>
      <c r="J201" s="118" t="str">
        <f>IF(D201&lt;=COUNT(Entry_number),IF(J$1=K$4,INDEX(Lookup_table,MATCH(Number,Calculations!AK:AK,0),4),IF(J$1=K$8,INDEX(Lookup_table,MATCH(Number,Calculations!AK:AK,0),8),IF(J$1=K$6,INDEX(Lookup_table,MATCH(Number,Calculations!AK:AK,0),6)/SUM(Weightf_lookup),IF(J$1=K$7,INDEX(Lookup_table,MATCH(Number,Calculations!AK:AK,0),7)/SUM(Weightr_lookup),"")))),"")</f>
        <v/>
      </c>
      <c r="M201" s="175"/>
      <c r="O201" s="177"/>
    </row>
  </sheetData>
  <mergeCells count="19">
    <mergeCell ref="A49:B49"/>
    <mergeCell ref="A1:B1"/>
    <mergeCell ref="A11:B11"/>
    <mergeCell ref="M2:M201"/>
    <mergeCell ref="O2:O201"/>
    <mergeCell ref="A5:B5"/>
    <mergeCell ref="A41:B41"/>
    <mergeCell ref="A36:B36"/>
    <mergeCell ref="A46:B46"/>
    <mergeCell ref="A15:B15"/>
    <mergeCell ref="A29:B29"/>
    <mergeCell ref="A37:B37"/>
    <mergeCell ref="A38:B38"/>
    <mergeCell ref="A39:B39"/>
    <mergeCell ref="A42:B42"/>
    <mergeCell ref="A43:B43"/>
    <mergeCell ref="A44:B44"/>
    <mergeCell ref="A47:B47"/>
    <mergeCell ref="A48:B48"/>
  </mergeCells>
  <conditionalFormatting sqref="J2:J201">
    <cfRule type="expression" dxfId="4" priority="2">
      <formula>Sort_by="Weight (fixed)"</formula>
    </cfRule>
    <cfRule type="expression" dxfId="3" priority="3">
      <formula>Sort_by="Total number of subjects"</formula>
    </cfRule>
  </conditionalFormatting>
  <dataValidations count="6">
    <dataValidation type="list" allowBlank="1" showInputMessage="1" showErrorMessage="1" sqref="B13" xr:uid="{00000000-0002-0000-0100-000000000000}">
      <formula1>"Ascending,Descending"</formula1>
    </dataValidation>
    <dataValidation type="list" allowBlank="1" showInputMessage="1" showErrorMessage="1" sqref="B2" xr:uid="{00000000-0002-0000-0100-000001000000}">
      <formula1>"Fixed effect model,Random effects model"</formula1>
    </dataValidation>
    <dataValidation type="list" allowBlank="1" showInputMessage="1" showErrorMessage="1" sqref="B12" xr:uid="{00000000-0002-0000-0100-000002000000}">
      <formula1>$K$2:$K$8</formula1>
    </dataValidation>
    <dataValidation type="list" allowBlank="1" showInputMessage="1" showErrorMessage="1" prompt="If you changed your selection for the weighting method or model effect size measure, you need to choose the effect size measure for the presentation again from the drop-down menu." sqref="B8" xr:uid="{00000000-0002-0000-0100-000003000000}">
      <formula1>$A$47:$A$49</formula1>
    </dataValidation>
    <dataValidation type="list" allowBlank="1" showInputMessage="1" showErrorMessage="1" prompt="You need to choose the weighting method for the meta-analysis first, then select the effect size measure of the model and finally select the effect size measure you want the analysis to be presented in." sqref="B6" xr:uid="{00000000-0002-0000-0100-000004000000}">
      <formula1>$A$37:$A$39</formula1>
    </dataValidation>
    <dataValidation type="list" allowBlank="1" showInputMessage="1" showErrorMessage="1" prompt="If you changed your selection for the weighting method, you need to choose the effect size measure for the model again from the drop-down menu. Different options apply to different weighting methods." sqref="B7" xr:uid="{00000000-0002-0000-0100-000005000000}">
      <formula1>$A$42:$A$44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EB1D7F5-19FE-41FF-85F0-4A5F0C1A481B}">
            <xm:f>Sort_by=Calculations!$AQ$1</xm:f>
            <x14:dxf>
              <numFmt numFmtId="14" formatCode="0.00%"/>
            </x14:dxf>
          </x14:cfRule>
          <xm:sqref>J2:J201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1"/>
  <sheetViews>
    <sheetView showGridLines="0" workbookViewId="0">
      <pane ySplit="1" topLeftCell="A2" activePane="bottomLeft" state="frozen"/>
      <selection pane="bottomLeft" activeCell="B17" sqref="B17:D17"/>
    </sheetView>
  </sheetViews>
  <sheetFormatPr defaultColWidth="9.33203125" defaultRowHeight="12" outlineLevelCol="1" x14ac:dyDescent="0.2"/>
  <cols>
    <col min="1" max="1" width="28.33203125" style="6" bestFit="1" customWidth="1"/>
    <col min="2" max="2" width="18.33203125" style="6" bestFit="1" customWidth="1"/>
    <col min="3" max="4" width="12.5" style="45" customWidth="1"/>
    <col min="5" max="5" width="3.33203125" style="6" customWidth="1"/>
    <col min="6" max="6" width="4.1640625" style="25" customWidth="1" outlineLevel="1"/>
    <col min="7" max="7" width="26.33203125" style="6" bestFit="1" customWidth="1" outlineLevel="1"/>
    <col min="8" max="8" width="10.1640625" style="6" bestFit="1" customWidth="1" outlineLevel="1"/>
    <col min="9" max="10" width="12.5" style="6" bestFit="1" customWidth="1" outlineLevel="1"/>
    <col min="11" max="11" width="7.1640625" style="6" bestFit="1" customWidth="1" outlineLevel="1"/>
    <col min="12" max="13" width="5.6640625" style="6" bestFit="1" customWidth="1" outlineLevel="1"/>
    <col min="14" max="14" width="7.1640625" style="6" bestFit="1" customWidth="1" outlineLevel="1"/>
    <col min="15" max="16" width="4.6640625" style="6" bestFit="1" customWidth="1" outlineLevel="1"/>
    <col min="17" max="18" width="8.83203125" style="6" customWidth="1" outlineLevel="1"/>
    <col min="19" max="19" width="5.5" style="6" bestFit="1" customWidth="1"/>
    <col min="20" max="20" width="100.83203125" style="6" customWidth="1" outlineLevel="1"/>
    <col min="21" max="21" width="5.5" style="6" bestFit="1" customWidth="1"/>
    <col min="22" max="22" width="100.83203125" style="6" customWidth="1" outlineLevel="1"/>
    <col min="23" max="23" width="5.5" style="6" bestFit="1" customWidth="1"/>
    <col min="24" max="24" width="100.83203125" style="6" hidden="1" customWidth="1" outlineLevel="1"/>
    <col min="25" max="25" width="5.5" style="6" bestFit="1" customWidth="1" collapsed="1"/>
    <col min="26" max="26" width="101" style="6" hidden="1" customWidth="1" outlineLevel="1"/>
    <col min="27" max="27" width="5.5" style="6" bestFit="1" customWidth="1" collapsed="1"/>
    <col min="28" max="16384" width="9.33203125" style="6"/>
  </cols>
  <sheetData>
    <row r="1" spans="1:27" ht="32.25" customHeight="1" x14ac:dyDescent="0.2">
      <c r="A1" s="178" t="s">
        <v>201</v>
      </c>
      <c r="B1" s="178"/>
      <c r="C1" s="178"/>
      <c r="D1" s="178"/>
      <c r="F1" s="23" t="s">
        <v>0</v>
      </c>
      <c r="G1" s="1" t="s">
        <v>118</v>
      </c>
      <c r="H1" s="1" t="str">
        <f>Subgroup_effect_size_measure</f>
        <v>Odds Ratio</v>
      </c>
      <c r="I1" s="1" t="s">
        <v>18</v>
      </c>
      <c r="J1" s="1" t="s">
        <v>19</v>
      </c>
      <c r="K1" s="1" t="s">
        <v>4</v>
      </c>
      <c r="L1" s="1" t="s">
        <v>6</v>
      </c>
      <c r="M1" s="1" t="s">
        <v>111</v>
      </c>
      <c r="N1" s="1" t="s">
        <v>112</v>
      </c>
      <c r="O1" s="1" t="s">
        <v>114</v>
      </c>
      <c r="P1" s="1" t="s">
        <v>7</v>
      </c>
      <c r="Q1" s="1" t="s">
        <v>20</v>
      </c>
      <c r="R1" s="1" t="s">
        <v>21</v>
      </c>
      <c r="S1" s="151"/>
      <c r="U1" s="150"/>
      <c r="W1" s="150"/>
      <c r="Y1" s="150"/>
      <c r="AA1" s="150"/>
    </row>
    <row r="2" spans="1:27" x14ac:dyDescent="0.2">
      <c r="A2" s="158" t="s">
        <v>294</v>
      </c>
      <c r="B2" s="184" t="s">
        <v>295</v>
      </c>
      <c r="C2" s="184"/>
      <c r="D2" s="184"/>
      <c r="F2" s="88">
        <v>1</v>
      </c>
      <c r="G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aaaa</v>
      </c>
      <c r="H2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2.875</v>
      </c>
      <c r="I2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0.82386331214851116</v>
      </c>
      <c r="J2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10.032762568883543</v>
      </c>
      <c r="K2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8.2492569365469989E-2</v>
      </c>
      <c r="L2" s="4" t="str">
        <f>IF(COUNTIF(Calculations!DP:DP,Subgroup_number)=1,INDEX(Calculations!DP:EU,MATCH(Subgroup_number,Calculations!DP:DP,0),5),IF(Subgroup_number=Calculations!EY$25,Calculations!EY$17,""))</f>
        <v/>
      </c>
      <c r="M2" s="38" t="str">
        <f>IF(COUNTIF(Calculations!DP:DP,Subgroup_number)=1,INDEX(Calculations!DP:EU,MATCH(Subgroup_number,Calculations!DP:DP,0),6),IF(Subgroup_number=Calculations!EY$25,Calculations!EY$18,""))</f>
        <v/>
      </c>
      <c r="N2" s="30" t="str">
        <f>IF(COUNTIF(Calculations!DP:DP,Subgroup_number)=1,INDEX(Calculations!DP:EU,MATCH(Subgroup_number,Calculations!DP:DP,0),7),IF(Subgroup_number=Calculations!EY$25,Calculations!EY$19,""))</f>
        <v/>
      </c>
      <c r="O2" s="4" t="str">
        <f>IF(COUNTIF(Calculations!DP:DP,Subgroup_number)=1,INDEX(Calculations!DP:EU,MATCH(Subgroup_number,Calculations!DP:DP,0),9),IF(Subgroup_number=Calculations!EY$25,Calculations!EY$20,""))</f>
        <v/>
      </c>
      <c r="P2" s="4" t="str">
        <f>IF(COUNTIF(Calculations!DP:DP,Subgroup_number)=1,INDEX(Calculations!DP:EU,MATCH(Subgroup_number,Calculations!DP:DP,0),10),IF(Subgroup_number=Calculations!EY$25,Calculations!EY$21,""))</f>
        <v/>
      </c>
      <c r="Q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" s="111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" s="182" t="s">
        <v>243</v>
      </c>
      <c r="U2" s="176" t="s">
        <v>244</v>
      </c>
      <c r="W2" s="176" t="s">
        <v>321</v>
      </c>
      <c r="Y2" s="176" t="s">
        <v>245</v>
      </c>
      <c r="AA2" s="176" t="s">
        <v>322</v>
      </c>
    </row>
    <row r="3" spans="1:27" x14ac:dyDescent="0.2">
      <c r="A3" s="61" t="s">
        <v>204</v>
      </c>
      <c r="B3" s="185" t="s">
        <v>13</v>
      </c>
      <c r="C3" s="185"/>
      <c r="D3" s="185"/>
      <c r="F3" s="89">
        <v>2</v>
      </c>
      <c r="G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bbbb</v>
      </c>
      <c r="H3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1.962962962962963</v>
      </c>
      <c r="I3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0.85911141994008999</v>
      </c>
      <c r="J3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4.4851267303989966</v>
      </c>
      <c r="K3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0.16887588401038506</v>
      </c>
      <c r="L3" s="4" t="str">
        <f>IF(COUNTIF(Calculations!DP:DP,Subgroup_number)=1,INDEX(Calculations!DP:EU,MATCH(Subgroup_number,Calculations!DP:DP,0),5),IF(Subgroup_number=Calculations!EY$25,Calculations!EY$17,""))</f>
        <v/>
      </c>
      <c r="M3" s="38" t="str">
        <f>IF(COUNTIF(Calculations!DP:DP,Subgroup_number)=1,INDEX(Calculations!DP:EU,MATCH(Subgroup_number,Calculations!DP:DP,0),6),IF(Subgroup_number=Calculations!EY$25,Calculations!EY$18,""))</f>
        <v/>
      </c>
      <c r="N3" s="30" t="str">
        <f>IF(COUNTIF(Calculations!DP:DP,Subgroup_number)=1,INDEX(Calculations!DP:EU,MATCH(Subgroup_number,Calculations!DP:DP,0),7),IF(Subgroup_number=Calculations!EY$25,Calculations!EY$19,""))</f>
        <v/>
      </c>
      <c r="O3" s="4" t="str">
        <f>IF(COUNTIF(Calculations!DP:DP,Subgroup_number)=1,INDEX(Calculations!DP:EU,MATCH(Subgroup_number,Calculations!DP:DP,0),9),IF(Subgroup_number=Calculations!EY$25,Calculations!EY$20,""))</f>
        <v/>
      </c>
      <c r="P3" s="4" t="str">
        <f>IF(COUNTIF(Calculations!DP:DP,Subgroup_number)=1,INDEX(Calculations!DP:EU,MATCH(Subgroup_number,Calculations!DP:DP,0),10),IF(Subgroup_number=Calculations!EY$25,Calculations!EY$21,""))</f>
        <v/>
      </c>
      <c r="Q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" s="182"/>
      <c r="U3" s="176"/>
      <c r="W3" s="176"/>
      <c r="Y3" s="176"/>
      <c r="AA3" s="176"/>
    </row>
    <row r="4" spans="1:27" ht="11.25" customHeight="1" x14ac:dyDescent="0.2">
      <c r="A4" s="158" t="s">
        <v>300</v>
      </c>
      <c r="B4" s="186" t="str">
        <f>IF(OR(AND(Subgroup_weighting_method="Inverse Variance",OR(Subgroup_effect_size_measure="Odds Ratio",Subgroup_effect_size_measure="Risk Ratio",Subgroup_effect_size_measure="Risk Difference")),AND(Subgroup_weighting_method="Mantel-Haenszel",Subgroup_effect_size_measure="Odds Ratio"),AND(Subgroup_weighting_method="Peto",Subgroup_effect_size_measure="Peto Odds Ratio")),"Yes","No")</f>
        <v>Yes</v>
      </c>
      <c r="C4" s="186"/>
      <c r="D4" s="186"/>
      <c r="F4" s="89">
        <v>3</v>
      </c>
      <c r="G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cccc</v>
      </c>
      <c r="H4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0.73333333333333328</v>
      </c>
      <c r="I4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0.29604782396083729</v>
      </c>
      <c r="J4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1.8165233258019748</v>
      </c>
      <c r="K4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0.14600662252158145</v>
      </c>
      <c r="L4" s="4" t="str">
        <f>IF(COUNTIF(Calculations!DP:DP,Subgroup_number)=1,INDEX(Calculations!DP:EU,MATCH(Subgroup_number,Calculations!DP:DP,0),5),IF(Subgroup_number=Calculations!EY$25,Calculations!EY$17,""))</f>
        <v/>
      </c>
      <c r="M4" s="38" t="str">
        <f>IF(COUNTIF(Calculations!DP:DP,Subgroup_number)=1,INDEX(Calculations!DP:EU,MATCH(Subgroup_number,Calculations!DP:DP,0),6),IF(Subgroup_number=Calculations!EY$25,Calculations!EY$18,""))</f>
        <v/>
      </c>
      <c r="N4" s="30" t="str">
        <f>IF(COUNTIF(Calculations!DP:DP,Subgroup_number)=1,INDEX(Calculations!DP:EU,MATCH(Subgroup_number,Calculations!DP:DP,0),7),IF(Subgroup_number=Calculations!EY$25,Calculations!EY$19,""))</f>
        <v/>
      </c>
      <c r="O4" s="4" t="str">
        <f>IF(COUNTIF(Calculations!DP:DP,Subgroup_number)=1,INDEX(Calculations!DP:EU,MATCH(Subgroup_number,Calculations!DP:DP,0),9),IF(Subgroup_number=Calculations!EY$25,Calculations!EY$20,""))</f>
        <v/>
      </c>
      <c r="P4" s="4" t="str">
        <f>IF(COUNTIF(Calculations!DP:DP,Subgroup_number)=1,INDEX(Calculations!DP:EU,MATCH(Subgroup_number,Calculations!DP:DP,0),10),IF(Subgroup_number=Calculations!EY$25,Calculations!EY$21,""))</f>
        <v/>
      </c>
      <c r="Q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" s="182"/>
      <c r="U4" s="176"/>
      <c r="W4" s="176"/>
      <c r="Y4" s="176"/>
      <c r="AA4" s="176"/>
    </row>
    <row r="5" spans="1:27" x14ac:dyDescent="0.2">
      <c r="F5" s="89">
        <v>4</v>
      </c>
      <c r="G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dddd</v>
      </c>
      <c r="H5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1.625</v>
      </c>
      <c r="I5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0.8738833454784235</v>
      </c>
      <c r="J5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3.0217133827563005</v>
      </c>
      <c r="K5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0.26124527185523194</v>
      </c>
      <c r="L5" s="4" t="str">
        <f>IF(COUNTIF(Calculations!DP:DP,Subgroup_number)=1,INDEX(Calculations!DP:EU,MATCH(Subgroup_number,Calculations!DP:DP,0),5),IF(Subgroup_number=Calculations!EY$25,Calculations!EY$17,""))</f>
        <v/>
      </c>
      <c r="M5" s="38" t="str">
        <f>IF(COUNTIF(Calculations!DP:DP,Subgroup_number)=1,INDEX(Calculations!DP:EU,MATCH(Subgroup_number,Calculations!DP:DP,0),6),IF(Subgroup_number=Calculations!EY$25,Calculations!EY$18,""))</f>
        <v/>
      </c>
      <c r="N5" s="30" t="str">
        <f>IF(COUNTIF(Calculations!DP:DP,Subgroup_number)=1,INDEX(Calculations!DP:EU,MATCH(Subgroup_number,Calculations!DP:DP,0),7),IF(Subgroup_number=Calculations!EY$25,Calculations!EY$19,""))</f>
        <v/>
      </c>
      <c r="O5" s="4" t="str">
        <f>IF(COUNTIF(Calculations!DP:DP,Subgroup_number)=1,INDEX(Calculations!DP:EU,MATCH(Subgroup_number,Calculations!DP:DP,0),9),IF(Subgroup_number=Calculations!EY$25,Calculations!EY$20,""))</f>
        <v/>
      </c>
      <c r="P5" s="4" t="str">
        <f>IF(COUNTIF(Calculations!DP:DP,Subgroup_number)=1,INDEX(Calculations!DP:EU,MATCH(Subgroup_number,Calculations!DP:DP,0),10),IF(Subgroup_number=Calculations!EY$25,Calculations!EY$21,""))</f>
        <v/>
      </c>
      <c r="Q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" s="182"/>
      <c r="U5" s="176"/>
      <c r="W5" s="176"/>
      <c r="Y5" s="176"/>
      <c r="AA5" s="176"/>
    </row>
    <row r="6" spans="1:27" x14ac:dyDescent="0.2">
      <c r="A6" s="61" t="s">
        <v>210</v>
      </c>
      <c r="B6" s="185" t="s">
        <v>283</v>
      </c>
      <c r="C6" s="185"/>
      <c r="D6" s="185"/>
      <c r="F6" s="89">
        <v>5</v>
      </c>
      <c r="G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gggg</v>
      </c>
      <c r="H6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0.88235294117647056</v>
      </c>
      <c r="I6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0.327379359285282</v>
      </c>
      <c r="J6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2.3781178951002033</v>
      </c>
      <c r="K6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0.12423084454817189</v>
      </c>
      <c r="L6" s="4" t="str">
        <f>IF(COUNTIF(Calculations!DP:DP,Subgroup_number)=1,INDEX(Calculations!DP:EU,MATCH(Subgroup_number,Calculations!DP:DP,0),5),IF(Subgroup_number=Calculations!EY$25,Calculations!EY$17,""))</f>
        <v/>
      </c>
      <c r="M6" s="38" t="str">
        <f>IF(COUNTIF(Calculations!DP:DP,Subgroup_number)=1,INDEX(Calculations!DP:EU,MATCH(Subgroup_number,Calculations!DP:DP,0),6),IF(Subgroup_number=Calculations!EY$25,Calculations!EY$18,""))</f>
        <v/>
      </c>
      <c r="N6" s="30" t="str">
        <f>IF(COUNTIF(Calculations!DP:DP,Subgroup_number)=1,INDEX(Calculations!DP:EU,MATCH(Subgroup_number,Calculations!DP:DP,0),7),IF(Subgroup_number=Calculations!EY$25,Calculations!EY$19,""))</f>
        <v/>
      </c>
      <c r="O6" s="4" t="str">
        <f>IF(COUNTIF(Calculations!DP:DP,Subgroup_number)=1,INDEX(Calculations!DP:EU,MATCH(Subgroup_number,Calculations!DP:DP,0),9),IF(Subgroup_number=Calculations!EY$25,Calculations!EY$20,""))</f>
        <v/>
      </c>
      <c r="P6" s="4" t="str">
        <f>IF(COUNTIF(Calculations!DP:DP,Subgroup_number)=1,INDEX(Calculations!DP:EU,MATCH(Subgroup_number,Calculations!DP:DP,0),10),IF(Subgroup_number=Calculations!EY$25,Calculations!EY$21,""))</f>
        <v/>
      </c>
      <c r="Q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" s="182"/>
      <c r="U6" s="176"/>
      <c r="W6" s="176"/>
      <c r="Y6" s="176"/>
      <c r="AA6" s="176"/>
    </row>
    <row r="7" spans="1:27" x14ac:dyDescent="0.2">
      <c r="A7" s="158" t="s">
        <v>219</v>
      </c>
      <c r="B7" s="185" t="s">
        <v>231</v>
      </c>
      <c r="C7" s="185"/>
      <c r="D7" s="185"/>
      <c r="F7" s="89">
        <v>6</v>
      </c>
      <c r="G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hhhh</v>
      </c>
      <c r="H7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2.95</v>
      </c>
      <c r="I7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1.0546363559079805</v>
      </c>
      <c r="J7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8.2516594001803121</v>
      </c>
      <c r="K7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0.11634408900929062</v>
      </c>
      <c r="L7" s="4" t="str">
        <f>IF(COUNTIF(Calculations!DP:DP,Subgroup_number)=1,INDEX(Calculations!DP:EU,MATCH(Subgroup_number,Calculations!DP:DP,0),5),IF(Subgroup_number=Calculations!EY$25,Calculations!EY$17,""))</f>
        <v/>
      </c>
      <c r="M7" s="38" t="str">
        <f>IF(COUNTIF(Calculations!DP:DP,Subgroup_number)=1,INDEX(Calculations!DP:EU,MATCH(Subgroup_number,Calculations!DP:DP,0),6),IF(Subgroup_number=Calculations!EY$25,Calculations!EY$18,""))</f>
        <v/>
      </c>
      <c r="N7" s="30" t="str">
        <f>IF(COUNTIF(Calculations!DP:DP,Subgroup_number)=1,INDEX(Calculations!DP:EU,MATCH(Subgroup_number,Calculations!DP:DP,0),7),IF(Subgroup_number=Calculations!EY$25,Calculations!EY$19,""))</f>
        <v/>
      </c>
      <c r="O7" s="4" t="str">
        <f>IF(COUNTIF(Calculations!DP:DP,Subgroup_number)=1,INDEX(Calculations!DP:EU,MATCH(Subgroup_number,Calculations!DP:DP,0),9),IF(Subgroup_number=Calculations!EY$25,Calculations!EY$20,""))</f>
        <v/>
      </c>
      <c r="P7" s="4" t="str">
        <f>IF(COUNTIF(Calculations!DP:DP,Subgroup_number)=1,INDEX(Calculations!DP:EU,MATCH(Subgroup_number,Calculations!DP:DP,0),10),IF(Subgroup_number=Calculations!EY$25,Calculations!EY$21,""))</f>
        <v/>
      </c>
      <c r="Q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" s="182"/>
      <c r="U7" s="176"/>
      <c r="W7" s="176"/>
      <c r="Y7" s="176"/>
      <c r="AA7" s="176"/>
    </row>
    <row r="8" spans="1:27" x14ac:dyDescent="0.2">
      <c r="A8" s="158" t="s">
        <v>23</v>
      </c>
      <c r="B8" s="187">
        <v>0.95</v>
      </c>
      <c r="C8" s="187"/>
      <c r="D8" s="187"/>
      <c r="F8" s="89">
        <v>7</v>
      </c>
      <c r="G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jjjj</v>
      </c>
      <c r="H8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2.0909090909090908</v>
      </c>
      <c r="I8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0.68872973180473718</v>
      </c>
      <c r="J8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6.3477742059867479</v>
      </c>
      <c r="K8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0.10080471868986911</v>
      </c>
      <c r="L8" s="4" t="str">
        <f>IF(COUNTIF(Calculations!DP:DP,Subgroup_number)=1,INDEX(Calculations!DP:EU,MATCH(Subgroup_number,Calculations!DP:DP,0),5),IF(Subgroup_number=Calculations!EY$25,Calculations!EY$17,""))</f>
        <v/>
      </c>
      <c r="M8" s="38" t="str">
        <f>IF(COUNTIF(Calculations!DP:DP,Subgroup_number)=1,INDEX(Calculations!DP:EU,MATCH(Subgroup_number,Calculations!DP:DP,0),6),IF(Subgroup_number=Calculations!EY$25,Calculations!EY$18,""))</f>
        <v/>
      </c>
      <c r="N8" s="30" t="str">
        <f>IF(COUNTIF(Calculations!DP:DP,Subgroup_number)=1,INDEX(Calculations!DP:EU,MATCH(Subgroup_number,Calculations!DP:DP,0),7),IF(Subgroup_number=Calculations!EY$25,Calculations!EY$19,""))</f>
        <v/>
      </c>
      <c r="O8" s="4" t="str">
        <f>IF(COUNTIF(Calculations!DP:DP,Subgroup_number)=1,INDEX(Calculations!DP:EU,MATCH(Subgroup_number,Calculations!DP:DP,0),9),IF(Subgroup_number=Calculations!EY$25,Calculations!EY$20,""))</f>
        <v/>
      </c>
      <c r="P8" s="4" t="str">
        <f>IF(COUNTIF(Calculations!DP:DP,Subgroup_number)=1,INDEX(Calculations!DP:EU,MATCH(Subgroup_number,Calculations!DP:DP,0),10),IF(Subgroup_number=Calculations!EY$25,Calculations!EY$21,""))</f>
        <v/>
      </c>
      <c r="Q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" s="182"/>
      <c r="U8" s="176"/>
      <c r="W8" s="176"/>
      <c r="Y8" s="176"/>
      <c r="AA8" s="176"/>
    </row>
    <row r="9" spans="1:27" x14ac:dyDescent="0.2">
      <c r="A9" s="45"/>
      <c r="B9" s="45"/>
      <c r="F9" s="89">
        <v>8</v>
      </c>
      <c r="G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AA</v>
      </c>
      <c r="H9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1.5955740966645304</v>
      </c>
      <c r="I9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0.9996614564835099</v>
      </c>
      <c r="J9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2.5467188731096462</v>
      </c>
      <c r="K9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0.65771972193884187</v>
      </c>
      <c r="L9" s="4">
        <f>IF(COUNTIF(Calculations!DP:DP,Subgroup_number)=1,INDEX(Calculations!DP:EU,MATCH(Subgroup_number,Calculations!DP:DP,0),5),IF(Subgroup_number=Calculations!EY$25,Calculations!EY$17,""))</f>
        <v>7.0600987463466458</v>
      </c>
      <c r="M9" s="38">
        <f>IF(COUNTIF(Calculations!DP:DP,Subgroup_number)=1,INDEX(Calculations!DP:EU,MATCH(Subgroup_number,Calculations!DP:DP,0),6),IF(Subgroup_number=Calculations!EY$25,Calculations!EY$18,""))</f>
        <v>0.31532506734507931</v>
      </c>
      <c r="N9" s="30">
        <f>IF(COUNTIF(Calculations!DP:DP,Subgroup_number)=1,INDEX(Calculations!DP:EU,MATCH(Subgroup_number,Calculations!DP:DP,0),7),IF(Subgroup_number=Calculations!EY$25,Calculations!EY$19,""))</f>
        <v>0.15015352963656631</v>
      </c>
      <c r="O9" s="4">
        <f>IF(COUNTIF(Calculations!DP:DP,Subgroup_number)=1,INDEX(Calculations!DP:EU,MATCH(Subgroup_number,Calculations!DP:DP,0),9),IF(Subgroup_number=Calculations!EY$25,Calculations!EY$20,""))</f>
        <v>3.7878968403893515E-2</v>
      </c>
      <c r="P9" s="4">
        <f>IF(COUNTIF(Calculations!DP:DP,Subgroup_number)=1,INDEX(Calculations!DP:EU,MATCH(Subgroup_number,Calculations!DP:DP,0),10),IF(Subgroup_number=Calculations!EY$25,Calculations!EY$21,""))</f>
        <v>0.19462519981722182</v>
      </c>
      <c r="Q9" s="4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>0.81859655906464501</v>
      </c>
      <c r="R9" s="112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>3.1100261413947434</v>
      </c>
      <c r="S9" s="182"/>
      <c r="U9" s="176"/>
      <c r="W9" s="176"/>
      <c r="Y9" s="176"/>
      <c r="AA9" s="176"/>
    </row>
    <row r="10" spans="1:27" x14ac:dyDescent="0.2">
      <c r="A10" s="178" t="s">
        <v>203</v>
      </c>
      <c r="B10" s="178"/>
      <c r="C10" s="178"/>
      <c r="D10" s="178"/>
      <c r="F10" s="89">
        <v>9</v>
      </c>
      <c r="G1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eeee</v>
      </c>
      <c r="H10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1.9636363636363636</v>
      </c>
      <c r="I10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0.79467979378279652</v>
      </c>
      <c r="J10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4.8521024427216464</v>
      </c>
      <c r="K10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0.25565758424503837</v>
      </c>
      <c r="L10" s="4" t="str">
        <f>IF(COUNTIF(Calculations!DP:DP,Subgroup_number)=1,INDEX(Calculations!DP:EU,MATCH(Subgroup_number,Calculations!DP:DP,0),5),IF(Subgroup_number=Calculations!EY$25,Calculations!EY$17,""))</f>
        <v/>
      </c>
      <c r="M10" s="38" t="str">
        <f>IF(COUNTIF(Calculations!DP:DP,Subgroup_number)=1,INDEX(Calculations!DP:EU,MATCH(Subgroup_number,Calculations!DP:DP,0),6),IF(Subgroup_number=Calculations!EY$25,Calculations!EY$18,""))</f>
        <v/>
      </c>
      <c r="N10" s="30" t="str">
        <f>IF(COUNTIF(Calculations!DP:DP,Subgroup_number)=1,INDEX(Calculations!DP:EU,MATCH(Subgroup_number,Calculations!DP:DP,0),7),IF(Subgroup_number=Calculations!EY$25,Calculations!EY$19,""))</f>
        <v/>
      </c>
      <c r="O10" s="4" t="str">
        <f>IF(COUNTIF(Calculations!DP:DP,Subgroup_number)=1,INDEX(Calculations!DP:EU,MATCH(Subgroup_number,Calculations!DP:DP,0),9),IF(Subgroup_number=Calculations!EY$25,Calculations!EY$20,""))</f>
        <v/>
      </c>
      <c r="P10" s="4" t="str">
        <f>IF(COUNTIF(Calculations!DP:DP,Subgroup_number)=1,INDEX(Calculations!DP:EU,MATCH(Subgroup_number,Calculations!DP:DP,0),10),IF(Subgroup_number=Calculations!EY$25,Calculations!EY$21,""))</f>
        <v/>
      </c>
      <c r="Q1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" s="182"/>
      <c r="U10" s="176"/>
      <c r="W10" s="176"/>
      <c r="Y10" s="176"/>
      <c r="AA10" s="176"/>
    </row>
    <row r="11" spans="1:27" x14ac:dyDescent="0.2">
      <c r="A11" s="158" t="str">
        <f>Subgroup_effect_size_measure</f>
        <v>Odds Ratio</v>
      </c>
      <c r="B11" s="188">
        <f>Calculations!EY9</f>
        <v>1.5264499646244674</v>
      </c>
      <c r="C11" s="188"/>
      <c r="D11" s="188"/>
      <c r="F11" s="89">
        <v>10</v>
      </c>
      <c r="G1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ffff</v>
      </c>
      <c r="H11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2.125</v>
      </c>
      <c r="I11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0.83129838314923132</v>
      </c>
      <c r="J11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5.4320146550668484</v>
      </c>
      <c r="K11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0.24235476227572561</v>
      </c>
      <c r="L11" s="4" t="str">
        <f>IF(COUNTIF(Calculations!DP:DP,Subgroup_number)=1,INDEX(Calculations!DP:EU,MATCH(Subgroup_number,Calculations!DP:DP,0),5),IF(Subgroup_number=Calculations!EY$25,Calculations!EY$17,""))</f>
        <v/>
      </c>
      <c r="M11" s="38" t="str">
        <f>IF(COUNTIF(Calculations!DP:DP,Subgroup_number)=1,INDEX(Calculations!DP:EU,MATCH(Subgroup_number,Calculations!DP:DP,0),6),IF(Subgroup_number=Calculations!EY$25,Calculations!EY$18,""))</f>
        <v/>
      </c>
      <c r="N11" s="30" t="str">
        <f>IF(COUNTIF(Calculations!DP:DP,Subgroup_number)=1,INDEX(Calculations!DP:EU,MATCH(Subgroup_number,Calculations!DP:DP,0),7),IF(Subgroup_number=Calculations!EY$25,Calculations!EY$19,""))</f>
        <v/>
      </c>
      <c r="O11" s="4" t="str">
        <f>IF(COUNTIF(Calculations!DP:DP,Subgroup_number)=1,INDEX(Calculations!DP:EU,MATCH(Subgroup_number,Calculations!DP:DP,0),9),IF(Subgroup_number=Calculations!EY$25,Calculations!EY$20,""))</f>
        <v/>
      </c>
      <c r="P11" s="4" t="str">
        <f>IF(COUNTIF(Calculations!DP:DP,Subgroup_number)=1,INDEX(Calculations!DP:EU,MATCH(Subgroup_number,Calculations!DP:DP,0),10),IF(Subgroup_number=Calculations!EY$25,Calculations!EY$21,""))</f>
        <v/>
      </c>
      <c r="Q1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" s="182"/>
      <c r="U11" s="176"/>
      <c r="W11" s="176"/>
      <c r="Y11" s="176"/>
      <c r="AA11" s="176"/>
    </row>
    <row r="12" spans="1:27" x14ac:dyDescent="0.2">
      <c r="A12" s="158" t="s">
        <v>18</v>
      </c>
      <c r="B12" s="189">
        <f>Calculations!EY11</f>
        <v>1.3335147136573267</v>
      </c>
      <c r="C12" s="189"/>
      <c r="D12" s="189"/>
      <c r="F12" s="89">
        <v>11</v>
      </c>
      <c r="G1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iiii</v>
      </c>
      <c r="H12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1.2857142857142858</v>
      </c>
      <c r="I12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0.31190566834891759</v>
      </c>
      <c r="J12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5.2998755464763674</v>
      </c>
      <c r="K12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0.12436157865011298</v>
      </c>
      <c r="L12" s="4" t="str">
        <f>IF(COUNTIF(Calculations!DP:DP,Subgroup_number)=1,INDEX(Calculations!DP:EU,MATCH(Subgroup_number,Calculations!DP:DP,0),5),IF(Subgroup_number=Calculations!EY$25,Calculations!EY$17,""))</f>
        <v/>
      </c>
      <c r="M12" s="38" t="str">
        <f>IF(COUNTIF(Calculations!DP:DP,Subgroup_number)=1,INDEX(Calculations!DP:EU,MATCH(Subgroup_number,Calculations!DP:DP,0),6),IF(Subgroup_number=Calculations!EY$25,Calculations!EY$18,""))</f>
        <v/>
      </c>
      <c r="N12" s="30" t="str">
        <f>IF(COUNTIF(Calculations!DP:DP,Subgroup_number)=1,INDEX(Calculations!DP:EU,MATCH(Subgroup_number,Calculations!DP:DP,0),7),IF(Subgroup_number=Calculations!EY$25,Calculations!EY$19,""))</f>
        <v/>
      </c>
      <c r="O12" s="4" t="str">
        <f>IF(COUNTIF(Calculations!DP:DP,Subgroup_number)=1,INDEX(Calculations!DP:EU,MATCH(Subgroup_number,Calculations!DP:DP,0),9),IF(Subgroup_number=Calculations!EY$25,Calculations!EY$20,""))</f>
        <v/>
      </c>
      <c r="P12" s="4" t="str">
        <f>IF(COUNTIF(Calculations!DP:DP,Subgroup_number)=1,INDEX(Calculations!DP:EU,MATCH(Subgroup_number,Calculations!DP:DP,0),10),IF(Subgroup_number=Calculations!EY$25,Calculations!EY$21,""))</f>
        <v/>
      </c>
      <c r="Q1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" s="182"/>
      <c r="U12" s="176"/>
      <c r="W12" s="176"/>
      <c r="Y12" s="176"/>
      <c r="AA12" s="176"/>
    </row>
    <row r="13" spans="1:27" x14ac:dyDescent="0.2">
      <c r="A13" s="158" t="s">
        <v>19</v>
      </c>
      <c r="B13" s="189">
        <f>Calculations!EY12</f>
        <v>1.7472994265744493</v>
      </c>
      <c r="C13" s="189"/>
      <c r="D13" s="189"/>
      <c r="F13" s="89">
        <v>12</v>
      </c>
      <c r="G1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kkkk</v>
      </c>
      <c r="H13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0.53222453222453225</v>
      </c>
      <c r="I13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0.19315854551675729</v>
      </c>
      <c r="J13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1.466479010513402</v>
      </c>
      <c r="K13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0.21557089987927947</v>
      </c>
      <c r="L13" s="4" t="str">
        <f>IF(COUNTIF(Calculations!DP:DP,Subgroup_number)=1,INDEX(Calculations!DP:EU,MATCH(Subgroup_number,Calculations!DP:DP,0),5),IF(Subgroup_number=Calculations!EY$25,Calculations!EY$17,""))</f>
        <v/>
      </c>
      <c r="M13" s="38" t="str">
        <f>IF(COUNTIF(Calculations!DP:DP,Subgroup_number)=1,INDEX(Calculations!DP:EU,MATCH(Subgroup_number,Calculations!DP:DP,0),6),IF(Subgroup_number=Calculations!EY$25,Calculations!EY$18,""))</f>
        <v/>
      </c>
      <c r="N13" s="30" t="str">
        <f>IF(COUNTIF(Calculations!DP:DP,Subgroup_number)=1,INDEX(Calculations!DP:EU,MATCH(Subgroup_number,Calculations!DP:DP,0),7),IF(Subgroup_number=Calculations!EY$25,Calculations!EY$19,""))</f>
        <v/>
      </c>
      <c r="O13" s="4" t="str">
        <f>IF(COUNTIF(Calculations!DP:DP,Subgroup_number)=1,INDEX(Calculations!DP:EU,MATCH(Subgroup_number,Calculations!DP:DP,0),9),IF(Subgroup_number=Calculations!EY$25,Calculations!EY$20,""))</f>
        <v/>
      </c>
      <c r="P13" s="4" t="str">
        <f>IF(COUNTIF(Calculations!DP:DP,Subgroup_number)=1,INDEX(Calculations!DP:EU,MATCH(Subgroup_number,Calculations!DP:DP,0),10),IF(Subgroup_number=Calculations!EY$25,Calculations!EY$21,""))</f>
        <v/>
      </c>
      <c r="Q1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" s="182"/>
      <c r="U13" s="176"/>
      <c r="W13" s="176"/>
      <c r="Y13" s="176"/>
      <c r="AA13" s="176"/>
    </row>
    <row r="14" spans="1:27" x14ac:dyDescent="0.2">
      <c r="A14" s="158" t="s">
        <v>20</v>
      </c>
      <c r="B14" s="189">
        <f>Calculations!EY13</f>
        <v>1.3335147136573267</v>
      </c>
      <c r="C14" s="189"/>
      <c r="D14" s="189"/>
      <c r="F14" s="89">
        <v>13</v>
      </c>
      <c r="G1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llll</v>
      </c>
      <c r="H14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1.7142857142857142</v>
      </c>
      <c r="I14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0.51189427220204375</v>
      </c>
      <c r="J14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5.7409814287668999</v>
      </c>
      <c r="K14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0.16205517494984353</v>
      </c>
      <c r="L14" s="4" t="str">
        <f>IF(COUNTIF(Calculations!DP:DP,Subgroup_number)=1,INDEX(Calculations!DP:EU,MATCH(Subgroup_number,Calculations!DP:DP,0),5),IF(Subgroup_number=Calculations!EY$25,Calculations!EY$17,""))</f>
        <v/>
      </c>
      <c r="M14" s="38" t="str">
        <f>IF(COUNTIF(Calculations!DP:DP,Subgroup_number)=1,INDEX(Calculations!DP:EU,MATCH(Subgroup_number,Calculations!DP:DP,0),6),IF(Subgroup_number=Calculations!EY$25,Calculations!EY$18,""))</f>
        <v/>
      </c>
      <c r="N14" s="30" t="str">
        <f>IF(COUNTIF(Calculations!DP:DP,Subgroup_number)=1,INDEX(Calculations!DP:EU,MATCH(Subgroup_number,Calculations!DP:DP,0),7),IF(Subgroup_number=Calculations!EY$25,Calculations!EY$19,""))</f>
        <v/>
      </c>
      <c r="O14" s="4" t="str">
        <f>IF(COUNTIF(Calculations!DP:DP,Subgroup_number)=1,INDEX(Calculations!DP:EU,MATCH(Subgroup_number,Calculations!DP:DP,0),9),IF(Subgroup_number=Calculations!EY$25,Calculations!EY$20,""))</f>
        <v/>
      </c>
      <c r="P14" s="4" t="str">
        <f>IF(COUNTIF(Calculations!DP:DP,Subgroup_number)=1,INDEX(Calculations!DP:EU,MATCH(Subgroup_number,Calculations!DP:DP,0),10),IF(Subgroup_number=Calculations!EY$25,Calculations!EY$21,""))</f>
        <v/>
      </c>
      <c r="Q1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" s="182"/>
      <c r="U14" s="176"/>
      <c r="W14" s="176"/>
      <c r="Y14" s="176"/>
      <c r="AA14" s="176"/>
    </row>
    <row r="15" spans="1:27" x14ac:dyDescent="0.2">
      <c r="A15" s="158" t="s">
        <v>21</v>
      </c>
      <c r="B15" s="189">
        <f>Calculations!EY14</f>
        <v>1.7472994265744493</v>
      </c>
      <c r="C15" s="189"/>
      <c r="D15" s="189"/>
      <c r="F15" s="89">
        <v>14</v>
      </c>
      <c r="G1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BB</v>
      </c>
      <c r="H15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1.4019162927427145</v>
      </c>
      <c r="I15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0.67192886335676039</v>
      </c>
      <c r="J15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2.9249663156886361</v>
      </c>
      <c r="K15" s="30">
        <f>IF(Subgroup_number&lt;=MAX(Calculations!DP:DP),IF(COUNTIF(Calculations!CY:CY,Subgroup_number)=1,INDEX(Lookup_table_subgroup,MATCH(Subgroup_number,Calculations!CY:CY,0),8),INDEX(Calculations!DP:EU,MATCH(Subgroup_number,Calculations!DP:DP,0),29)),"")</f>
        <v>0.34228027806115818</v>
      </c>
      <c r="L15" s="4">
        <f>IF(COUNTIF(Calculations!DP:DP,Subgroup_number)=1,INDEX(Calculations!DP:EU,MATCH(Subgroup_number,Calculations!DP:DP,0),5),IF(Subgroup_number=Calculations!EY$25,Calculations!EY$17,""))</f>
        <v>5.0502925126233755</v>
      </c>
      <c r="M15" s="38">
        <f>IF(COUNTIF(Calculations!DP:DP,Subgroup_number)=1,INDEX(Calculations!DP:EU,MATCH(Subgroup_number,Calculations!DP:DP,0),6),IF(Subgroup_number=Calculations!EY$25,Calculations!EY$18,""))</f>
        <v>0.28217598856925552</v>
      </c>
      <c r="N15" s="30">
        <f>IF(COUNTIF(Calculations!DP:DP,Subgroup_number)=1,INDEX(Calculations!DP:EU,MATCH(Subgroup_number,Calculations!DP:DP,0),7),IF(Subgroup_number=Calculations!EY$25,Calculations!EY$19,""))</f>
        <v>0.20796666925690624</v>
      </c>
      <c r="O15" s="4">
        <f>IF(COUNTIF(Calculations!DP:DP,Subgroup_number)=1,INDEX(Calculations!DP:EU,MATCH(Subgroup_number,Calculations!DP:DP,0),9),IF(Subgroup_number=Calculations!EY$25,Calculations!EY$20,""))</f>
        <v>7.5417906853290528E-2</v>
      </c>
      <c r="P15" s="4">
        <f>IF(COUNTIF(Calculations!DP:DP,Subgroup_number)=1,INDEX(Calculations!DP:EU,MATCH(Subgroup_number,Calculations!DP:DP,0),10),IF(Subgroup_number=Calculations!EY$25,Calculations!EY$21,""))</f>
        <v>0.27462320887588965</v>
      </c>
      <c r="Q15" s="4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>0.48601237962719612</v>
      </c>
      <c r="R15" s="112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>4.0438667290019357</v>
      </c>
      <c r="S15" s="182"/>
      <c r="U15" s="176"/>
      <c r="W15" s="176"/>
      <c r="Y15" s="176"/>
      <c r="AA15" s="176"/>
    </row>
    <row r="16" spans="1:27" x14ac:dyDescent="0.2">
      <c r="A16" s="45"/>
      <c r="B16" s="45"/>
      <c r="F16" s="89">
        <v>15</v>
      </c>
      <c r="G1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>Combined effect size</v>
      </c>
      <c r="H16" s="4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>1.5264499646244674</v>
      </c>
      <c r="I16" s="4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>1.3335147136573267</v>
      </c>
      <c r="J16" s="4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>1.7472994265744493</v>
      </c>
      <c r="K1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" s="4">
        <f>IF(COUNTIF(Calculations!DP:DP,Subgroup_number)=1,INDEX(Calculations!DP:EU,MATCH(Subgroup_number,Calculations!DP:DP,0),5),IF(Subgroup_number=Calculations!EY$25,Calculations!EY$17,""))</f>
        <v>12.273195457938824</v>
      </c>
      <c r="M16" s="38">
        <f>IF(COUNTIF(Calculations!DP:DP,Subgroup_number)=1,INDEX(Calculations!DP:EU,MATCH(Subgroup_number,Calculations!DP:DP,0),6),IF(Subgroup_number=Calculations!EY$25,Calculations!EY$18,""))</f>
        <v>0.34346231660877985</v>
      </c>
      <c r="N16" s="30">
        <f>IF(COUNTIF(Calculations!DP:DP,Subgroup_number)=1,INDEX(Calculations!DP:EU,MATCH(Subgroup_number,Calculations!DP:DP,0),7),IF(Subgroup_number=Calculations!EY$25,Calculations!EY$19,""))</f>
        <v>0.10373789469109018</v>
      </c>
      <c r="O16" s="4">
        <f>IF(COUNTIF(Calculations!DP:DP,Subgroup_number)=1,INDEX(Calculations!DP:EU,MATCH(Subgroup_number,Calculations!DP:DP,0),9),IF(Subgroup_number=Calculations!EY$25,Calculations!EY$20,""))</f>
        <v>2.736863460497466E-2</v>
      </c>
      <c r="P16" s="4">
        <f>IF(COUNTIF(Calculations!DP:DP,Subgroup_number)=1,INDEX(Calculations!DP:EU,MATCH(Subgroup_number,Calculations!DP:DP,0),10),IF(Subgroup_number=Calculations!EY$25,Calculations!EY$21,""))</f>
        <v>0.16543468380292767</v>
      </c>
      <c r="Q16" s="4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>1.3335147136573267</v>
      </c>
      <c r="R16" s="112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>1.7472994265744493</v>
      </c>
      <c r="S16" s="182"/>
      <c r="U16" s="176"/>
      <c r="W16" s="176"/>
      <c r="Y16" s="176"/>
      <c r="AA16" s="176"/>
    </row>
    <row r="17" spans="1:27" x14ac:dyDescent="0.2">
      <c r="A17" s="158" t="s">
        <v>26</v>
      </c>
      <c r="B17" s="190">
        <f>SUMIF(Sufficient_data,"Yes",Number_of_subjects)</f>
        <v>1555</v>
      </c>
      <c r="C17" s="190"/>
      <c r="D17" s="190"/>
      <c r="F17" s="89">
        <v>16</v>
      </c>
      <c r="G1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" s="4" t="str">
        <f>IF(COUNTIF(Calculations!DP:DP,Subgroup_number)=1,INDEX(Calculations!DP:EU,MATCH(Subgroup_number,Calculations!DP:DP,0),5),IF(Subgroup_number=Calculations!EY$25,Calculations!EY$17,""))</f>
        <v/>
      </c>
      <c r="M17" s="38" t="str">
        <f>IF(COUNTIF(Calculations!DP:DP,Subgroup_number)=1,INDEX(Calculations!DP:EU,MATCH(Subgroup_number,Calculations!DP:DP,0),6),IF(Subgroup_number=Calculations!EY$25,Calculations!EY$18,""))</f>
        <v/>
      </c>
      <c r="N17" s="30" t="str">
        <f>IF(COUNTIF(Calculations!DP:DP,Subgroup_number)=1,INDEX(Calculations!DP:EU,MATCH(Subgroup_number,Calculations!DP:DP,0),7),IF(Subgroup_number=Calculations!EY$25,Calculations!EY$19,""))</f>
        <v/>
      </c>
      <c r="O17" s="4" t="str">
        <f>IF(COUNTIF(Calculations!DP:DP,Subgroup_number)=1,INDEX(Calculations!DP:EU,MATCH(Subgroup_number,Calculations!DP:DP,0),9),IF(Subgroup_number=Calculations!EY$25,Calculations!EY$20,""))</f>
        <v/>
      </c>
      <c r="P17" s="4" t="str">
        <f>IF(COUNTIF(Calculations!DP:DP,Subgroup_number)=1,INDEX(Calculations!DP:EU,MATCH(Subgroup_number,Calculations!DP:DP,0),10),IF(Subgroup_number=Calculations!EY$25,Calculations!EY$21,""))</f>
        <v/>
      </c>
      <c r="Q1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" s="182"/>
      <c r="U17" s="176"/>
      <c r="W17" s="176"/>
      <c r="Y17" s="176"/>
      <c r="AA17" s="176"/>
    </row>
    <row r="18" spans="1:27" x14ac:dyDescent="0.2">
      <c r="A18" s="158" t="s">
        <v>27</v>
      </c>
      <c r="B18" s="190">
        <f>COUNT(Subgroup_weightf)</f>
        <v>12</v>
      </c>
      <c r="C18" s="190"/>
      <c r="D18" s="190"/>
      <c r="F18" s="89">
        <v>17</v>
      </c>
      <c r="G1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" s="4" t="str">
        <f>IF(COUNTIF(Calculations!DP:DP,Subgroup_number)=1,INDEX(Calculations!DP:EU,MATCH(Subgroup_number,Calculations!DP:DP,0),5),IF(Subgroup_number=Calculations!EY$25,Calculations!EY$17,""))</f>
        <v/>
      </c>
      <c r="M18" s="38" t="str">
        <f>IF(COUNTIF(Calculations!DP:DP,Subgroup_number)=1,INDEX(Calculations!DP:EU,MATCH(Subgroup_number,Calculations!DP:DP,0),6),IF(Subgroup_number=Calculations!EY$25,Calculations!EY$18,""))</f>
        <v/>
      </c>
      <c r="N18" s="30" t="str">
        <f>IF(COUNTIF(Calculations!DP:DP,Subgroup_number)=1,INDEX(Calculations!DP:EU,MATCH(Subgroup_number,Calculations!DP:DP,0),7),IF(Subgroup_number=Calculations!EY$25,Calculations!EY$19,""))</f>
        <v/>
      </c>
      <c r="O18" s="4" t="str">
        <f>IF(COUNTIF(Calculations!DP:DP,Subgroup_number)=1,INDEX(Calculations!DP:EU,MATCH(Subgroup_number,Calculations!DP:DP,0),9),IF(Subgroup_number=Calculations!EY$25,Calculations!EY$20,""))</f>
        <v/>
      </c>
      <c r="P18" s="4" t="str">
        <f>IF(COUNTIF(Calculations!DP:DP,Subgroup_number)=1,INDEX(Calculations!DP:EU,MATCH(Subgroup_number,Calculations!DP:DP,0),10),IF(Subgroup_number=Calculations!EY$25,Calculations!EY$21,""))</f>
        <v/>
      </c>
      <c r="Q1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" s="182"/>
      <c r="U18" s="176"/>
      <c r="W18" s="176"/>
      <c r="Y18" s="176"/>
      <c r="AA18" s="176"/>
    </row>
    <row r="19" spans="1:27" x14ac:dyDescent="0.2">
      <c r="A19" s="158" t="s">
        <v>334</v>
      </c>
      <c r="B19" s="190">
        <f>COUNT(Calculations!DZ:DZ)</f>
        <v>2</v>
      </c>
      <c r="C19" s="190"/>
      <c r="D19" s="190"/>
      <c r="F19" s="89">
        <v>18</v>
      </c>
      <c r="G1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" s="4" t="str">
        <f>IF(COUNTIF(Calculations!DP:DP,Subgroup_number)=1,INDEX(Calculations!DP:EU,MATCH(Subgroup_number,Calculations!DP:DP,0),5),IF(Subgroup_number=Calculations!EY$25,Calculations!EY$17,""))</f>
        <v/>
      </c>
      <c r="M19" s="38" t="str">
        <f>IF(COUNTIF(Calculations!DP:DP,Subgroup_number)=1,INDEX(Calculations!DP:EU,MATCH(Subgroup_number,Calculations!DP:DP,0),6),IF(Subgroup_number=Calculations!EY$25,Calculations!EY$18,""))</f>
        <v/>
      </c>
      <c r="N19" s="30" t="str">
        <f>IF(COUNTIF(Calculations!DP:DP,Subgroup_number)=1,INDEX(Calculations!DP:EU,MATCH(Subgroup_number,Calculations!DP:DP,0),7),IF(Subgroup_number=Calculations!EY$25,Calculations!EY$19,""))</f>
        <v/>
      </c>
      <c r="O19" s="4" t="str">
        <f>IF(COUNTIF(Calculations!DP:DP,Subgroup_number)=1,INDEX(Calculations!DP:EU,MATCH(Subgroup_number,Calculations!DP:DP,0),9),IF(Subgroup_number=Calculations!EY$25,Calculations!EY$20,""))</f>
        <v/>
      </c>
      <c r="P19" s="4" t="str">
        <f>IF(COUNTIF(Calculations!DP:DP,Subgroup_number)=1,INDEX(Calculations!DP:EU,MATCH(Subgroup_number,Calculations!DP:DP,0),10),IF(Subgroup_number=Calculations!EY$25,Calculations!EY$21,""))</f>
        <v/>
      </c>
      <c r="Q1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" s="182"/>
      <c r="U19" s="176"/>
      <c r="W19" s="176"/>
      <c r="Y19" s="176"/>
      <c r="AA19" s="176"/>
    </row>
    <row r="20" spans="1:27" x14ac:dyDescent="0.2">
      <c r="A20" s="45"/>
      <c r="B20" s="45"/>
      <c r="F20" s="89">
        <v>19</v>
      </c>
      <c r="G2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0" s="4" t="str">
        <f>IF(COUNTIF(Calculations!DP:DP,Subgroup_number)=1,INDEX(Calculations!DP:EU,MATCH(Subgroup_number,Calculations!DP:DP,0),5),IF(Subgroup_number=Calculations!EY$25,Calculations!EY$17,""))</f>
        <v/>
      </c>
      <c r="M20" s="38" t="str">
        <f>IF(COUNTIF(Calculations!DP:DP,Subgroup_number)=1,INDEX(Calculations!DP:EU,MATCH(Subgroup_number,Calculations!DP:DP,0),6),IF(Subgroup_number=Calculations!EY$25,Calculations!EY$18,""))</f>
        <v/>
      </c>
      <c r="N20" s="30" t="str">
        <f>IF(COUNTIF(Calculations!DP:DP,Subgroup_number)=1,INDEX(Calculations!DP:EU,MATCH(Subgroup_number,Calculations!DP:DP,0),7),IF(Subgroup_number=Calculations!EY$25,Calculations!EY$19,""))</f>
        <v/>
      </c>
      <c r="O20" s="4" t="str">
        <f>IF(COUNTIF(Calculations!DP:DP,Subgroup_number)=1,INDEX(Calculations!DP:EU,MATCH(Subgroup_number,Calculations!DP:DP,0),9),IF(Subgroup_number=Calculations!EY$25,Calculations!EY$20,""))</f>
        <v/>
      </c>
      <c r="P20" s="4" t="str">
        <f>IF(COUNTIF(Calculations!DP:DP,Subgroup_number)=1,INDEX(Calculations!DP:EU,MATCH(Subgroup_number,Calculations!DP:DP,0),10),IF(Subgroup_number=Calculations!EY$25,Calculations!EY$21,""))</f>
        <v/>
      </c>
      <c r="Q2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0" s="182"/>
      <c r="U20" s="176"/>
      <c r="W20" s="176"/>
      <c r="Y20" s="176"/>
      <c r="AA20" s="176"/>
    </row>
    <row r="21" spans="1:27" x14ac:dyDescent="0.2">
      <c r="A21" s="1" t="s">
        <v>335</v>
      </c>
      <c r="B21" s="1" t="str">
        <f>IF(Within_subgroup_weighting=Calculations!EX42,"Sum of squares (Q)","Sum of squares (Q*)")</f>
        <v>Sum of squares (Q*)</v>
      </c>
      <c r="C21" s="1" t="s">
        <v>169</v>
      </c>
      <c r="D21" s="1" t="s">
        <v>261</v>
      </c>
      <c r="F21" s="89">
        <v>20</v>
      </c>
      <c r="G2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1" s="4" t="str">
        <f>IF(COUNTIF(Calculations!DP:DP,Subgroup_number)=1,INDEX(Calculations!DP:EU,MATCH(Subgroup_number,Calculations!DP:DP,0),5),IF(Subgroup_number=Calculations!EY$25,Calculations!EY$17,""))</f>
        <v/>
      </c>
      <c r="M21" s="38" t="str">
        <f>IF(COUNTIF(Calculations!DP:DP,Subgroup_number)=1,INDEX(Calculations!DP:EU,MATCH(Subgroup_number,Calculations!DP:DP,0),6),IF(Subgroup_number=Calculations!EY$25,Calculations!EY$18,""))</f>
        <v/>
      </c>
      <c r="N21" s="30" t="str">
        <f>IF(COUNTIF(Calculations!DP:DP,Subgroup_number)=1,INDEX(Calculations!DP:EU,MATCH(Subgroup_number,Calculations!DP:DP,0),7),IF(Subgroup_number=Calculations!EY$25,Calculations!EY$19,""))</f>
        <v/>
      </c>
      <c r="O21" s="4" t="str">
        <f>IF(COUNTIF(Calculations!DP:DP,Subgroup_number)=1,INDEX(Calculations!DP:EU,MATCH(Subgroup_number,Calculations!DP:DP,0),9),IF(Subgroup_number=Calculations!EY$25,Calculations!EY$20,""))</f>
        <v/>
      </c>
      <c r="P21" s="4" t="str">
        <f>IF(COUNTIF(Calculations!DP:DP,Subgroup_number)=1,INDEX(Calculations!DP:EU,MATCH(Subgroup_number,Calculations!DP:DP,0),10),IF(Subgroup_number=Calculations!EY$25,Calculations!EY$21,""))</f>
        <v/>
      </c>
      <c r="Q2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1" s="182"/>
      <c r="U21" s="176"/>
      <c r="W21" s="176"/>
      <c r="Y21" s="176"/>
      <c r="AA21" s="176"/>
    </row>
    <row r="22" spans="1:27" x14ac:dyDescent="0.2">
      <c r="A22" s="158" t="s">
        <v>336</v>
      </c>
      <c r="B22" s="29">
        <f>B24-B23</f>
        <v>0.15473509966030008</v>
      </c>
      <c r="C22" s="8">
        <f>Number_of_subgroups-1</f>
        <v>1</v>
      </c>
      <c r="D22" s="38">
        <f>CHIDIST(B22,C22)</f>
        <v>0.69405078325579428</v>
      </c>
      <c r="F22" s="89">
        <v>21</v>
      </c>
      <c r="G2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2" s="4" t="str">
        <f>IF(COUNTIF(Calculations!DP:DP,Subgroup_number)=1,INDEX(Calculations!DP:EU,MATCH(Subgroup_number,Calculations!DP:DP,0),5),IF(Subgroup_number=Calculations!EY$25,Calculations!EY$17,""))</f>
        <v/>
      </c>
      <c r="M22" s="38" t="str">
        <f>IF(COUNTIF(Calculations!DP:DP,Subgroup_number)=1,INDEX(Calculations!DP:EU,MATCH(Subgroup_number,Calculations!DP:DP,0),6),IF(Subgroup_number=Calculations!EY$25,Calculations!EY$18,""))</f>
        <v/>
      </c>
      <c r="N22" s="30" t="str">
        <f>IF(COUNTIF(Calculations!DP:DP,Subgroup_number)=1,INDEX(Calculations!DP:EU,MATCH(Subgroup_number,Calculations!DP:DP,0),7),IF(Subgroup_number=Calculations!EY$25,Calculations!EY$19,""))</f>
        <v/>
      </c>
      <c r="O22" s="4" t="str">
        <f>IF(COUNTIF(Calculations!DP:DP,Subgroup_number)=1,INDEX(Calculations!DP:EU,MATCH(Subgroup_number,Calculations!DP:DP,0),9),IF(Subgroup_number=Calculations!EY$25,Calculations!EY$20,""))</f>
        <v/>
      </c>
      <c r="P22" s="4" t="str">
        <f>IF(COUNTIF(Calculations!DP:DP,Subgroup_number)=1,INDEX(Calculations!DP:EU,MATCH(Subgroup_number,Calculations!DP:DP,0),10),IF(Subgroup_number=Calculations!EY$25,Calculations!EY$21,""))</f>
        <v/>
      </c>
      <c r="Q2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2" s="182"/>
      <c r="U22" s="176"/>
      <c r="W22" s="176"/>
      <c r="Y22" s="176"/>
      <c r="AA22" s="176"/>
    </row>
    <row r="23" spans="1:27" x14ac:dyDescent="0.2">
      <c r="A23" s="158" t="s">
        <v>337</v>
      </c>
      <c r="B23" s="4">
        <f>SUM(Calculations!EP:EP)</f>
        <v>9.9898963267039385</v>
      </c>
      <c r="C23" s="8">
        <f>Subgroup_k-Number_of_subgroups</f>
        <v>10</v>
      </c>
      <c r="D23" s="38">
        <f>CHIDIST(B23,C23)</f>
        <v>0.44138016491237464</v>
      </c>
      <c r="F23" s="89">
        <v>22</v>
      </c>
      <c r="G2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3" s="4" t="str">
        <f>IF(COUNTIF(Calculations!DP:DP,Subgroup_number)=1,INDEX(Calculations!DP:EU,MATCH(Subgroup_number,Calculations!DP:DP,0),5),IF(Subgroup_number=Calculations!EY$25,Calculations!EY$17,""))</f>
        <v/>
      </c>
      <c r="M23" s="38" t="str">
        <f>IF(COUNTIF(Calculations!DP:DP,Subgroup_number)=1,INDEX(Calculations!DP:EU,MATCH(Subgroup_number,Calculations!DP:DP,0),6),IF(Subgroup_number=Calculations!EY$25,Calculations!EY$18,""))</f>
        <v/>
      </c>
      <c r="N23" s="30" t="str">
        <f>IF(COUNTIF(Calculations!DP:DP,Subgroup_number)=1,INDEX(Calculations!DP:EU,MATCH(Subgroup_number,Calculations!DP:DP,0),7),IF(Subgroup_number=Calculations!EY$25,Calculations!EY$19,""))</f>
        <v/>
      </c>
      <c r="O23" s="4" t="str">
        <f>IF(COUNTIF(Calculations!DP:DP,Subgroup_number)=1,INDEX(Calculations!DP:EU,MATCH(Subgroup_number,Calculations!DP:DP,0),9),IF(Subgroup_number=Calculations!EY$25,Calculations!EY$20,""))</f>
        <v/>
      </c>
      <c r="P23" s="4" t="str">
        <f>IF(COUNTIF(Calculations!DP:DP,Subgroup_number)=1,INDEX(Calculations!DP:EU,MATCH(Subgroup_number,Calculations!DP:DP,0),10),IF(Subgroup_number=Calculations!EY$25,Calculations!EY$21,""))</f>
        <v/>
      </c>
      <c r="Q2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3" s="182"/>
      <c r="U23" s="176"/>
      <c r="W23" s="176"/>
      <c r="Y23" s="176"/>
      <c r="AA23" s="176"/>
    </row>
    <row r="24" spans="1:27" x14ac:dyDescent="0.2">
      <c r="A24" s="158" t="s">
        <v>174</v>
      </c>
      <c r="B24" s="4">
        <f>SUMPRODUCT(Calculations!DE:DE,Subgroup_effect_size,Subgroup_effect_size)-SUMPRODUCT(Calculations!DE:DE,Subgroup_effect_size)^2/SUM(Calculations!DE:DE)</f>
        <v>10.144631426364239</v>
      </c>
      <c r="C24" s="8">
        <f>Subgroup_k-1</f>
        <v>11</v>
      </c>
      <c r="D24" s="38">
        <f t="shared" ref="D24" si="0">CHIDIST(B24,C24)</f>
        <v>0.51742635642398938</v>
      </c>
      <c r="F24" s="89">
        <v>23</v>
      </c>
      <c r="G2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4" s="4" t="str">
        <f>IF(COUNTIF(Calculations!DP:DP,Subgroup_number)=1,INDEX(Calculations!DP:EU,MATCH(Subgroup_number,Calculations!DP:DP,0),5),IF(Subgroup_number=Calculations!EY$25,Calculations!EY$17,""))</f>
        <v/>
      </c>
      <c r="M24" s="38" t="str">
        <f>IF(COUNTIF(Calculations!DP:DP,Subgroup_number)=1,INDEX(Calculations!DP:EU,MATCH(Subgroup_number,Calculations!DP:DP,0),6),IF(Subgroup_number=Calculations!EY$25,Calculations!EY$18,""))</f>
        <v/>
      </c>
      <c r="N24" s="30" t="str">
        <f>IF(COUNTIF(Calculations!DP:DP,Subgroup_number)=1,INDEX(Calculations!DP:EU,MATCH(Subgroup_number,Calculations!DP:DP,0),7),IF(Subgroup_number=Calculations!EY$25,Calculations!EY$19,""))</f>
        <v/>
      </c>
      <c r="O24" s="4" t="str">
        <f>IF(COUNTIF(Calculations!DP:DP,Subgroup_number)=1,INDEX(Calculations!DP:EU,MATCH(Subgroup_number,Calculations!DP:DP,0),9),IF(Subgroup_number=Calculations!EY$25,Calculations!EY$20,""))</f>
        <v/>
      </c>
      <c r="P24" s="4" t="str">
        <f>IF(COUNTIF(Calculations!DP:DP,Subgroup_number)=1,INDEX(Calculations!DP:EU,MATCH(Subgroup_number,Calculations!DP:DP,0),10),IF(Subgroup_number=Calculations!EY$25,Calculations!EY$21,""))</f>
        <v/>
      </c>
      <c r="Q2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4" s="182"/>
      <c r="U24" s="176"/>
      <c r="W24" s="176"/>
      <c r="Y24" s="176"/>
      <c r="AA24" s="176"/>
    </row>
    <row r="25" spans="1:27" x14ac:dyDescent="0.2">
      <c r="A25" s="45"/>
      <c r="B25" s="45"/>
      <c r="F25" s="89">
        <v>24</v>
      </c>
      <c r="G2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5" s="4" t="str">
        <f>IF(COUNTIF(Calculations!DP:DP,Subgroup_number)=1,INDEX(Calculations!DP:EU,MATCH(Subgroup_number,Calculations!DP:DP,0),5),IF(Subgroup_number=Calculations!EY$25,Calculations!EY$17,""))</f>
        <v/>
      </c>
      <c r="M25" s="38" t="str">
        <f>IF(COUNTIF(Calculations!DP:DP,Subgroup_number)=1,INDEX(Calculations!DP:EU,MATCH(Subgroup_number,Calculations!DP:DP,0),6),IF(Subgroup_number=Calculations!EY$25,Calculations!EY$18,""))</f>
        <v/>
      </c>
      <c r="N25" s="30" t="str">
        <f>IF(COUNTIF(Calculations!DP:DP,Subgroup_number)=1,INDEX(Calculations!DP:EU,MATCH(Subgroup_number,Calculations!DP:DP,0),7),IF(Subgroup_number=Calculations!EY$25,Calculations!EY$19,""))</f>
        <v/>
      </c>
      <c r="O25" s="4" t="str">
        <f>IF(COUNTIF(Calculations!DP:DP,Subgroup_number)=1,INDEX(Calculations!DP:EU,MATCH(Subgroup_number,Calculations!DP:DP,0),9),IF(Subgroup_number=Calculations!EY$25,Calculations!EY$20,""))</f>
        <v/>
      </c>
      <c r="P25" s="4" t="str">
        <f>IF(COUNTIF(Calculations!DP:DP,Subgroup_number)=1,INDEX(Calculations!DP:EU,MATCH(Subgroup_number,Calculations!DP:DP,0),10),IF(Subgroup_number=Calculations!EY$25,Calculations!EY$21,""))</f>
        <v/>
      </c>
      <c r="Q2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5" s="182"/>
      <c r="U25" s="176"/>
      <c r="W25" s="176"/>
      <c r="Y25" s="176"/>
      <c r="AA25" s="176"/>
    </row>
    <row r="26" spans="1:27" ht="14.25" x14ac:dyDescent="0.2">
      <c r="A26" s="158" t="s">
        <v>338</v>
      </c>
      <c r="B26" s="9">
        <f>B22/B24</f>
        <v>1.5252905025033127E-2</v>
      </c>
      <c r="F26" s="89">
        <v>25</v>
      </c>
      <c r="G2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6" s="4" t="str">
        <f>IF(COUNTIF(Calculations!DP:DP,Subgroup_number)=1,INDEX(Calculations!DP:EU,MATCH(Subgroup_number,Calculations!DP:DP,0),5),IF(Subgroup_number=Calculations!EY$25,Calculations!EY$17,""))</f>
        <v/>
      </c>
      <c r="M26" s="38" t="str">
        <f>IF(COUNTIF(Calculations!DP:DP,Subgroup_number)=1,INDEX(Calculations!DP:EU,MATCH(Subgroup_number,Calculations!DP:DP,0),6),IF(Subgroup_number=Calculations!EY$25,Calculations!EY$18,""))</f>
        <v/>
      </c>
      <c r="N26" s="30" t="str">
        <f>IF(COUNTIF(Calculations!DP:DP,Subgroup_number)=1,INDEX(Calculations!DP:EU,MATCH(Subgroup_number,Calculations!DP:DP,0),7),IF(Subgroup_number=Calculations!EY$25,Calculations!EY$19,""))</f>
        <v/>
      </c>
      <c r="O26" s="4" t="str">
        <f>IF(COUNTIF(Calculations!DP:DP,Subgroup_number)=1,INDEX(Calculations!DP:EU,MATCH(Subgroup_number,Calculations!DP:DP,0),9),IF(Subgroup_number=Calculations!EY$25,Calculations!EY$20,""))</f>
        <v/>
      </c>
      <c r="P26" s="4" t="str">
        <f>IF(COUNTIF(Calculations!DP:DP,Subgroup_number)=1,INDEX(Calculations!DP:EU,MATCH(Subgroup_number,Calculations!DP:DP,0),10),IF(Subgroup_number=Calculations!EY$25,Calculations!EY$21,""))</f>
        <v/>
      </c>
      <c r="Q2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6" s="182"/>
      <c r="U26" s="176"/>
      <c r="W26" s="176"/>
      <c r="Y26" s="176"/>
      <c r="AA26" s="176"/>
    </row>
    <row r="27" spans="1:27" x14ac:dyDescent="0.2">
      <c r="A27" s="45"/>
      <c r="B27" s="45"/>
      <c r="E27"/>
      <c r="F27" s="89">
        <v>26</v>
      </c>
      <c r="G2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7" s="4" t="str">
        <f>IF(COUNTIF(Calculations!DP:DP,Subgroup_number)=1,INDEX(Calculations!DP:EU,MATCH(Subgroup_number,Calculations!DP:DP,0),5),IF(Subgroup_number=Calculations!EY$25,Calculations!EY$17,""))</f>
        <v/>
      </c>
      <c r="M27" s="38" t="str">
        <f>IF(COUNTIF(Calculations!DP:DP,Subgroup_number)=1,INDEX(Calculations!DP:EU,MATCH(Subgroup_number,Calculations!DP:DP,0),6),IF(Subgroup_number=Calculations!EY$25,Calculations!EY$18,""))</f>
        <v/>
      </c>
      <c r="N27" s="30" t="str">
        <f>IF(COUNTIF(Calculations!DP:DP,Subgroup_number)=1,INDEX(Calculations!DP:EU,MATCH(Subgroup_number,Calculations!DP:DP,0),7),IF(Subgroup_number=Calculations!EY$25,Calculations!EY$19,""))</f>
        <v/>
      </c>
      <c r="O27" s="4" t="str">
        <f>IF(COUNTIF(Calculations!DP:DP,Subgroup_number)=1,INDEX(Calculations!DP:EU,MATCH(Subgroup_number,Calculations!DP:DP,0),9),IF(Subgroup_number=Calculations!EY$25,Calculations!EY$20,""))</f>
        <v/>
      </c>
      <c r="P27" s="4" t="str">
        <f>IF(COUNTIF(Calculations!DP:DP,Subgroup_number)=1,INDEX(Calculations!DP:EU,MATCH(Subgroup_number,Calculations!DP:DP,0),10),IF(Subgroup_number=Calculations!EY$25,Calculations!EY$21,""))</f>
        <v/>
      </c>
      <c r="Q2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7" s="182"/>
      <c r="U27" s="176"/>
      <c r="W27" s="176"/>
      <c r="Y27" s="176"/>
      <c r="AA27" s="176"/>
    </row>
    <row r="28" spans="1:27" x14ac:dyDescent="0.2">
      <c r="A28" s="178" t="s">
        <v>296</v>
      </c>
      <c r="B28" s="178"/>
      <c r="C28" s="178"/>
      <c r="D28" s="178"/>
      <c r="F28" s="89">
        <v>27</v>
      </c>
      <c r="G2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8" s="4" t="str">
        <f>IF(COUNTIF(Calculations!DP:DP,Subgroup_number)=1,INDEX(Calculations!DP:EU,MATCH(Subgroup_number,Calculations!DP:DP,0),5),IF(Subgroup_number=Calculations!EY$25,Calculations!EY$17,""))</f>
        <v/>
      </c>
      <c r="M28" s="38" t="str">
        <f>IF(COUNTIF(Calculations!DP:DP,Subgroup_number)=1,INDEX(Calculations!DP:EU,MATCH(Subgroup_number,Calculations!DP:DP,0),6),IF(Subgroup_number=Calculations!EY$25,Calculations!EY$18,""))</f>
        <v/>
      </c>
      <c r="N28" s="30" t="str">
        <f>IF(COUNTIF(Calculations!DP:DP,Subgroup_number)=1,INDEX(Calculations!DP:EU,MATCH(Subgroup_number,Calculations!DP:DP,0),7),IF(Subgroup_number=Calculations!EY$25,Calculations!EY$19,""))</f>
        <v/>
      </c>
      <c r="O28" s="4" t="str">
        <f>IF(COUNTIF(Calculations!DP:DP,Subgroup_number)=1,INDEX(Calculations!DP:EU,MATCH(Subgroup_number,Calculations!DP:DP,0),9),IF(Subgroup_number=Calculations!EY$25,Calculations!EY$20,""))</f>
        <v/>
      </c>
      <c r="P28" s="4" t="str">
        <f>IF(COUNTIF(Calculations!DP:DP,Subgroup_number)=1,INDEX(Calculations!DP:EU,MATCH(Subgroup_number,Calculations!DP:DP,0),10),IF(Subgroup_number=Calculations!EY$25,Calculations!EY$21,""))</f>
        <v/>
      </c>
      <c r="Q2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8" s="182"/>
      <c r="U28" s="176"/>
      <c r="W28" s="176"/>
      <c r="Y28" s="176"/>
      <c r="AA28" s="176"/>
    </row>
    <row r="29" spans="1:27" x14ac:dyDescent="0.2">
      <c r="A29" s="180" t="s">
        <v>295</v>
      </c>
      <c r="B29" s="180"/>
      <c r="C29" s="180"/>
      <c r="D29" s="180"/>
      <c r="F29" s="89">
        <v>28</v>
      </c>
      <c r="G2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9" s="4" t="str">
        <f>IF(COUNTIF(Calculations!DP:DP,Subgroup_number)=1,INDEX(Calculations!DP:EU,MATCH(Subgroup_number,Calculations!DP:DP,0),5),IF(Subgroup_number=Calculations!EY$25,Calculations!EY$17,""))</f>
        <v/>
      </c>
      <c r="M29" s="38" t="str">
        <f>IF(COUNTIF(Calculations!DP:DP,Subgroup_number)=1,INDEX(Calculations!DP:EU,MATCH(Subgroup_number,Calculations!DP:DP,0),6),IF(Subgroup_number=Calculations!EY$25,Calculations!EY$18,""))</f>
        <v/>
      </c>
      <c r="N29" s="30" t="str">
        <f>IF(COUNTIF(Calculations!DP:DP,Subgroup_number)=1,INDEX(Calculations!DP:EU,MATCH(Subgroup_number,Calculations!DP:DP,0),7),IF(Subgroup_number=Calculations!EY$25,Calculations!EY$19,""))</f>
        <v/>
      </c>
      <c r="O29" s="4" t="str">
        <f>IF(COUNTIF(Calculations!DP:DP,Subgroup_number)=1,INDEX(Calculations!DP:EU,MATCH(Subgroup_number,Calculations!DP:DP,0),9),IF(Subgroup_number=Calculations!EY$25,Calculations!EY$20,""))</f>
        <v/>
      </c>
      <c r="P29" s="4" t="str">
        <f>IF(COUNTIF(Calculations!DP:DP,Subgroup_number)=1,INDEX(Calculations!DP:EU,MATCH(Subgroup_number,Calculations!DP:DP,0),10),IF(Subgroup_number=Calculations!EY$25,Calculations!EY$21,""))</f>
        <v/>
      </c>
      <c r="Q2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9" s="182"/>
      <c r="U29" s="176"/>
      <c r="W29" s="176"/>
      <c r="Y29" s="176"/>
      <c r="AA29" s="176"/>
    </row>
    <row r="30" spans="1:27" x14ac:dyDescent="0.2">
      <c r="A30" s="181" t="s">
        <v>15</v>
      </c>
      <c r="B30" s="181"/>
      <c r="C30" s="181"/>
      <c r="D30" s="181"/>
      <c r="F30" s="89">
        <v>29</v>
      </c>
      <c r="G3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0" s="4" t="str">
        <f>IF(COUNTIF(Calculations!DP:DP,Subgroup_number)=1,INDEX(Calculations!DP:EU,MATCH(Subgroup_number,Calculations!DP:DP,0),5),IF(Subgroup_number=Calculations!EY$25,Calculations!EY$17,""))</f>
        <v/>
      </c>
      <c r="M30" s="38" t="str">
        <f>IF(COUNTIF(Calculations!DP:DP,Subgroup_number)=1,INDEX(Calculations!DP:EU,MATCH(Subgroup_number,Calculations!DP:DP,0),6),IF(Subgroup_number=Calculations!EY$25,Calculations!EY$18,""))</f>
        <v/>
      </c>
      <c r="N30" s="30" t="str">
        <f>IF(COUNTIF(Calculations!DP:DP,Subgroup_number)=1,INDEX(Calculations!DP:EU,MATCH(Subgroup_number,Calculations!DP:DP,0),7),IF(Subgroup_number=Calculations!EY$25,Calculations!EY$19,""))</f>
        <v/>
      </c>
      <c r="O30" s="4" t="str">
        <f>IF(COUNTIF(Calculations!DP:DP,Subgroup_number)=1,INDEX(Calculations!DP:EU,MATCH(Subgroup_number,Calculations!DP:DP,0),9),IF(Subgroup_number=Calculations!EY$25,Calculations!EY$20,""))</f>
        <v/>
      </c>
      <c r="P30" s="4" t="str">
        <f>IF(COUNTIF(Calculations!DP:DP,Subgroup_number)=1,INDEX(Calculations!DP:EU,MATCH(Subgroup_number,Calculations!DP:DP,0),10),IF(Subgroup_number=Calculations!EY$25,Calculations!EY$21,""))</f>
        <v/>
      </c>
      <c r="Q3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0" s="182"/>
      <c r="U30" s="176"/>
      <c r="W30" s="176"/>
      <c r="Y30" s="176"/>
      <c r="AA30" s="176"/>
    </row>
    <row r="31" spans="1:27" x14ac:dyDescent="0.2">
      <c r="A31" s="181" t="s">
        <v>16</v>
      </c>
      <c r="B31" s="181"/>
      <c r="C31" s="181"/>
      <c r="D31" s="181"/>
      <c r="F31" s="89">
        <v>30</v>
      </c>
      <c r="G3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1" s="4" t="str">
        <f>IF(COUNTIF(Calculations!DP:DP,Subgroup_number)=1,INDEX(Calculations!DP:EU,MATCH(Subgroup_number,Calculations!DP:DP,0),5),IF(Subgroup_number=Calculations!EY$25,Calculations!EY$17,""))</f>
        <v/>
      </c>
      <c r="M31" s="38" t="str">
        <f>IF(COUNTIF(Calculations!DP:DP,Subgroup_number)=1,INDEX(Calculations!DP:EU,MATCH(Subgroup_number,Calculations!DP:DP,0),6),IF(Subgroup_number=Calculations!EY$25,Calculations!EY$18,""))</f>
        <v/>
      </c>
      <c r="N31" s="30" t="str">
        <f>IF(COUNTIF(Calculations!DP:DP,Subgroup_number)=1,INDEX(Calculations!DP:EU,MATCH(Subgroup_number,Calculations!DP:DP,0),7),IF(Subgroup_number=Calculations!EY$25,Calculations!EY$19,""))</f>
        <v/>
      </c>
      <c r="O31" s="4" t="str">
        <f>IF(COUNTIF(Calculations!DP:DP,Subgroup_number)=1,INDEX(Calculations!DP:EU,MATCH(Subgroup_number,Calculations!DP:DP,0),9),IF(Subgroup_number=Calculations!EY$25,Calculations!EY$20,""))</f>
        <v/>
      </c>
      <c r="P31" s="4" t="str">
        <f>IF(COUNTIF(Calculations!DP:DP,Subgroup_number)=1,INDEX(Calculations!DP:EU,MATCH(Subgroup_number,Calculations!DP:DP,0),10),IF(Subgroup_number=Calculations!EY$25,Calculations!EY$21,""))</f>
        <v/>
      </c>
      <c r="Q3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1" s="182"/>
      <c r="U31" s="176"/>
      <c r="W31" s="176"/>
      <c r="Y31" s="176"/>
      <c r="AA31" s="176"/>
    </row>
    <row r="32" spans="1:27" x14ac:dyDescent="0.2">
      <c r="A32" s="45"/>
      <c r="B32" s="45"/>
      <c r="E32"/>
      <c r="F32" s="89">
        <v>31</v>
      </c>
      <c r="G3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2" s="4" t="str">
        <f>IF(COUNTIF(Calculations!DP:DP,Subgroup_number)=1,INDEX(Calculations!DP:EU,MATCH(Subgroup_number,Calculations!DP:DP,0),5),IF(Subgroup_number=Calculations!EY$25,Calculations!EY$17,""))</f>
        <v/>
      </c>
      <c r="M32" s="38" t="str">
        <f>IF(COUNTIF(Calculations!DP:DP,Subgroup_number)=1,INDEX(Calculations!DP:EU,MATCH(Subgroup_number,Calculations!DP:DP,0),6),IF(Subgroup_number=Calculations!EY$25,Calculations!EY$18,""))</f>
        <v/>
      </c>
      <c r="N32" s="30" t="str">
        <f>IF(COUNTIF(Calculations!DP:DP,Subgroup_number)=1,INDEX(Calculations!DP:EU,MATCH(Subgroup_number,Calculations!DP:DP,0),7),IF(Subgroup_number=Calculations!EY$25,Calculations!EY$19,""))</f>
        <v/>
      </c>
      <c r="O32" s="4" t="str">
        <f>IF(COUNTIF(Calculations!DP:DP,Subgroup_number)=1,INDEX(Calculations!DP:EU,MATCH(Subgroup_number,Calculations!DP:DP,0),9),IF(Subgroup_number=Calculations!EY$25,Calculations!EY$20,""))</f>
        <v/>
      </c>
      <c r="P32" s="4" t="str">
        <f>IF(COUNTIF(Calculations!DP:DP,Subgroup_number)=1,INDEX(Calculations!DP:EU,MATCH(Subgroup_number,Calculations!DP:DP,0),10),IF(Subgroup_number=Calculations!EY$25,Calculations!EY$21,""))</f>
        <v/>
      </c>
      <c r="Q3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2" s="182"/>
      <c r="U32" s="176"/>
      <c r="W32" s="176"/>
      <c r="Y32" s="176"/>
      <c r="AA32" s="176"/>
    </row>
    <row r="33" spans="1:27" x14ac:dyDescent="0.2">
      <c r="A33" s="178" t="s">
        <v>297</v>
      </c>
      <c r="B33" s="178"/>
      <c r="C33" s="178"/>
      <c r="D33" s="178"/>
      <c r="F33" s="89">
        <v>32</v>
      </c>
      <c r="G3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3" s="4" t="str">
        <f>IF(COUNTIF(Calculations!DP:DP,Subgroup_number)=1,INDEX(Calculations!DP:EU,MATCH(Subgroup_number,Calculations!DP:DP,0),5),IF(Subgroup_number=Calculations!EY$25,Calculations!EY$17,""))</f>
        <v/>
      </c>
      <c r="M33" s="38" t="str">
        <f>IF(COUNTIF(Calculations!DP:DP,Subgroup_number)=1,INDEX(Calculations!DP:EU,MATCH(Subgroup_number,Calculations!DP:DP,0),6),IF(Subgroup_number=Calculations!EY$25,Calculations!EY$18,""))</f>
        <v/>
      </c>
      <c r="N33" s="30" t="str">
        <f>IF(COUNTIF(Calculations!DP:DP,Subgroup_number)=1,INDEX(Calculations!DP:EU,MATCH(Subgroup_number,Calculations!DP:DP,0),7),IF(Subgroup_number=Calculations!EY$25,Calculations!EY$19,""))</f>
        <v/>
      </c>
      <c r="O33" s="4" t="str">
        <f>IF(COUNTIF(Calculations!DP:DP,Subgroup_number)=1,INDEX(Calculations!DP:EU,MATCH(Subgroup_number,Calculations!DP:DP,0),9),IF(Subgroup_number=Calculations!EY$25,Calculations!EY$20,""))</f>
        <v/>
      </c>
      <c r="P33" s="4" t="str">
        <f>IF(COUNTIF(Calculations!DP:DP,Subgroup_number)=1,INDEX(Calculations!DP:EU,MATCH(Subgroup_number,Calculations!DP:DP,0),10),IF(Subgroup_number=Calculations!EY$25,Calculations!EY$21,""))</f>
        <v/>
      </c>
      <c r="Q3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3" s="182"/>
      <c r="U33" s="176"/>
      <c r="W33" s="176"/>
      <c r="Y33" s="176"/>
      <c r="AA33" s="176"/>
    </row>
    <row r="34" spans="1:27" x14ac:dyDescent="0.2">
      <c r="A34" s="180" t="str">
        <f>IF(Subgroup_weighting_method="Peto","Peto Odds Ratio","Odds Ratio")</f>
        <v>Odds Ratio</v>
      </c>
      <c r="B34" s="180"/>
      <c r="C34" s="180"/>
      <c r="D34" s="180"/>
      <c r="F34" s="89">
        <v>33</v>
      </c>
      <c r="G3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4" s="4" t="str">
        <f>IF(COUNTIF(Calculations!DP:DP,Subgroup_number)=1,INDEX(Calculations!DP:EU,MATCH(Subgroup_number,Calculations!DP:DP,0),5),IF(Subgroup_number=Calculations!EY$25,Calculations!EY$17,""))</f>
        <v/>
      </c>
      <c r="M34" s="38" t="str">
        <f>IF(COUNTIF(Calculations!DP:DP,Subgroup_number)=1,INDEX(Calculations!DP:EU,MATCH(Subgroup_number,Calculations!DP:DP,0),6),IF(Subgroup_number=Calculations!EY$25,Calculations!EY$18,""))</f>
        <v/>
      </c>
      <c r="N34" s="30" t="str">
        <f>IF(COUNTIF(Calculations!DP:DP,Subgroup_number)=1,INDEX(Calculations!DP:EU,MATCH(Subgroup_number,Calculations!DP:DP,0),7),IF(Subgroup_number=Calculations!EY$25,Calculations!EY$19,""))</f>
        <v/>
      </c>
      <c r="O34" s="4" t="str">
        <f>IF(COUNTIF(Calculations!DP:DP,Subgroup_number)=1,INDEX(Calculations!DP:EU,MATCH(Subgroup_number,Calculations!DP:DP,0),9),IF(Subgroup_number=Calculations!EY$25,Calculations!EY$20,""))</f>
        <v/>
      </c>
      <c r="P34" s="4" t="str">
        <f>IF(COUNTIF(Calculations!DP:DP,Subgroup_number)=1,INDEX(Calculations!DP:EU,MATCH(Subgroup_number,Calculations!DP:DP,0),10),IF(Subgroup_number=Calculations!EY$25,Calculations!EY$21,""))</f>
        <v/>
      </c>
      <c r="Q3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4" s="182"/>
      <c r="U34" s="176"/>
      <c r="W34" s="176"/>
      <c r="Y34" s="176"/>
      <c r="AA34" s="176"/>
    </row>
    <row r="35" spans="1:27" x14ac:dyDescent="0.2">
      <c r="A35" s="181" t="str">
        <f>IF(Subgroup_weighting_method="Inverse variance","Risk Ratio","")</f>
        <v>Risk Ratio</v>
      </c>
      <c r="B35" s="181"/>
      <c r="C35" s="181"/>
      <c r="D35" s="181"/>
      <c r="F35" s="89">
        <v>34</v>
      </c>
      <c r="G3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5" s="4" t="str">
        <f>IF(COUNTIF(Calculations!DP:DP,Subgroup_number)=1,INDEX(Calculations!DP:EU,MATCH(Subgroup_number,Calculations!DP:DP,0),5),IF(Subgroup_number=Calculations!EY$25,Calculations!EY$17,""))</f>
        <v/>
      </c>
      <c r="M35" s="38" t="str">
        <f>IF(COUNTIF(Calculations!DP:DP,Subgroup_number)=1,INDEX(Calculations!DP:EU,MATCH(Subgroup_number,Calculations!DP:DP,0),6),IF(Subgroup_number=Calculations!EY$25,Calculations!EY$18,""))</f>
        <v/>
      </c>
      <c r="N35" s="30" t="str">
        <f>IF(COUNTIF(Calculations!DP:DP,Subgroup_number)=1,INDEX(Calculations!DP:EU,MATCH(Subgroup_number,Calculations!DP:DP,0),7),IF(Subgroup_number=Calculations!EY$25,Calculations!EY$19,""))</f>
        <v/>
      </c>
      <c r="O35" s="4" t="str">
        <f>IF(COUNTIF(Calculations!DP:DP,Subgroup_number)=1,INDEX(Calculations!DP:EU,MATCH(Subgroup_number,Calculations!DP:DP,0),9),IF(Subgroup_number=Calculations!EY$25,Calculations!EY$20,""))</f>
        <v/>
      </c>
      <c r="P35" s="4" t="str">
        <f>IF(COUNTIF(Calculations!DP:DP,Subgroup_number)=1,INDEX(Calculations!DP:EU,MATCH(Subgroup_number,Calculations!DP:DP,0),10),IF(Subgroup_number=Calculations!EY$25,Calculations!EY$21,""))</f>
        <v/>
      </c>
      <c r="Q3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5" s="182"/>
      <c r="U35" s="176"/>
      <c r="W35" s="176"/>
      <c r="Y35" s="176"/>
      <c r="AA35" s="176"/>
    </row>
    <row r="36" spans="1:27" x14ac:dyDescent="0.2">
      <c r="A36" s="181" t="str">
        <f>IF(Subgroup_weighting_method="Inverse Variance","Risk Difference","")</f>
        <v>Risk Difference</v>
      </c>
      <c r="B36" s="181"/>
      <c r="C36" s="181"/>
      <c r="D36" s="181"/>
      <c r="F36" s="89">
        <v>35</v>
      </c>
      <c r="G3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6" s="4" t="str">
        <f>IF(COUNTIF(Calculations!DP:DP,Subgroup_number)=1,INDEX(Calculations!DP:EU,MATCH(Subgroup_number,Calculations!DP:DP,0),5),IF(Subgroup_number=Calculations!EY$25,Calculations!EY$17,""))</f>
        <v/>
      </c>
      <c r="M36" s="38" t="str">
        <f>IF(COUNTIF(Calculations!DP:DP,Subgroup_number)=1,INDEX(Calculations!DP:EU,MATCH(Subgroup_number,Calculations!DP:DP,0),6),IF(Subgroup_number=Calculations!EY$25,Calculations!EY$18,""))</f>
        <v/>
      </c>
      <c r="N36" s="30" t="str">
        <f>IF(COUNTIF(Calculations!DP:DP,Subgroup_number)=1,INDEX(Calculations!DP:EU,MATCH(Subgroup_number,Calculations!DP:DP,0),7),IF(Subgroup_number=Calculations!EY$25,Calculations!EY$19,""))</f>
        <v/>
      </c>
      <c r="O36" s="4" t="str">
        <f>IF(COUNTIF(Calculations!DP:DP,Subgroup_number)=1,INDEX(Calculations!DP:EU,MATCH(Subgroup_number,Calculations!DP:DP,0),9),IF(Subgroup_number=Calculations!EY$25,Calculations!EY$20,""))</f>
        <v/>
      </c>
      <c r="P36" s="4" t="str">
        <f>IF(COUNTIF(Calculations!DP:DP,Subgroup_number)=1,INDEX(Calculations!DP:EU,MATCH(Subgroup_number,Calculations!DP:DP,0),10),IF(Subgroup_number=Calculations!EY$25,Calculations!EY$21,""))</f>
        <v/>
      </c>
      <c r="Q3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6" s="182"/>
      <c r="U36" s="176"/>
      <c r="W36" s="176"/>
      <c r="Y36" s="176"/>
      <c r="AA36" s="176"/>
    </row>
    <row r="37" spans="1:27" x14ac:dyDescent="0.2">
      <c r="A37" s="31"/>
      <c r="F37" s="89">
        <v>36</v>
      </c>
      <c r="G3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7" s="4" t="str">
        <f>IF(COUNTIF(Calculations!DP:DP,Subgroup_number)=1,INDEX(Calculations!DP:EU,MATCH(Subgroup_number,Calculations!DP:DP,0),5),IF(Subgroup_number=Calculations!EY$25,Calculations!EY$17,""))</f>
        <v/>
      </c>
      <c r="M37" s="38" t="str">
        <f>IF(COUNTIF(Calculations!DP:DP,Subgroup_number)=1,INDEX(Calculations!DP:EU,MATCH(Subgroup_number,Calculations!DP:DP,0),6),IF(Subgroup_number=Calculations!EY$25,Calculations!EY$18,""))</f>
        <v/>
      </c>
      <c r="N37" s="30" t="str">
        <f>IF(COUNTIF(Calculations!DP:DP,Subgroup_number)=1,INDEX(Calculations!DP:EU,MATCH(Subgroup_number,Calculations!DP:DP,0),7),IF(Subgroup_number=Calculations!EY$25,Calculations!EY$19,""))</f>
        <v/>
      </c>
      <c r="O37" s="4" t="str">
        <f>IF(COUNTIF(Calculations!DP:DP,Subgroup_number)=1,INDEX(Calculations!DP:EU,MATCH(Subgroup_number,Calculations!DP:DP,0),9),IF(Subgroup_number=Calculations!EY$25,Calculations!EY$20,""))</f>
        <v/>
      </c>
      <c r="P37" s="4" t="str">
        <f>IF(COUNTIF(Calculations!DP:DP,Subgroup_number)=1,INDEX(Calculations!DP:EU,MATCH(Subgroup_number,Calculations!DP:DP,0),10),IF(Subgroup_number=Calculations!EY$25,Calculations!EY$21,""))</f>
        <v/>
      </c>
      <c r="Q3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7" s="182"/>
      <c r="U37" s="176"/>
      <c r="W37" s="176"/>
      <c r="Y37" s="176"/>
      <c r="AA37" s="176"/>
    </row>
    <row r="38" spans="1:27" x14ac:dyDescent="0.2">
      <c r="A38" s="31"/>
      <c r="B38" s="45"/>
      <c r="F38" s="89">
        <v>37</v>
      </c>
      <c r="G3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8" s="4" t="str">
        <f>IF(COUNTIF(Calculations!DP:DP,Subgroup_number)=1,INDEX(Calculations!DP:EU,MATCH(Subgroup_number,Calculations!DP:DP,0),5),IF(Subgroup_number=Calculations!EY$25,Calculations!EY$17,""))</f>
        <v/>
      </c>
      <c r="M38" s="38" t="str">
        <f>IF(COUNTIF(Calculations!DP:DP,Subgroup_number)=1,INDEX(Calculations!DP:EU,MATCH(Subgroup_number,Calculations!DP:DP,0),6),IF(Subgroup_number=Calculations!EY$25,Calculations!EY$18,""))</f>
        <v/>
      </c>
      <c r="N38" s="30" t="str">
        <f>IF(COUNTIF(Calculations!DP:DP,Subgroup_number)=1,INDEX(Calculations!DP:EU,MATCH(Subgroup_number,Calculations!DP:DP,0),7),IF(Subgroup_number=Calculations!EY$25,Calculations!EY$19,""))</f>
        <v/>
      </c>
      <c r="O38" s="4" t="str">
        <f>IF(COUNTIF(Calculations!DP:DP,Subgroup_number)=1,INDEX(Calculations!DP:EU,MATCH(Subgroup_number,Calculations!DP:DP,0),9),IF(Subgroup_number=Calculations!EY$25,Calculations!EY$20,""))</f>
        <v/>
      </c>
      <c r="P38" s="4" t="str">
        <f>IF(COUNTIF(Calculations!DP:DP,Subgroup_number)=1,INDEX(Calculations!DP:EU,MATCH(Subgroup_number,Calculations!DP:DP,0),10),IF(Subgroup_number=Calculations!EY$25,Calculations!EY$21,""))</f>
        <v/>
      </c>
      <c r="Q3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8" s="182"/>
      <c r="U38" s="176"/>
      <c r="W38" s="176"/>
      <c r="Y38" s="176"/>
      <c r="AA38" s="176"/>
    </row>
    <row r="39" spans="1:27" x14ac:dyDescent="0.2">
      <c r="A39" s="31"/>
      <c r="F39" s="89">
        <v>38</v>
      </c>
      <c r="G3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3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3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3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3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39" s="4" t="str">
        <f>IF(COUNTIF(Calculations!DP:DP,Subgroup_number)=1,INDEX(Calculations!DP:EU,MATCH(Subgroup_number,Calculations!DP:DP,0),5),IF(Subgroup_number=Calculations!EY$25,Calculations!EY$17,""))</f>
        <v/>
      </c>
      <c r="M39" s="38" t="str">
        <f>IF(COUNTIF(Calculations!DP:DP,Subgroup_number)=1,INDEX(Calculations!DP:EU,MATCH(Subgroup_number,Calculations!DP:DP,0),6),IF(Subgroup_number=Calculations!EY$25,Calculations!EY$18,""))</f>
        <v/>
      </c>
      <c r="N39" s="30" t="str">
        <f>IF(COUNTIF(Calculations!DP:DP,Subgroup_number)=1,INDEX(Calculations!DP:EU,MATCH(Subgroup_number,Calculations!DP:DP,0),7),IF(Subgroup_number=Calculations!EY$25,Calculations!EY$19,""))</f>
        <v/>
      </c>
      <c r="O39" s="4" t="str">
        <f>IF(COUNTIF(Calculations!DP:DP,Subgroup_number)=1,INDEX(Calculations!DP:EU,MATCH(Subgroup_number,Calculations!DP:DP,0),9),IF(Subgroup_number=Calculations!EY$25,Calculations!EY$20,""))</f>
        <v/>
      </c>
      <c r="P39" s="4" t="str">
        <f>IF(COUNTIF(Calculations!DP:DP,Subgroup_number)=1,INDEX(Calculations!DP:EU,MATCH(Subgroup_number,Calculations!DP:DP,0),10),IF(Subgroup_number=Calculations!EY$25,Calculations!EY$21,""))</f>
        <v/>
      </c>
      <c r="Q3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3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39" s="182"/>
      <c r="U39" s="176"/>
      <c r="W39" s="176"/>
      <c r="Y39" s="176"/>
      <c r="AA39" s="176"/>
    </row>
    <row r="40" spans="1:27" x14ac:dyDescent="0.2">
      <c r="A40" s="31"/>
      <c r="F40" s="89">
        <v>39</v>
      </c>
      <c r="G4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0" s="4" t="str">
        <f>IF(COUNTIF(Calculations!DP:DP,Subgroup_number)=1,INDEX(Calculations!DP:EU,MATCH(Subgroup_number,Calculations!DP:DP,0),5),IF(Subgroup_number=Calculations!EY$25,Calculations!EY$17,""))</f>
        <v/>
      </c>
      <c r="M40" s="38" t="str">
        <f>IF(COUNTIF(Calculations!DP:DP,Subgroup_number)=1,INDEX(Calculations!DP:EU,MATCH(Subgroup_number,Calculations!DP:DP,0),6),IF(Subgroup_number=Calculations!EY$25,Calculations!EY$18,""))</f>
        <v/>
      </c>
      <c r="N40" s="30" t="str">
        <f>IF(COUNTIF(Calculations!DP:DP,Subgroup_number)=1,INDEX(Calculations!DP:EU,MATCH(Subgroup_number,Calculations!DP:DP,0),7),IF(Subgroup_number=Calculations!EY$25,Calculations!EY$19,""))</f>
        <v/>
      </c>
      <c r="O40" s="4" t="str">
        <f>IF(COUNTIF(Calculations!DP:DP,Subgroup_number)=1,INDEX(Calculations!DP:EU,MATCH(Subgroup_number,Calculations!DP:DP,0),9),IF(Subgroup_number=Calculations!EY$25,Calculations!EY$20,""))</f>
        <v/>
      </c>
      <c r="P40" s="4" t="str">
        <f>IF(COUNTIF(Calculations!DP:DP,Subgroup_number)=1,INDEX(Calculations!DP:EU,MATCH(Subgroup_number,Calculations!DP:DP,0),10),IF(Subgroup_number=Calculations!EY$25,Calculations!EY$21,""))</f>
        <v/>
      </c>
      <c r="Q4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0" s="182"/>
      <c r="U40" s="176"/>
      <c r="W40" s="176"/>
      <c r="Y40" s="176"/>
      <c r="AA40" s="176"/>
    </row>
    <row r="41" spans="1:27" x14ac:dyDescent="0.2">
      <c r="A41" s="31"/>
      <c r="F41" s="89">
        <v>40</v>
      </c>
      <c r="G4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1" s="4" t="str">
        <f>IF(COUNTIF(Calculations!DP:DP,Subgroup_number)=1,INDEX(Calculations!DP:EU,MATCH(Subgroup_number,Calculations!DP:DP,0),5),IF(Subgroup_number=Calculations!EY$25,Calculations!EY$17,""))</f>
        <v/>
      </c>
      <c r="M41" s="38" t="str">
        <f>IF(COUNTIF(Calculations!DP:DP,Subgroup_number)=1,INDEX(Calculations!DP:EU,MATCH(Subgroup_number,Calculations!DP:DP,0),6),IF(Subgroup_number=Calculations!EY$25,Calculations!EY$18,""))</f>
        <v/>
      </c>
      <c r="N41" s="30" t="str">
        <f>IF(COUNTIF(Calculations!DP:DP,Subgroup_number)=1,INDEX(Calculations!DP:EU,MATCH(Subgroup_number,Calculations!DP:DP,0),7),IF(Subgroup_number=Calculations!EY$25,Calculations!EY$19,""))</f>
        <v/>
      </c>
      <c r="O41" s="4" t="str">
        <f>IF(COUNTIF(Calculations!DP:DP,Subgroup_number)=1,INDEX(Calculations!DP:EU,MATCH(Subgroup_number,Calculations!DP:DP,0),9),IF(Subgroup_number=Calculations!EY$25,Calculations!EY$20,""))</f>
        <v/>
      </c>
      <c r="P41" s="4" t="str">
        <f>IF(COUNTIF(Calculations!DP:DP,Subgroup_number)=1,INDEX(Calculations!DP:EU,MATCH(Subgroup_number,Calculations!DP:DP,0),10),IF(Subgroup_number=Calculations!EY$25,Calculations!EY$21,""))</f>
        <v/>
      </c>
      <c r="Q4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1" s="182"/>
      <c r="U41" s="176"/>
      <c r="W41" s="176"/>
      <c r="Y41" s="176"/>
      <c r="AA41" s="176"/>
    </row>
    <row r="42" spans="1:27" x14ac:dyDescent="0.2">
      <c r="A42" s="31"/>
      <c r="F42" s="89">
        <v>41</v>
      </c>
      <c r="G4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2" s="4" t="str">
        <f>IF(COUNTIF(Calculations!DP:DP,Subgroup_number)=1,INDEX(Calculations!DP:EU,MATCH(Subgroup_number,Calculations!DP:DP,0),5),IF(Subgroup_number=Calculations!EY$25,Calculations!EY$17,""))</f>
        <v/>
      </c>
      <c r="M42" s="38" t="str">
        <f>IF(COUNTIF(Calculations!DP:DP,Subgroup_number)=1,INDEX(Calculations!DP:EU,MATCH(Subgroup_number,Calculations!DP:DP,0),6),IF(Subgroup_number=Calculations!EY$25,Calculations!EY$18,""))</f>
        <v/>
      </c>
      <c r="N42" s="30" t="str">
        <f>IF(COUNTIF(Calculations!DP:DP,Subgroup_number)=1,INDEX(Calculations!DP:EU,MATCH(Subgroup_number,Calculations!DP:DP,0),7),IF(Subgroup_number=Calculations!EY$25,Calculations!EY$19,""))</f>
        <v/>
      </c>
      <c r="O42" s="4" t="str">
        <f>IF(COUNTIF(Calculations!DP:DP,Subgroup_number)=1,INDEX(Calculations!DP:EU,MATCH(Subgroup_number,Calculations!DP:DP,0),9),IF(Subgroup_number=Calculations!EY$25,Calculations!EY$20,""))</f>
        <v/>
      </c>
      <c r="P42" s="4" t="str">
        <f>IF(COUNTIF(Calculations!DP:DP,Subgroup_number)=1,INDEX(Calculations!DP:EU,MATCH(Subgroup_number,Calculations!DP:DP,0),10),IF(Subgroup_number=Calculations!EY$25,Calculations!EY$21,""))</f>
        <v/>
      </c>
      <c r="Q4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2" s="182"/>
      <c r="U42" s="176"/>
      <c r="W42" s="176"/>
      <c r="Y42" s="176"/>
      <c r="AA42" s="176"/>
    </row>
    <row r="43" spans="1:27" x14ac:dyDescent="0.2">
      <c r="A43" s="31"/>
      <c r="F43" s="89">
        <v>42</v>
      </c>
      <c r="G4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3" s="4" t="str">
        <f>IF(COUNTIF(Calculations!DP:DP,Subgroup_number)=1,INDEX(Calculations!DP:EU,MATCH(Subgroup_number,Calculations!DP:DP,0),5),IF(Subgroup_number=Calculations!EY$25,Calculations!EY$17,""))</f>
        <v/>
      </c>
      <c r="M43" s="38" t="str">
        <f>IF(COUNTIF(Calculations!DP:DP,Subgroup_number)=1,INDEX(Calculations!DP:EU,MATCH(Subgroup_number,Calculations!DP:DP,0),6),IF(Subgroup_number=Calculations!EY$25,Calculations!EY$18,""))</f>
        <v/>
      </c>
      <c r="N43" s="30" t="str">
        <f>IF(COUNTIF(Calculations!DP:DP,Subgroup_number)=1,INDEX(Calculations!DP:EU,MATCH(Subgroup_number,Calculations!DP:DP,0),7),IF(Subgroup_number=Calculations!EY$25,Calculations!EY$19,""))</f>
        <v/>
      </c>
      <c r="O43" s="4" t="str">
        <f>IF(COUNTIF(Calculations!DP:DP,Subgroup_number)=1,INDEX(Calculations!DP:EU,MATCH(Subgroup_number,Calculations!DP:DP,0),9),IF(Subgroup_number=Calculations!EY$25,Calculations!EY$20,""))</f>
        <v/>
      </c>
      <c r="P43" s="4" t="str">
        <f>IF(COUNTIF(Calculations!DP:DP,Subgroup_number)=1,INDEX(Calculations!DP:EU,MATCH(Subgroup_number,Calculations!DP:DP,0),10),IF(Subgroup_number=Calculations!EY$25,Calculations!EY$21,""))</f>
        <v/>
      </c>
      <c r="Q4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3" s="182"/>
      <c r="U43" s="176"/>
      <c r="W43" s="176"/>
      <c r="Y43" s="176"/>
      <c r="AA43" s="176"/>
    </row>
    <row r="44" spans="1:27" x14ac:dyDescent="0.2">
      <c r="A44" s="31"/>
      <c r="F44" s="89">
        <v>43</v>
      </c>
      <c r="G4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4" s="4" t="str">
        <f>IF(COUNTIF(Calculations!DP:DP,Subgroup_number)=1,INDEX(Calculations!DP:EU,MATCH(Subgroup_number,Calculations!DP:DP,0),5),IF(Subgroup_number=Calculations!EY$25,Calculations!EY$17,""))</f>
        <v/>
      </c>
      <c r="M44" s="38" t="str">
        <f>IF(COUNTIF(Calculations!DP:DP,Subgroup_number)=1,INDEX(Calculations!DP:EU,MATCH(Subgroup_number,Calculations!DP:DP,0),6),IF(Subgroup_number=Calculations!EY$25,Calculations!EY$18,""))</f>
        <v/>
      </c>
      <c r="N44" s="30" t="str">
        <f>IF(COUNTIF(Calculations!DP:DP,Subgroup_number)=1,INDEX(Calculations!DP:EU,MATCH(Subgroup_number,Calculations!DP:DP,0),7),IF(Subgroup_number=Calculations!EY$25,Calculations!EY$19,""))</f>
        <v/>
      </c>
      <c r="O44" s="4" t="str">
        <f>IF(COUNTIF(Calculations!DP:DP,Subgroup_number)=1,INDEX(Calculations!DP:EU,MATCH(Subgroup_number,Calculations!DP:DP,0),9),IF(Subgroup_number=Calculations!EY$25,Calculations!EY$20,""))</f>
        <v/>
      </c>
      <c r="P44" s="4" t="str">
        <f>IF(COUNTIF(Calculations!DP:DP,Subgroup_number)=1,INDEX(Calculations!DP:EU,MATCH(Subgroup_number,Calculations!DP:DP,0),10),IF(Subgroup_number=Calculations!EY$25,Calculations!EY$21,""))</f>
        <v/>
      </c>
      <c r="Q4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4" s="182"/>
      <c r="U44" s="176"/>
      <c r="W44" s="176"/>
      <c r="Y44" s="176"/>
      <c r="AA44" s="176"/>
    </row>
    <row r="45" spans="1:27" x14ac:dyDescent="0.2">
      <c r="A45" s="31"/>
      <c r="F45" s="89">
        <v>44</v>
      </c>
      <c r="G4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5" s="4" t="str">
        <f>IF(COUNTIF(Calculations!DP:DP,Subgroup_number)=1,INDEX(Calculations!DP:EU,MATCH(Subgroup_number,Calculations!DP:DP,0),5),IF(Subgroup_number=Calculations!EY$25,Calculations!EY$17,""))</f>
        <v/>
      </c>
      <c r="M45" s="38" t="str">
        <f>IF(COUNTIF(Calculations!DP:DP,Subgroup_number)=1,INDEX(Calculations!DP:EU,MATCH(Subgroup_number,Calculations!DP:DP,0),6),IF(Subgroup_number=Calculations!EY$25,Calculations!EY$18,""))</f>
        <v/>
      </c>
      <c r="N45" s="30" t="str">
        <f>IF(COUNTIF(Calculations!DP:DP,Subgroup_number)=1,INDEX(Calculations!DP:EU,MATCH(Subgroup_number,Calculations!DP:DP,0),7),IF(Subgroup_number=Calculations!EY$25,Calculations!EY$19,""))</f>
        <v/>
      </c>
      <c r="O45" s="4" t="str">
        <f>IF(COUNTIF(Calculations!DP:DP,Subgroup_number)=1,INDEX(Calculations!DP:EU,MATCH(Subgroup_number,Calculations!DP:DP,0),9),IF(Subgroup_number=Calculations!EY$25,Calculations!EY$20,""))</f>
        <v/>
      </c>
      <c r="P45" s="4" t="str">
        <f>IF(COUNTIF(Calculations!DP:DP,Subgroup_number)=1,INDEX(Calculations!DP:EU,MATCH(Subgroup_number,Calculations!DP:DP,0),10),IF(Subgroup_number=Calculations!EY$25,Calculations!EY$21,""))</f>
        <v/>
      </c>
      <c r="Q4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5" s="182"/>
      <c r="U45" s="176"/>
      <c r="W45" s="176"/>
      <c r="Y45" s="176"/>
      <c r="AA45" s="176"/>
    </row>
    <row r="46" spans="1:27" x14ac:dyDescent="0.2">
      <c r="A46" s="31"/>
      <c r="F46" s="89">
        <v>45</v>
      </c>
      <c r="G4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6" s="4" t="str">
        <f>IF(COUNTIF(Calculations!DP:DP,Subgroup_number)=1,INDEX(Calculations!DP:EU,MATCH(Subgroup_number,Calculations!DP:DP,0),5),IF(Subgroup_number=Calculations!EY$25,Calculations!EY$17,""))</f>
        <v/>
      </c>
      <c r="M46" s="38" t="str">
        <f>IF(COUNTIF(Calculations!DP:DP,Subgroup_number)=1,INDEX(Calculations!DP:EU,MATCH(Subgroup_number,Calculations!DP:DP,0),6),IF(Subgroup_number=Calculations!EY$25,Calculations!EY$18,""))</f>
        <v/>
      </c>
      <c r="N46" s="30" t="str">
        <f>IF(COUNTIF(Calculations!DP:DP,Subgroup_number)=1,INDEX(Calculations!DP:EU,MATCH(Subgroup_number,Calculations!DP:DP,0),7),IF(Subgroup_number=Calculations!EY$25,Calculations!EY$19,""))</f>
        <v/>
      </c>
      <c r="O46" s="4" t="str">
        <f>IF(COUNTIF(Calculations!DP:DP,Subgroup_number)=1,INDEX(Calculations!DP:EU,MATCH(Subgroup_number,Calculations!DP:DP,0),9),IF(Subgroup_number=Calculations!EY$25,Calculations!EY$20,""))</f>
        <v/>
      </c>
      <c r="P46" s="4" t="str">
        <f>IF(COUNTIF(Calculations!DP:DP,Subgroup_number)=1,INDEX(Calculations!DP:EU,MATCH(Subgroup_number,Calculations!DP:DP,0),10),IF(Subgroup_number=Calculations!EY$25,Calculations!EY$21,""))</f>
        <v/>
      </c>
      <c r="Q4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6" s="182"/>
      <c r="U46" s="176"/>
      <c r="W46" s="176"/>
      <c r="Y46" s="176"/>
      <c r="AA46" s="176"/>
    </row>
    <row r="47" spans="1:27" x14ac:dyDescent="0.2">
      <c r="A47" s="31"/>
      <c r="F47" s="89">
        <v>46</v>
      </c>
      <c r="G4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7" s="4" t="str">
        <f>IF(COUNTIF(Calculations!DP:DP,Subgroup_number)=1,INDEX(Calculations!DP:EU,MATCH(Subgroup_number,Calculations!DP:DP,0),5),IF(Subgroup_number=Calculations!EY$25,Calculations!EY$17,""))</f>
        <v/>
      </c>
      <c r="M47" s="38" t="str">
        <f>IF(COUNTIF(Calculations!DP:DP,Subgroup_number)=1,INDEX(Calculations!DP:EU,MATCH(Subgroup_number,Calculations!DP:DP,0),6),IF(Subgroup_number=Calculations!EY$25,Calculations!EY$18,""))</f>
        <v/>
      </c>
      <c r="N47" s="30" t="str">
        <f>IF(COUNTIF(Calculations!DP:DP,Subgroup_number)=1,INDEX(Calculations!DP:EU,MATCH(Subgroup_number,Calculations!DP:DP,0),7),IF(Subgroup_number=Calculations!EY$25,Calculations!EY$19,""))</f>
        <v/>
      </c>
      <c r="O47" s="4" t="str">
        <f>IF(COUNTIF(Calculations!DP:DP,Subgroup_number)=1,INDEX(Calculations!DP:EU,MATCH(Subgroup_number,Calculations!DP:DP,0),9),IF(Subgroup_number=Calculations!EY$25,Calculations!EY$20,""))</f>
        <v/>
      </c>
      <c r="P47" s="4" t="str">
        <f>IF(COUNTIF(Calculations!DP:DP,Subgroup_number)=1,INDEX(Calculations!DP:EU,MATCH(Subgroup_number,Calculations!DP:DP,0),10),IF(Subgroup_number=Calculations!EY$25,Calculations!EY$21,""))</f>
        <v/>
      </c>
      <c r="Q4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7" s="182"/>
      <c r="U47" s="176"/>
      <c r="W47" s="176"/>
      <c r="Y47" s="176"/>
      <c r="AA47" s="176"/>
    </row>
    <row r="48" spans="1:27" x14ac:dyDescent="0.2">
      <c r="A48" s="31"/>
      <c r="F48" s="89">
        <v>47</v>
      </c>
      <c r="G4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8" s="4" t="str">
        <f>IF(COUNTIF(Calculations!DP:DP,Subgroup_number)=1,INDEX(Calculations!DP:EU,MATCH(Subgroup_number,Calculations!DP:DP,0),5),IF(Subgroup_number=Calculations!EY$25,Calculations!EY$17,""))</f>
        <v/>
      </c>
      <c r="M48" s="38" t="str">
        <f>IF(COUNTIF(Calculations!DP:DP,Subgroup_number)=1,INDEX(Calculations!DP:EU,MATCH(Subgroup_number,Calculations!DP:DP,0),6),IF(Subgroup_number=Calculations!EY$25,Calculations!EY$18,""))</f>
        <v/>
      </c>
      <c r="N48" s="30" t="str">
        <f>IF(COUNTIF(Calculations!DP:DP,Subgroup_number)=1,INDEX(Calculations!DP:EU,MATCH(Subgroup_number,Calculations!DP:DP,0),7),IF(Subgroup_number=Calculations!EY$25,Calculations!EY$19,""))</f>
        <v/>
      </c>
      <c r="O48" s="4" t="str">
        <f>IF(COUNTIF(Calculations!DP:DP,Subgroup_number)=1,INDEX(Calculations!DP:EU,MATCH(Subgroup_number,Calculations!DP:DP,0),9),IF(Subgroup_number=Calculations!EY$25,Calculations!EY$20,""))</f>
        <v/>
      </c>
      <c r="P48" s="4" t="str">
        <f>IF(COUNTIF(Calculations!DP:DP,Subgroup_number)=1,INDEX(Calculations!DP:EU,MATCH(Subgroup_number,Calculations!DP:DP,0),10),IF(Subgroup_number=Calculations!EY$25,Calculations!EY$21,""))</f>
        <v/>
      </c>
      <c r="Q4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8" s="182"/>
      <c r="U48" s="176"/>
      <c r="W48" s="176"/>
      <c r="Y48" s="176"/>
      <c r="AA48" s="176"/>
    </row>
    <row r="49" spans="1:27" x14ac:dyDescent="0.2">
      <c r="A49" s="31"/>
      <c r="F49" s="89">
        <v>48</v>
      </c>
      <c r="G4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4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4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4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4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49" s="4" t="str">
        <f>IF(COUNTIF(Calculations!DP:DP,Subgroup_number)=1,INDEX(Calculations!DP:EU,MATCH(Subgroup_number,Calculations!DP:DP,0),5),IF(Subgroup_number=Calculations!EY$25,Calculations!EY$17,""))</f>
        <v/>
      </c>
      <c r="M49" s="38" t="str">
        <f>IF(COUNTIF(Calculations!DP:DP,Subgroup_number)=1,INDEX(Calculations!DP:EU,MATCH(Subgroup_number,Calculations!DP:DP,0),6),IF(Subgroup_number=Calculations!EY$25,Calculations!EY$18,""))</f>
        <v/>
      </c>
      <c r="N49" s="30" t="str">
        <f>IF(COUNTIF(Calculations!DP:DP,Subgroup_number)=1,INDEX(Calculations!DP:EU,MATCH(Subgroup_number,Calculations!DP:DP,0),7),IF(Subgroup_number=Calculations!EY$25,Calculations!EY$19,""))</f>
        <v/>
      </c>
      <c r="O49" s="4" t="str">
        <f>IF(COUNTIF(Calculations!DP:DP,Subgroup_number)=1,INDEX(Calculations!DP:EU,MATCH(Subgroup_number,Calculations!DP:DP,0),9),IF(Subgroup_number=Calculations!EY$25,Calculations!EY$20,""))</f>
        <v/>
      </c>
      <c r="P49" s="4" t="str">
        <f>IF(COUNTIF(Calculations!DP:DP,Subgroup_number)=1,INDEX(Calculations!DP:EU,MATCH(Subgroup_number,Calculations!DP:DP,0),10),IF(Subgroup_number=Calculations!EY$25,Calculations!EY$21,""))</f>
        <v/>
      </c>
      <c r="Q4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4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49" s="182"/>
      <c r="U49" s="176"/>
      <c r="W49" s="176"/>
      <c r="Y49" s="176"/>
      <c r="AA49" s="176"/>
    </row>
    <row r="50" spans="1:27" x14ac:dyDescent="0.2">
      <c r="A50" s="31"/>
      <c r="F50" s="89">
        <v>49</v>
      </c>
      <c r="G5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0" s="4" t="str">
        <f>IF(COUNTIF(Calculations!DP:DP,Subgroup_number)=1,INDEX(Calculations!DP:EU,MATCH(Subgroup_number,Calculations!DP:DP,0),5),IF(Subgroup_number=Calculations!EY$25,Calculations!EY$17,""))</f>
        <v/>
      </c>
      <c r="M50" s="38" t="str">
        <f>IF(COUNTIF(Calculations!DP:DP,Subgroup_number)=1,INDEX(Calculations!DP:EU,MATCH(Subgroup_number,Calculations!DP:DP,0),6),IF(Subgroup_number=Calculations!EY$25,Calculations!EY$18,""))</f>
        <v/>
      </c>
      <c r="N50" s="30" t="str">
        <f>IF(COUNTIF(Calculations!DP:DP,Subgroup_number)=1,INDEX(Calculations!DP:EU,MATCH(Subgroup_number,Calculations!DP:DP,0),7),IF(Subgroup_number=Calculations!EY$25,Calculations!EY$19,""))</f>
        <v/>
      </c>
      <c r="O50" s="4" t="str">
        <f>IF(COUNTIF(Calculations!DP:DP,Subgroup_number)=1,INDEX(Calculations!DP:EU,MATCH(Subgroup_number,Calculations!DP:DP,0),9),IF(Subgroup_number=Calculations!EY$25,Calculations!EY$20,""))</f>
        <v/>
      </c>
      <c r="P50" s="4" t="str">
        <f>IF(COUNTIF(Calculations!DP:DP,Subgroup_number)=1,INDEX(Calculations!DP:EU,MATCH(Subgroup_number,Calculations!DP:DP,0),10),IF(Subgroup_number=Calculations!EY$25,Calculations!EY$21,""))</f>
        <v/>
      </c>
      <c r="Q5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0" s="182"/>
      <c r="U50" s="176"/>
      <c r="W50" s="176"/>
      <c r="Y50" s="176"/>
      <c r="AA50" s="176"/>
    </row>
    <row r="51" spans="1:27" x14ac:dyDescent="0.2">
      <c r="A51" s="31"/>
      <c r="F51" s="89">
        <v>50</v>
      </c>
      <c r="G5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1" s="4" t="str">
        <f>IF(COUNTIF(Calculations!DP:DP,Subgroup_number)=1,INDEX(Calculations!DP:EU,MATCH(Subgroup_number,Calculations!DP:DP,0),5),IF(Subgroup_number=Calculations!EY$25,Calculations!EY$17,""))</f>
        <v/>
      </c>
      <c r="M51" s="38" t="str">
        <f>IF(COUNTIF(Calculations!DP:DP,Subgroup_number)=1,INDEX(Calculations!DP:EU,MATCH(Subgroup_number,Calculations!DP:DP,0),6),IF(Subgroup_number=Calculations!EY$25,Calculations!EY$18,""))</f>
        <v/>
      </c>
      <c r="N51" s="30" t="str">
        <f>IF(COUNTIF(Calculations!DP:DP,Subgroup_number)=1,INDEX(Calculations!DP:EU,MATCH(Subgroup_number,Calculations!DP:DP,0),7),IF(Subgroup_number=Calculations!EY$25,Calculations!EY$19,""))</f>
        <v/>
      </c>
      <c r="O51" s="4" t="str">
        <f>IF(COUNTIF(Calculations!DP:DP,Subgroup_number)=1,INDEX(Calculations!DP:EU,MATCH(Subgroup_number,Calculations!DP:DP,0),9),IF(Subgroup_number=Calculations!EY$25,Calculations!EY$20,""))</f>
        <v/>
      </c>
      <c r="P51" s="4" t="str">
        <f>IF(COUNTIF(Calculations!DP:DP,Subgroup_number)=1,INDEX(Calculations!DP:EU,MATCH(Subgroup_number,Calculations!DP:DP,0),10),IF(Subgroup_number=Calculations!EY$25,Calculations!EY$21,""))</f>
        <v/>
      </c>
      <c r="Q5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1" s="182"/>
      <c r="U51" s="176"/>
      <c r="W51" s="176"/>
      <c r="Y51" s="176"/>
      <c r="AA51" s="176"/>
    </row>
    <row r="52" spans="1:27" x14ac:dyDescent="0.2">
      <c r="A52" s="31"/>
      <c r="F52" s="89">
        <v>51</v>
      </c>
      <c r="G5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2" s="4" t="str">
        <f>IF(COUNTIF(Calculations!DP:DP,Subgroup_number)=1,INDEX(Calculations!DP:EU,MATCH(Subgroup_number,Calculations!DP:DP,0),5),IF(Subgroup_number=Calculations!EY$25,Calculations!EY$17,""))</f>
        <v/>
      </c>
      <c r="M52" s="38" t="str">
        <f>IF(COUNTIF(Calculations!DP:DP,Subgroup_number)=1,INDEX(Calculations!DP:EU,MATCH(Subgroup_number,Calculations!DP:DP,0),6),IF(Subgroup_number=Calculations!EY$25,Calculations!EY$18,""))</f>
        <v/>
      </c>
      <c r="N52" s="30" t="str">
        <f>IF(COUNTIF(Calculations!DP:DP,Subgroup_number)=1,INDEX(Calculations!DP:EU,MATCH(Subgroup_number,Calculations!DP:DP,0),7),IF(Subgroup_number=Calculations!EY$25,Calculations!EY$19,""))</f>
        <v/>
      </c>
      <c r="O52" s="4" t="str">
        <f>IF(COUNTIF(Calculations!DP:DP,Subgroup_number)=1,INDEX(Calculations!DP:EU,MATCH(Subgroup_number,Calculations!DP:DP,0),9),IF(Subgroup_number=Calculations!EY$25,Calculations!EY$20,""))</f>
        <v/>
      </c>
      <c r="P52" s="4" t="str">
        <f>IF(COUNTIF(Calculations!DP:DP,Subgroup_number)=1,INDEX(Calculations!DP:EU,MATCH(Subgroup_number,Calculations!DP:DP,0),10),IF(Subgroup_number=Calculations!EY$25,Calculations!EY$21,""))</f>
        <v/>
      </c>
      <c r="Q5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2" s="182"/>
      <c r="U52" s="176"/>
      <c r="W52" s="176"/>
      <c r="Y52" s="176"/>
      <c r="AA52" s="176"/>
    </row>
    <row r="53" spans="1:27" x14ac:dyDescent="0.2">
      <c r="A53" s="31"/>
      <c r="F53" s="89">
        <v>52</v>
      </c>
      <c r="G5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3" s="4" t="str">
        <f>IF(COUNTIF(Calculations!DP:DP,Subgroup_number)=1,INDEX(Calculations!DP:EU,MATCH(Subgroup_number,Calculations!DP:DP,0),5),IF(Subgroup_number=Calculations!EY$25,Calculations!EY$17,""))</f>
        <v/>
      </c>
      <c r="M53" s="38" t="str">
        <f>IF(COUNTIF(Calculations!DP:DP,Subgroup_number)=1,INDEX(Calculations!DP:EU,MATCH(Subgroup_number,Calculations!DP:DP,0),6),IF(Subgroup_number=Calculations!EY$25,Calculations!EY$18,""))</f>
        <v/>
      </c>
      <c r="N53" s="30" t="str">
        <f>IF(COUNTIF(Calculations!DP:DP,Subgroup_number)=1,INDEX(Calculations!DP:EU,MATCH(Subgroup_number,Calculations!DP:DP,0),7),IF(Subgroup_number=Calculations!EY$25,Calculations!EY$19,""))</f>
        <v/>
      </c>
      <c r="O53" s="4" t="str">
        <f>IF(COUNTIF(Calculations!DP:DP,Subgroup_number)=1,INDEX(Calculations!DP:EU,MATCH(Subgroup_number,Calculations!DP:DP,0),9),IF(Subgroup_number=Calculations!EY$25,Calculations!EY$20,""))</f>
        <v/>
      </c>
      <c r="P53" s="4" t="str">
        <f>IF(COUNTIF(Calculations!DP:DP,Subgroup_number)=1,INDEX(Calculations!DP:EU,MATCH(Subgroup_number,Calculations!DP:DP,0),10),IF(Subgroup_number=Calculations!EY$25,Calculations!EY$21,""))</f>
        <v/>
      </c>
      <c r="Q5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3" s="182"/>
      <c r="U53" s="176"/>
      <c r="W53" s="176"/>
      <c r="Y53" s="176"/>
      <c r="AA53" s="176"/>
    </row>
    <row r="54" spans="1:27" x14ac:dyDescent="0.2">
      <c r="A54" s="31"/>
      <c r="F54" s="89">
        <v>53</v>
      </c>
      <c r="G5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4" s="4" t="str">
        <f>IF(COUNTIF(Calculations!DP:DP,Subgroup_number)=1,INDEX(Calculations!DP:EU,MATCH(Subgroup_number,Calculations!DP:DP,0),5),IF(Subgroup_number=Calculations!EY$25,Calculations!EY$17,""))</f>
        <v/>
      </c>
      <c r="M54" s="38" t="str">
        <f>IF(COUNTIF(Calculations!DP:DP,Subgroup_number)=1,INDEX(Calculations!DP:EU,MATCH(Subgroup_number,Calculations!DP:DP,0),6),IF(Subgroup_number=Calculations!EY$25,Calculations!EY$18,""))</f>
        <v/>
      </c>
      <c r="N54" s="30" t="str">
        <f>IF(COUNTIF(Calculations!DP:DP,Subgroup_number)=1,INDEX(Calculations!DP:EU,MATCH(Subgroup_number,Calculations!DP:DP,0),7),IF(Subgroup_number=Calculations!EY$25,Calculations!EY$19,""))</f>
        <v/>
      </c>
      <c r="O54" s="4" t="str">
        <f>IF(COUNTIF(Calculations!DP:DP,Subgroup_number)=1,INDEX(Calculations!DP:EU,MATCH(Subgroup_number,Calculations!DP:DP,0),9),IF(Subgroup_number=Calculations!EY$25,Calculations!EY$20,""))</f>
        <v/>
      </c>
      <c r="P54" s="4" t="str">
        <f>IF(COUNTIF(Calculations!DP:DP,Subgroup_number)=1,INDEX(Calculations!DP:EU,MATCH(Subgroup_number,Calculations!DP:DP,0),10),IF(Subgroup_number=Calculations!EY$25,Calculations!EY$21,""))</f>
        <v/>
      </c>
      <c r="Q5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4" s="182"/>
      <c r="U54" s="176"/>
      <c r="W54" s="176"/>
      <c r="Y54" s="176"/>
      <c r="AA54" s="176"/>
    </row>
    <row r="55" spans="1:27" x14ac:dyDescent="0.2">
      <c r="A55" s="31"/>
      <c r="F55" s="89">
        <v>54</v>
      </c>
      <c r="G5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5" s="4" t="str">
        <f>IF(COUNTIF(Calculations!DP:DP,Subgroup_number)=1,INDEX(Calculations!DP:EU,MATCH(Subgroup_number,Calculations!DP:DP,0),5),IF(Subgroup_number=Calculations!EY$25,Calculations!EY$17,""))</f>
        <v/>
      </c>
      <c r="M55" s="38" t="str">
        <f>IF(COUNTIF(Calculations!DP:DP,Subgroup_number)=1,INDEX(Calculations!DP:EU,MATCH(Subgroup_number,Calculations!DP:DP,0),6),IF(Subgroup_number=Calculations!EY$25,Calculations!EY$18,""))</f>
        <v/>
      </c>
      <c r="N55" s="30" t="str">
        <f>IF(COUNTIF(Calculations!DP:DP,Subgroup_number)=1,INDEX(Calculations!DP:EU,MATCH(Subgroup_number,Calculations!DP:DP,0),7),IF(Subgroup_number=Calculations!EY$25,Calculations!EY$19,""))</f>
        <v/>
      </c>
      <c r="O55" s="4" t="str">
        <f>IF(COUNTIF(Calculations!DP:DP,Subgroup_number)=1,INDEX(Calculations!DP:EU,MATCH(Subgroup_number,Calculations!DP:DP,0),9),IF(Subgroup_number=Calculations!EY$25,Calculations!EY$20,""))</f>
        <v/>
      </c>
      <c r="P55" s="4" t="str">
        <f>IF(COUNTIF(Calculations!DP:DP,Subgroup_number)=1,INDEX(Calculations!DP:EU,MATCH(Subgroup_number,Calculations!DP:DP,0),10),IF(Subgroup_number=Calculations!EY$25,Calculations!EY$21,""))</f>
        <v/>
      </c>
      <c r="Q5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5" s="182"/>
      <c r="U55" s="176"/>
      <c r="W55" s="176"/>
      <c r="Y55" s="176"/>
      <c r="AA55" s="176"/>
    </row>
    <row r="56" spans="1:27" x14ac:dyDescent="0.2">
      <c r="A56" s="31"/>
      <c r="F56" s="89">
        <v>55</v>
      </c>
      <c r="G5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6" s="4" t="str">
        <f>IF(COUNTIF(Calculations!DP:DP,Subgroup_number)=1,INDEX(Calculations!DP:EU,MATCH(Subgroup_number,Calculations!DP:DP,0),5),IF(Subgroup_number=Calculations!EY$25,Calculations!EY$17,""))</f>
        <v/>
      </c>
      <c r="M56" s="38" t="str">
        <f>IF(COUNTIF(Calculations!DP:DP,Subgroup_number)=1,INDEX(Calculations!DP:EU,MATCH(Subgroup_number,Calculations!DP:DP,0),6),IF(Subgroup_number=Calculations!EY$25,Calculations!EY$18,""))</f>
        <v/>
      </c>
      <c r="N56" s="30" t="str">
        <f>IF(COUNTIF(Calculations!DP:DP,Subgroup_number)=1,INDEX(Calculations!DP:EU,MATCH(Subgroup_number,Calculations!DP:DP,0),7),IF(Subgroup_number=Calculations!EY$25,Calculations!EY$19,""))</f>
        <v/>
      </c>
      <c r="O56" s="4" t="str">
        <f>IF(COUNTIF(Calculations!DP:DP,Subgroup_number)=1,INDEX(Calculations!DP:EU,MATCH(Subgroup_number,Calculations!DP:DP,0),9),IF(Subgroup_number=Calculations!EY$25,Calculations!EY$20,""))</f>
        <v/>
      </c>
      <c r="P56" s="4" t="str">
        <f>IF(COUNTIF(Calculations!DP:DP,Subgroup_number)=1,INDEX(Calculations!DP:EU,MATCH(Subgroup_number,Calculations!DP:DP,0),10),IF(Subgroup_number=Calculations!EY$25,Calculations!EY$21,""))</f>
        <v/>
      </c>
      <c r="Q5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6" s="182"/>
      <c r="U56" s="176"/>
      <c r="W56" s="176"/>
      <c r="Y56" s="176"/>
      <c r="AA56" s="176"/>
    </row>
    <row r="57" spans="1:27" x14ac:dyDescent="0.2">
      <c r="A57" s="31"/>
      <c r="F57" s="89">
        <v>56</v>
      </c>
      <c r="G5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7" s="4" t="str">
        <f>IF(COUNTIF(Calculations!DP:DP,Subgroup_number)=1,INDEX(Calculations!DP:EU,MATCH(Subgroup_number,Calculations!DP:DP,0),5),IF(Subgroup_number=Calculations!EY$25,Calculations!EY$17,""))</f>
        <v/>
      </c>
      <c r="M57" s="38" t="str">
        <f>IF(COUNTIF(Calculations!DP:DP,Subgroup_number)=1,INDEX(Calculations!DP:EU,MATCH(Subgroup_number,Calculations!DP:DP,0),6),IF(Subgroup_number=Calculations!EY$25,Calculations!EY$18,""))</f>
        <v/>
      </c>
      <c r="N57" s="30" t="str">
        <f>IF(COUNTIF(Calculations!DP:DP,Subgroup_number)=1,INDEX(Calculations!DP:EU,MATCH(Subgroup_number,Calculations!DP:DP,0),7),IF(Subgroup_number=Calculations!EY$25,Calculations!EY$19,""))</f>
        <v/>
      </c>
      <c r="O57" s="4" t="str">
        <f>IF(COUNTIF(Calculations!DP:DP,Subgroup_number)=1,INDEX(Calculations!DP:EU,MATCH(Subgroup_number,Calculations!DP:DP,0),9),IF(Subgroup_number=Calculations!EY$25,Calculations!EY$20,""))</f>
        <v/>
      </c>
      <c r="P57" s="4" t="str">
        <f>IF(COUNTIF(Calculations!DP:DP,Subgroup_number)=1,INDEX(Calculations!DP:EU,MATCH(Subgroup_number,Calculations!DP:DP,0),10),IF(Subgroup_number=Calculations!EY$25,Calculations!EY$21,""))</f>
        <v/>
      </c>
      <c r="Q5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7" s="182"/>
      <c r="U57" s="176"/>
      <c r="W57" s="176"/>
      <c r="Y57" s="176"/>
      <c r="AA57" s="176"/>
    </row>
    <row r="58" spans="1:27" x14ac:dyDescent="0.2">
      <c r="A58" s="31"/>
      <c r="F58" s="89">
        <v>57</v>
      </c>
      <c r="G5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8" s="4" t="str">
        <f>IF(COUNTIF(Calculations!DP:DP,Subgroup_number)=1,INDEX(Calculations!DP:EU,MATCH(Subgroup_number,Calculations!DP:DP,0),5),IF(Subgroup_number=Calculations!EY$25,Calculations!EY$17,""))</f>
        <v/>
      </c>
      <c r="M58" s="38" t="str">
        <f>IF(COUNTIF(Calculations!DP:DP,Subgroup_number)=1,INDEX(Calculations!DP:EU,MATCH(Subgroup_number,Calculations!DP:DP,0),6),IF(Subgroup_number=Calculations!EY$25,Calculations!EY$18,""))</f>
        <v/>
      </c>
      <c r="N58" s="30" t="str">
        <f>IF(COUNTIF(Calculations!DP:DP,Subgroup_number)=1,INDEX(Calculations!DP:EU,MATCH(Subgroup_number,Calculations!DP:DP,0),7),IF(Subgroup_number=Calculations!EY$25,Calculations!EY$19,""))</f>
        <v/>
      </c>
      <c r="O58" s="4" t="str">
        <f>IF(COUNTIF(Calculations!DP:DP,Subgroup_number)=1,INDEX(Calculations!DP:EU,MATCH(Subgroup_number,Calculations!DP:DP,0),9),IF(Subgroup_number=Calculations!EY$25,Calculations!EY$20,""))</f>
        <v/>
      </c>
      <c r="P58" s="4" t="str">
        <f>IF(COUNTIF(Calculations!DP:DP,Subgroup_number)=1,INDEX(Calculations!DP:EU,MATCH(Subgroup_number,Calculations!DP:DP,0),10),IF(Subgroup_number=Calculations!EY$25,Calculations!EY$21,""))</f>
        <v/>
      </c>
      <c r="Q5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8" s="182"/>
      <c r="U58" s="176"/>
      <c r="W58" s="176"/>
      <c r="Y58" s="176"/>
      <c r="AA58" s="176"/>
    </row>
    <row r="59" spans="1:27" x14ac:dyDescent="0.2">
      <c r="A59" s="31"/>
      <c r="F59" s="89">
        <v>58</v>
      </c>
      <c r="G5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5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5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5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5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59" s="4" t="str">
        <f>IF(COUNTIF(Calculations!DP:DP,Subgroup_number)=1,INDEX(Calculations!DP:EU,MATCH(Subgroup_number,Calculations!DP:DP,0),5),IF(Subgroup_number=Calculations!EY$25,Calculations!EY$17,""))</f>
        <v/>
      </c>
      <c r="M59" s="38" t="str">
        <f>IF(COUNTIF(Calculations!DP:DP,Subgroup_number)=1,INDEX(Calculations!DP:EU,MATCH(Subgroup_number,Calculations!DP:DP,0),6),IF(Subgroup_number=Calculations!EY$25,Calculations!EY$18,""))</f>
        <v/>
      </c>
      <c r="N59" s="30" t="str">
        <f>IF(COUNTIF(Calculations!DP:DP,Subgroup_number)=1,INDEX(Calculations!DP:EU,MATCH(Subgroup_number,Calculations!DP:DP,0),7),IF(Subgroup_number=Calculations!EY$25,Calculations!EY$19,""))</f>
        <v/>
      </c>
      <c r="O59" s="4" t="str">
        <f>IF(COUNTIF(Calculations!DP:DP,Subgroup_number)=1,INDEX(Calculations!DP:EU,MATCH(Subgroup_number,Calculations!DP:DP,0),9),IF(Subgroup_number=Calculations!EY$25,Calculations!EY$20,""))</f>
        <v/>
      </c>
      <c r="P59" s="4" t="str">
        <f>IF(COUNTIF(Calculations!DP:DP,Subgroup_number)=1,INDEX(Calculations!DP:EU,MATCH(Subgroup_number,Calculations!DP:DP,0),10),IF(Subgroup_number=Calculations!EY$25,Calculations!EY$21,""))</f>
        <v/>
      </c>
      <c r="Q5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5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59" s="182"/>
      <c r="U59" s="176"/>
      <c r="W59" s="176"/>
      <c r="Y59" s="176"/>
      <c r="AA59" s="176"/>
    </row>
    <row r="60" spans="1:27" x14ac:dyDescent="0.2">
      <c r="A60" s="31"/>
      <c r="F60" s="89">
        <v>59</v>
      </c>
      <c r="G6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0" s="4" t="str">
        <f>IF(COUNTIF(Calculations!DP:DP,Subgroup_number)=1,INDEX(Calculations!DP:EU,MATCH(Subgroup_number,Calculations!DP:DP,0),5),IF(Subgroup_number=Calculations!EY$25,Calculations!EY$17,""))</f>
        <v/>
      </c>
      <c r="M60" s="38" t="str">
        <f>IF(COUNTIF(Calculations!DP:DP,Subgroup_number)=1,INDEX(Calculations!DP:EU,MATCH(Subgroup_number,Calculations!DP:DP,0),6),IF(Subgroup_number=Calculations!EY$25,Calculations!EY$18,""))</f>
        <v/>
      </c>
      <c r="N60" s="30" t="str">
        <f>IF(COUNTIF(Calculations!DP:DP,Subgroup_number)=1,INDEX(Calculations!DP:EU,MATCH(Subgroup_number,Calculations!DP:DP,0),7),IF(Subgroup_number=Calculations!EY$25,Calculations!EY$19,""))</f>
        <v/>
      </c>
      <c r="O60" s="4" t="str">
        <f>IF(COUNTIF(Calculations!DP:DP,Subgroup_number)=1,INDEX(Calculations!DP:EU,MATCH(Subgroup_number,Calculations!DP:DP,0),9),IF(Subgroup_number=Calculations!EY$25,Calculations!EY$20,""))</f>
        <v/>
      </c>
      <c r="P60" s="4" t="str">
        <f>IF(COUNTIF(Calculations!DP:DP,Subgroup_number)=1,INDEX(Calculations!DP:EU,MATCH(Subgroup_number,Calculations!DP:DP,0),10),IF(Subgroup_number=Calculations!EY$25,Calculations!EY$21,""))</f>
        <v/>
      </c>
      <c r="Q6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0" s="182"/>
      <c r="U60" s="176"/>
      <c r="W60" s="176"/>
      <c r="Y60" s="176"/>
      <c r="AA60" s="176"/>
    </row>
    <row r="61" spans="1:27" x14ac:dyDescent="0.2">
      <c r="A61" s="31"/>
      <c r="F61" s="89">
        <v>60</v>
      </c>
      <c r="G6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1" s="4" t="str">
        <f>IF(COUNTIF(Calculations!DP:DP,Subgroup_number)=1,INDEX(Calculations!DP:EU,MATCH(Subgroup_number,Calculations!DP:DP,0),5),IF(Subgroup_number=Calculations!EY$25,Calculations!EY$17,""))</f>
        <v/>
      </c>
      <c r="M61" s="38" t="str">
        <f>IF(COUNTIF(Calculations!DP:DP,Subgroup_number)=1,INDEX(Calculations!DP:EU,MATCH(Subgroup_number,Calculations!DP:DP,0),6),IF(Subgroup_number=Calculations!EY$25,Calculations!EY$18,""))</f>
        <v/>
      </c>
      <c r="N61" s="30" t="str">
        <f>IF(COUNTIF(Calculations!DP:DP,Subgroup_number)=1,INDEX(Calculations!DP:EU,MATCH(Subgroup_number,Calculations!DP:DP,0),7),IF(Subgroup_number=Calculations!EY$25,Calculations!EY$19,""))</f>
        <v/>
      </c>
      <c r="O61" s="4" t="str">
        <f>IF(COUNTIF(Calculations!DP:DP,Subgroup_number)=1,INDEX(Calculations!DP:EU,MATCH(Subgroup_number,Calculations!DP:DP,0),9),IF(Subgroup_number=Calculations!EY$25,Calculations!EY$20,""))</f>
        <v/>
      </c>
      <c r="P61" s="4" t="str">
        <f>IF(COUNTIF(Calculations!DP:DP,Subgroup_number)=1,INDEX(Calculations!DP:EU,MATCH(Subgroup_number,Calculations!DP:DP,0),10),IF(Subgroup_number=Calculations!EY$25,Calculations!EY$21,""))</f>
        <v/>
      </c>
      <c r="Q6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1" s="182"/>
      <c r="U61" s="176"/>
      <c r="W61" s="176"/>
      <c r="Y61" s="176"/>
      <c r="AA61" s="176"/>
    </row>
    <row r="62" spans="1:27" x14ac:dyDescent="0.2">
      <c r="A62" s="31"/>
      <c r="F62" s="89">
        <v>61</v>
      </c>
      <c r="G6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2" s="4" t="str">
        <f>IF(COUNTIF(Calculations!DP:DP,Subgroup_number)=1,INDEX(Calculations!DP:EU,MATCH(Subgroup_number,Calculations!DP:DP,0),5),IF(Subgroup_number=Calculations!EY$25,Calculations!EY$17,""))</f>
        <v/>
      </c>
      <c r="M62" s="38" t="str">
        <f>IF(COUNTIF(Calculations!DP:DP,Subgroup_number)=1,INDEX(Calculations!DP:EU,MATCH(Subgroup_number,Calculations!DP:DP,0),6),IF(Subgroup_number=Calculations!EY$25,Calculations!EY$18,""))</f>
        <v/>
      </c>
      <c r="N62" s="30" t="str">
        <f>IF(COUNTIF(Calculations!DP:DP,Subgroup_number)=1,INDEX(Calculations!DP:EU,MATCH(Subgroup_number,Calculations!DP:DP,0),7),IF(Subgroup_number=Calculations!EY$25,Calculations!EY$19,""))</f>
        <v/>
      </c>
      <c r="O62" s="4" t="str">
        <f>IF(COUNTIF(Calculations!DP:DP,Subgroup_number)=1,INDEX(Calculations!DP:EU,MATCH(Subgroup_number,Calculations!DP:DP,0),9),IF(Subgroup_number=Calculations!EY$25,Calculations!EY$20,""))</f>
        <v/>
      </c>
      <c r="P62" s="4" t="str">
        <f>IF(COUNTIF(Calculations!DP:DP,Subgroup_number)=1,INDEX(Calculations!DP:EU,MATCH(Subgroup_number,Calculations!DP:DP,0),10),IF(Subgroup_number=Calculations!EY$25,Calculations!EY$21,""))</f>
        <v/>
      </c>
      <c r="Q6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2" s="182"/>
      <c r="U62" s="176"/>
      <c r="W62" s="176"/>
      <c r="Y62" s="176"/>
      <c r="AA62" s="176"/>
    </row>
    <row r="63" spans="1:27" x14ac:dyDescent="0.2">
      <c r="A63" s="31"/>
      <c r="F63" s="89">
        <v>62</v>
      </c>
      <c r="G6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3" s="4" t="str">
        <f>IF(COUNTIF(Calculations!DP:DP,Subgroup_number)=1,INDEX(Calculations!DP:EU,MATCH(Subgroup_number,Calculations!DP:DP,0),5),IF(Subgroup_number=Calculations!EY$25,Calculations!EY$17,""))</f>
        <v/>
      </c>
      <c r="M63" s="38" t="str">
        <f>IF(COUNTIF(Calculations!DP:DP,Subgroup_number)=1,INDEX(Calculations!DP:EU,MATCH(Subgroup_number,Calculations!DP:DP,0),6),IF(Subgroup_number=Calculations!EY$25,Calculations!EY$18,""))</f>
        <v/>
      </c>
      <c r="N63" s="30" t="str">
        <f>IF(COUNTIF(Calculations!DP:DP,Subgroup_number)=1,INDEX(Calculations!DP:EU,MATCH(Subgroup_number,Calculations!DP:DP,0),7),IF(Subgroup_number=Calculations!EY$25,Calculations!EY$19,""))</f>
        <v/>
      </c>
      <c r="O63" s="4" t="str">
        <f>IF(COUNTIF(Calculations!DP:DP,Subgroup_number)=1,INDEX(Calculations!DP:EU,MATCH(Subgroup_number,Calculations!DP:DP,0),9),IF(Subgroup_number=Calculations!EY$25,Calculations!EY$20,""))</f>
        <v/>
      </c>
      <c r="P63" s="4" t="str">
        <f>IF(COUNTIF(Calculations!DP:DP,Subgroup_number)=1,INDEX(Calculations!DP:EU,MATCH(Subgroup_number,Calculations!DP:DP,0),10),IF(Subgroup_number=Calculations!EY$25,Calculations!EY$21,""))</f>
        <v/>
      </c>
      <c r="Q6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3" s="182"/>
      <c r="U63" s="176"/>
      <c r="W63" s="176"/>
      <c r="Y63" s="176"/>
      <c r="AA63" s="176"/>
    </row>
    <row r="64" spans="1:27" x14ac:dyDescent="0.2">
      <c r="A64" s="31"/>
      <c r="F64" s="89">
        <v>63</v>
      </c>
      <c r="G6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4" s="4" t="str">
        <f>IF(COUNTIF(Calculations!DP:DP,Subgroup_number)=1,INDEX(Calculations!DP:EU,MATCH(Subgroup_number,Calculations!DP:DP,0),5),IF(Subgroup_number=Calculations!EY$25,Calculations!EY$17,""))</f>
        <v/>
      </c>
      <c r="M64" s="38" t="str">
        <f>IF(COUNTIF(Calculations!DP:DP,Subgroup_number)=1,INDEX(Calculations!DP:EU,MATCH(Subgroup_number,Calculations!DP:DP,0),6),IF(Subgroup_number=Calculations!EY$25,Calculations!EY$18,""))</f>
        <v/>
      </c>
      <c r="N64" s="30" t="str">
        <f>IF(COUNTIF(Calculations!DP:DP,Subgroup_number)=1,INDEX(Calculations!DP:EU,MATCH(Subgroup_number,Calculations!DP:DP,0),7),IF(Subgroup_number=Calculations!EY$25,Calculations!EY$19,""))</f>
        <v/>
      </c>
      <c r="O64" s="4" t="str">
        <f>IF(COUNTIF(Calculations!DP:DP,Subgroup_number)=1,INDEX(Calculations!DP:EU,MATCH(Subgroup_number,Calculations!DP:DP,0),9),IF(Subgroup_number=Calculations!EY$25,Calculations!EY$20,""))</f>
        <v/>
      </c>
      <c r="P64" s="4" t="str">
        <f>IF(COUNTIF(Calculations!DP:DP,Subgroup_number)=1,INDEX(Calculations!DP:EU,MATCH(Subgroup_number,Calculations!DP:DP,0),10),IF(Subgroup_number=Calculations!EY$25,Calculations!EY$21,""))</f>
        <v/>
      </c>
      <c r="Q6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4" s="182"/>
      <c r="U64" s="176"/>
      <c r="W64" s="176"/>
      <c r="Y64" s="176"/>
      <c r="AA64" s="176"/>
    </row>
    <row r="65" spans="1:27" x14ac:dyDescent="0.2">
      <c r="A65" s="31"/>
      <c r="F65" s="89">
        <v>64</v>
      </c>
      <c r="G6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5" s="4" t="str">
        <f>IF(COUNTIF(Calculations!DP:DP,Subgroup_number)=1,INDEX(Calculations!DP:EU,MATCH(Subgroup_number,Calculations!DP:DP,0),5),IF(Subgroup_number=Calculations!EY$25,Calculations!EY$17,""))</f>
        <v/>
      </c>
      <c r="M65" s="38" t="str">
        <f>IF(COUNTIF(Calculations!DP:DP,Subgroup_number)=1,INDEX(Calculations!DP:EU,MATCH(Subgroup_number,Calculations!DP:DP,0),6),IF(Subgroup_number=Calculations!EY$25,Calculations!EY$18,""))</f>
        <v/>
      </c>
      <c r="N65" s="30" t="str">
        <f>IF(COUNTIF(Calculations!DP:DP,Subgroup_number)=1,INDEX(Calculations!DP:EU,MATCH(Subgroup_number,Calculations!DP:DP,0),7),IF(Subgroup_number=Calculations!EY$25,Calculations!EY$19,""))</f>
        <v/>
      </c>
      <c r="O65" s="4" t="str">
        <f>IF(COUNTIF(Calculations!DP:DP,Subgroup_number)=1,INDEX(Calculations!DP:EU,MATCH(Subgroup_number,Calculations!DP:DP,0),9),IF(Subgroup_number=Calculations!EY$25,Calculations!EY$20,""))</f>
        <v/>
      </c>
      <c r="P65" s="4" t="str">
        <f>IF(COUNTIF(Calculations!DP:DP,Subgroup_number)=1,INDEX(Calculations!DP:EU,MATCH(Subgroup_number,Calculations!DP:DP,0),10),IF(Subgroup_number=Calculations!EY$25,Calculations!EY$21,""))</f>
        <v/>
      </c>
      <c r="Q6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5" s="182"/>
      <c r="U65" s="176"/>
      <c r="W65" s="176"/>
      <c r="Y65" s="176"/>
      <c r="AA65" s="176"/>
    </row>
    <row r="66" spans="1:27" x14ac:dyDescent="0.2">
      <c r="A66" s="31"/>
      <c r="F66" s="89">
        <v>65</v>
      </c>
      <c r="G6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6" s="4" t="str">
        <f>IF(COUNTIF(Calculations!DP:DP,Subgroup_number)=1,INDEX(Calculations!DP:EU,MATCH(Subgroup_number,Calculations!DP:DP,0),5),IF(Subgroup_number=Calculations!EY$25,Calculations!EY$17,""))</f>
        <v/>
      </c>
      <c r="M66" s="38" t="str">
        <f>IF(COUNTIF(Calculations!DP:DP,Subgroup_number)=1,INDEX(Calculations!DP:EU,MATCH(Subgroup_number,Calculations!DP:DP,0),6),IF(Subgroup_number=Calculations!EY$25,Calculations!EY$18,""))</f>
        <v/>
      </c>
      <c r="N66" s="30" t="str">
        <f>IF(COUNTIF(Calculations!DP:DP,Subgroup_number)=1,INDEX(Calculations!DP:EU,MATCH(Subgroup_number,Calculations!DP:DP,0),7),IF(Subgroup_number=Calculations!EY$25,Calculations!EY$19,""))</f>
        <v/>
      </c>
      <c r="O66" s="4" t="str">
        <f>IF(COUNTIF(Calculations!DP:DP,Subgroup_number)=1,INDEX(Calculations!DP:EU,MATCH(Subgroup_number,Calculations!DP:DP,0),9),IF(Subgroup_number=Calculations!EY$25,Calculations!EY$20,""))</f>
        <v/>
      </c>
      <c r="P66" s="4" t="str">
        <f>IF(COUNTIF(Calculations!DP:DP,Subgroup_number)=1,INDEX(Calculations!DP:EU,MATCH(Subgroup_number,Calculations!DP:DP,0),10),IF(Subgroup_number=Calculations!EY$25,Calculations!EY$21,""))</f>
        <v/>
      </c>
      <c r="Q6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6" s="182"/>
      <c r="U66" s="176"/>
      <c r="W66" s="176"/>
      <c r="Y66" s="176"/>
      <c r="AA66" s="176"/>
    </row>
    <row r="67" spans="1:27" x14ac:dyDescent="0.2">
      <c r="A67" s="31"/>
      <c r="F67" s="89">
        <v>66</v>
      </c>
      <c r="G6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7" s="4" t="str">
        <f>IF(COUNTIF(Calculations!DP:DP,Subgroup_number)=1,INDEX(Calculations!DP:EU,MATCH(Subgroup_number,Calculations!DP:DP,0),5),IF(Subgroup_number=Calculations!EY$25,Calculations!EY$17,""))</f>
        <v/>
      </c>
      <c r="M67" s="38" t="str">
        <f>IF(COUNTIF(Calculations!DP:DP,Subgroup_number)=1,INDEX(Calculations!DP:EU,MATCH(Subgroup_number,Calculations!DP:DP,0),6),IF(Subgroup_number=Calculations!EY$25,Calculations!EY$18,""))</f>
        <v/>
      </c>
      <c r="N67" s="30" t="str">
        <f>IF(COUNTIF(Calculations!DP:DP,Subgroup_number)=1,INDEX(Calculations!DP:EU,MATCH(Subgroup_number,Calculations!DP:DP,0),7),IF(Subgroup_number=Calculations!EY$25,Calculations!EY$19,""))</f>
        <v/>
      </c>
      <c r="O67" s="4" t="str">
        <f>IF(COUNTIF(Calculations!DP:DP,Subgroup_number)=1,INDEX(Calculations!DP:EU,MATCH(Subgroup_number,Calculations!DP:DP,0),9),IF(Subgroup_number=Calculations!EY$25,Calculations!EY$20,""))</f>
        <v/>
      </c>
      <c r="P67" s="4" t="str">
        <f>IF(COUNTIF(Calculations!DP:DP,Subgroup_number)=1,INDEX(Calculations!DP:EU,MATCH(Subgroup_number,Calculations!DP:DP,0),10),IF(Subgroup_number=Calculations!EY$25,Calculations!EY$21,""))</f>
        <v/>
      </c>
      <c r="Q6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7" s="182"/>
      <c r="U67" s="176"/>
      <c r="W67" s="176"/>
      <c r="Y67" s="176"/>
      <c r="AA67" s="176"/>
    </row>
    <row r="68" spans="1:27" x14ac:dyDescent="0.2">
      <c r="A68" s="31"/>
      <c r="F68" s="89">
        <v>67</v>
      </c>
      <c r="G6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8" s="4" t="str">
        <f>IF(COUNTIF(Calculations!DP:DP,Subgroup_number)=1,INDEX(Calculations!DP:EU,MATCH(Subgroup_number,Calculations!DP:DP,0),5),IF(Subgroup_number=Calculations!EY$25,Calculations!EY$17,""))</f>
        <v/>
      </c>
      <c r="M68" s="38" t="str">
        <f>IF(COUNTIF(Calculations!DP:DP,Subgroup_number)=1,INDEX(Calculations!DP:EU,MATCH(Subgroup_number,Calculations!DP:DP,0),6),IF(Subgroup_number=Calculations!EY$25,Calculations!EY$18,""))</f>
        <v/>
      </c>
      <c r="N68" s="30" t="str">
        <f>IF(COUNTIF(Calculations!DP:DP,Subgroup_number)=1,INDEX(Calculations!DP:EU,MATCH(Subgroup_number,Calculations!DP:DP,0),7),IF(Subgroup_number=Calculations!EY$25,Calculations!EY$19,""))</f>
        <v/>
      </c>
      <c r="O68" s="4" t="str">
        <f>IF(COUNTIF(Calculations!DP:DP,Subgroup_number)=1,INDEX(Calculations!DP:EU,MATCH(Subgroup_number,Calculations!DP:DP,0),9),IF(Subgroup_number=Calculations!EY$25,Calculations!EY$20,""))</f>
        <v/>
      </c>
      <c r="P68" s="4" t="str">
        <f>IF(COUNTIF(Calculations!DP:DP,Subgroup_number)=1,INDEX(Calculations!DP:EU,MATCH(Subgroup_number,Calculations!DP:DP,0),10),IF(Subgroup_number=Calculations!EY$25,Calculations!EY$21,""))</f>
        <v/>
      </c>
      <c r="Q6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8" s="182"/>
      <c r="U68" s="176"/>
      <c r="W68" s="176"/>
      <c r="Y68" s="176"/>
      <c r="AA68" s="176"/>
    </row>
    <row r="69" spans="1:27" x14ac:dyDescent="0.2">
      <c r="A69" s="31"/>
      <c r="F69" s="89">
        <v>68</v>
      </c>
      <c r="G6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6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6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6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6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69" s="4" t="str">
        <f>IF(COUNTIF(Calculations!DP:DP,Subgroup_number)=1,INDEX(Calculations!DP:EU,MATCH(Subgroup_number,Calculations!DP:DP,0),5),IF(Subgroup_number=Calculations!EY$25,Calculations!EY$17,""))</f>
        <v/>
      </c>
      <c r="M69" s="38" t="str">
        <f>IF(COUNTIF(Calculations!DP:DP,Subgroup_number)=1,INDEX(Calculations!DP:EU,MATCH(Subgroup_number,Calculations!DP:DP,0),6),IF(Subgroup_number=Calculations!EY$25,Calculations!EY$18,""))</f>
        <v/>
      </c>
      <c r="N69" s="30" t="str">
        <f>IF(COUNTIF(Calculations!DP:DP,Subgroup_number)=1,INDEX(Calculations!DP:EU,MATCH(Subgroup_number,Calculations!DP:DP,0),7),IF(Subgroup_number=Calculations!EY$25,Calculations!EY$19,""))</f>
        <v/>
      </c>
      <c r="O69" s="4" t="str">
        <f>IF(COUNTIF(Calculations!DP:DP,Subgroup_number)=1,INDEX(Calculations!DP:EU,MATCH(Subgroup_number,Calculations!DP:DP,0),9),IF(Subgroup_number=Calculations!EY$25,Calculations!EY$20,""))</f>
        <v/>
      </c>
      <c r="P69" s="4" t="str">
        <f>IF(COUNTIF(Calculations!DP:DP,Subgroup_number)=1,INDEX(Calculations!DP:EU,MATCH(Subgroup_number,Calculations!DP:DP,0),10),IF(Subgroup_number=Calculations!EY$25,Calculations!EY$21,""))</f>
        <v/>
      </c>
      <c r="Q6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6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69" s="182"/>
      <c r="U69" s="176"/>
      <c r="W69" s="176"/>
      <c r="Y69" s="176"/>
      <c r="AA69" s="176"/>
    </row>
    <row r="70" spans="1:27" x14ac:dyDescent="0.2">
      <c r="A70" s="31"/>
      <c r="F70" s="89">
        <v>69</v>
      </c>
      <c r="G7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0" s="4" t="str">
        <f>IF(COUNTIF(Calculations!DP:DP,Subgroup_number)=1,INDEX(Calculations!DP:EU,MATCH(Subgroup_number,Calculations!DP:DP,0),5),IF(Subgroup_number=Calculations!EY$25,Calculations!EY$17,""))</f>
        <v/>
      </c>
      <c r="M70" s="38" t="str">
        <f>IF(COUNTIF(Calculations!DP:DP,Subgroup_number)=1,INDEX(Calculations!DP:EU,MATCH(Subgroup_number,Calculations!DP:DP,0),6),IF(Subgroup_number=Calculations!EY$25,Calculations!EY$18,""))</f>
        <v/>
      </c>
      <c r="N70" s="30" t="str">
        <f>IF(COUNTIF(Calculations!DP:DP,Subgroup_number)=1,INDEX(Calculations!DP:EU,MATCH(Subgroup_number,Calculations!DP:DP,0),7),IF(Subgroup_number=Calculations!EY$25,Calculations!EY$19,""))</f>
        <v/>
      </c>
      <c r="O70" s="4" t="str">
        <f>IF(COUNTIF(Calculations!DP:DP,Subgroup_number)=1,INDEX(Calculations!DP:EU,MATCH(Subgroup_number,Calculations!DP:DP,0),9),IF(Subgroup_number=Calculations!EY$25,Calculations!EY$20,""))</f>
        <v/>
      </c>
      <c r="P70" s="4" t="str">
        <f>IF(COUNTIF(Calculations!DP:DP,Subgroup_number)=1,INDEX(Calculations!DP:EU,MATCH(Subgroup_number,Calculations!DP:DP,0),10),IF(Subgroup_number=Calculations!EY$25,Calculations!EY$21,""))</f>
        <v/>
      </c>
      <c r="Q7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0" s="182"/>
      <c r="U70" s="176"/>
      <c r="W70" s="176"/>
      <c r="Y70" s="176"/>
      <c r="AA70" s="176"/>
    </row>
    <row r="71" spans="1:27" x14ac:dyDescent="0.2">
      <c r="A71" s="31"/>
      <c r="F71" s="89">
        <v>70</v>
      </c>
      <c r="G7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1" s="4" t="str">
        <f>IF(COUNTIF(Calculations!DP:DP,Subgroup_number)=1,INDEX(Calculations!DP:EU,MATCH(Subgroup_number,Calculations!DP:DP,0),5),IF(Subgroup_number=Calculations!EY$25,Calculations!EY$17,""))</f>
        <v/>
      </c>
      <c r="M71" s="38" t="str">
        <f>IF(COUNTIF(Calculations!DP:DP,Subgroup_number)=1,INDEX(Calculations!DP:EU,MATCH(Subgroup_number,Calculations!DP:DP,0),6),IF(Subgroup_number=Calculations!EY$25,Calculations!EY$18,""))</f>
        <v/>
      </c>
      <c r="N71" s="30" t="str">
        <f>IF(COUNTIF(Calculations!DP:DP,Subgroup_number)=1,INDEX(Calculations!DP:EU,MATCH(Subgroup_number,Calculations!DP:DP,0),7),IF(Subgroup_number=Calculations!EY$25,Calculations!EY$19,""))</f>
        <v/>
      </c>
      <c r="O71" s="4" t="str">
        <f>IF(COUNTIF(Calculations!DP:DP,Subgroup_number)=1,INDEX(Calculations!DP:EU,MATCH(Subgroup_number,Calculations!DP:DP,0),9),IF(Subgroup_number=Calculations!EY$25,Calculations!EY$20,""))</f>
        <v/>
      </c>
      <c r="P71" s="4" t="str">
        <f>IF(COUNTIF(Calculations!DP:DP,Subgroup_number)=1,INDEX(Calculations!DP:EU,MATCH(Subgroup_number,Calculations!DP:DP,0),10),IF(Subgroup_number=Calculations!EY$25,Calculations!EY$21,""))</f>
        <v/>
      </c>
      <c r="Q7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1" s="182"/>
      <c r="U71" s="176"/>
      <c r="W71" s="176"/>
      <c r="Y71" s="176"/>
      <c r="AA71" s="176"/>
    </row>
    <row r="72" spans="1:27" x14ac:dyDescent="0.2">
      <c r="A72" s="31"/>
      <c r="F72" s="89">
        <v>71</v>
      </c>
      <c r="G7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2" s="4" t="str">
        <f>IF(COUNTIF(Calculations!DP:DP,Subgroup_number)=1,INDEX(Calculations!DP:EU,MATCH(Subgroup_number,Calculations!DP:DP,0),5),IF(Subgroup_number=Calculations!EY$25,Calculations!EY$17,""))</f>
        <v/>
      </c>
      <c r="M72" s="38" t="str">
        <f>IF(COUNTIF(Calculations!DP:DP,Subgroup_number)=1,INDEX(Calculations!DP:EU,MATCH(Subgroup_number,Calculations!DP:DP,0),6),IF(Subgroup_number=Calculations!EY$25,Calculations!EY$18,""))</f>
        <v/>
      </c>
      <c r="N72" s="30" t="str">
        <f>IF(COUNTIF(Calculations!DP:DP,Subgroup_number)=1,INDEX(Calculations!DP:EU,MATCH(Subgroup_number,Calculations!DP:DP,0),7),IF(Subgroup_number=Calculations!EY$25,Calculations!EY$19,""))</f>
        <v/>
      </c>
      <c r="O72" s="4" t="str">
        <f>IF(COUNTIF(Calculations!DP:DP,Subgroup_number)=1,INDEX(Calculations!DP:EU,MATCH(Subgroup_number,Calculations!DP:DP,0),9),IF(Subgroup_number=Calculations!EY$25,Calculations!EY$20,""))</f>
        <v/>
      </c>
      <c r="P72" s="4" t="str">
        <f>IF(COUNTIF(Calculations!DP:DP,Subgroup_number)=1,INDEX(Calculations!DP:EU,MATCH(Subgroup_number,Calculations!DP:DP,0),10),IF(Subgroup_number=Calculations!EY$25,Calculations!EY$21,""))</f>
        <v/>
      </c>
      <c r="Q7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2" s="182"/>
      <c r="U72" s="176"/>
      <c r="W72" s="176"/>
      <c r="Y72" s="176"/>
      <c r="AA72" s="176"/>
    </row>
    <row r="73" spans="1:27" x14ac:dyDescent="0.2">
      <c r="A73" s="31"/>
      <c r="F73" s="89">
        <v>72</v>
      </c>
      <c r="G7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3" s="4" t="str">
        <f>IF(COUNTIF(Calculations!DP:DP,Subgroup_number)=1,INDEX(Calculations!DP:EU,MATCH(Subgroup_number,Calculations!DP:DP,0),5),IF(Subgroup_number=Calculations!EY$25,Calculations!EY$17,""))</f>
        <v/>
      </c>
      <c r="M73" s="38" t="str">
        <f>IF(COUNTIF(Calculations!DP:DP,Subgroup_number)=1,INDEX(Calculations!DP:EU,MATCH(Subgroup_number,Calculations!DP:DP,0),6),IF(Subgroup_number=Calculations!EY$25,Calculations!EY$18,""))</f>
        <v/>
      </c>
      <c r="N73" s="30" t="str">
        <f>IF(COUNTIF(Calculations!DP:DP,Subgroup_number)=1,INDEX(Calculations!DP:EU,MATCH(Subgroup_number,Calculations!DP:DP,0),7),IF(Subgroup_number=Calculations!EY$25,Calculations!EY$19,""))</f>
        <v/>
      </c>
      <c r="O73" s="4" t="str">
        <f>IF(COUNTIF(Calculations!DP:DP,Subgroup_number)=1,INDEX(Calculations!DP:EU,MATCH(Subgroup_number,Calculations!DP:DP,0),9),IF(Subgroup_number=Calculations!EY$25,Calculations!EY$20,""))</f>
        <v/>
      </c>
      <c r="P73" s="4" t="str">
        <f>IF(COUNTIF(Calculations!DP:DP,Subgroup_number)=1,INDEX(Calculations!DP:EU,MATCH(Subgroup_number,Calculations!DP:DP,0),10),IF(Subgroup_number=Calculations!EY$25,Calculations!EY$21,""))</f>
        <v/>
      </c>
      <c r="Q7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3" s="182"/>
      <c r="U73" s="176"/>
      <c r="W73" s="176"/>
      <c r="Y73" s="176"/>
      <c r="AA73" s="176"/>
    </row>
    <row r="74" spans="1:27" x14ac:dyDescent="0.2">
      <c r="A74" s="31"/>
      <c r="F74" s="89">
        <v>73</v>
      </c>
      <c r="G7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4" s="4" t="str">
        <f>IF(COUNTIF(Calculations!DP:DP,Subgroup_number)=1,INDEX(Calculations!DP:EU,MATCH(Subgroup_number,Calculations!DP:DP,0),5),IF(Subgroup_number=Calculations!EY$25,Calculations!EY$17,""))</f>
        <v/>
      </c>
      <c r="M74" s="38" t="str">
        <f>IF(COUNTIF(Calculations!DP:DP,Subgroup_number)=1,INDEX(Calculations!DP:EU,MATCH(Subgroup_number,Calculations!DP:DP,0),6),IF(Subgroup_number=Calculations!EY$25,Calculations!EY$18,""))</f>
        <v/>
      </c>
      <c r="N74" s="30" t="str">
        <f>IF(COUNTIF(Calculations!DP:DP,Subgroup_number)=1,INDEX(Calculations!DP:EU,MATCH(Subgroup_number,Calculations!DP:DP,0),7),IF(Subgroup_number=Calculations!EY$25,Calculations!EY$19,""))</f>
        <v/>
      </c>
      <c r="O74" s="4" t="str">
        <f>IF(COUNTIF(Calculations!DP:DP,Subgroup_number)=1,INDEX(Calculations!DP:EU,MATCH(Subgroup_number,Calculations!DP:DP,0),9),IF(Subgroup_number=Calculations!EY$25,Calculations!EY$20,""))</f>
        <v/>
      </c>
      <c r="P74" s="4" t="str">
        <f>IF(COUNTIF(Calculations!DP:DP,Subgroup_number)=1,INDEX(Calculations!DP:EU,MATCH(Subgroup_number,Calculations!DP:DP,0),10),IF(Subgroup_number=Calculations!EY$25,Calculations!EY$21,""))</f>
        <v/>
      </c>
      <c r="Q7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4" s="182"/>
      <c r="U74" s="176"/>
      <c r="W74" s="176"/>
      <c r="Y74" s="176"/>
      <c r="AA74" s="176"/>
    </row>
    <row r="75" spans="1:27" x14ac:dyDescent="0.2">
      <c r="A75" s="31"/>
      <c r="F75" s="89">
        <v>74</v>
      </c>
      <c r="G7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5" s="4" t="str">
        <f>IF(COUNTIF(Calculations!DP:DP,Subgroup_number)=1,INDEX(Calculations!DP:EU,MATCH(Subgroup_number,Calculations!DP:DP,0),5),IF(Subgroup_number=Calculations!EY$25,Calculations!EY$17,""))</f>
        <v/>
      </c>
      <c r="M75" s="38" t="str">
        <f>IF(COUNTIF(Calculations!DP:DP,Subgroup_number)=1,INDEX(Calculations!DP:EU,MATCH(Subgroup_number,Calculations!DP:DP,0),6),IF(Subgroup_number=Calculations!EY$25,Calculations!EY$18,""))</f>
        <v/>
      </c>
      <c r="N75" s="30" t="str">
        <f>IF(COUNTIF(Calculations!DP:DP,Subgroup_number)=1,INDEX(Calculations!DP:EU,MATCH(Subgroup_number,Calculations!DP:DP,0),7),IF(Subgroup_number=Calculations!EY$25,Calculations!EY$19,""))</f>
        <v/>
      </c>
      <c r="O75" s="4" t="str">
        <f>IF(COUNTIF(Calculations!DP:DP,Subgroup_number)=1,INDEX(Calculations!DP:EU,MATCH(Subgroup_number,Calculations!DP:DP,0),9),IF(Subgroup_number=Calculations!EY$25,Calculations!EY$20,""))</f>
        <v/>
      </c>
      <c r="P75" s="4" t="str">
        <f>IF(COUNTIF(Calculations!DP:DP,Subgroup_number)=1,INDEX(Calculations!DP:EU,MATCH(Subgroup_number,Calculations!DP:DP,0),10),IF(Subgroup_number=Calculations!EY$25,Calculations!EY$21,""))</f>
        <v/>
      </c>
      <c r="Q7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5" s="182"/>
      <c r="U75" s="176"/>
      <c r="W75" s="176"/>
      <c r="Y75" s="176"/>
      <c r="AA75" s="176"/>
    </row>
    <row r="76" spans="1:27" x14ac:dyDescent="0.2">
      <c r="A76" s="31"/>
      <c r="F76" s="89">
        <v>75</v>
      </c>
      <c r="G7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6" s="4" t="str">
        <f>IF(COUNTIF(Calculations!DP:DP,Subgroup_number)=1,INDEX(Calculations!DP:EU,MATCH(Subgroup_number,Calculations!DP:DP,0),5),IF(Subgroup_number=Calculations!EY$25,Calculations!EY$17,""))</f>
        <v/>
      </c>
      <c r="M76" s="38" t="str">
        <f>IF(COUNTIF(Calculations!DP:DP,Subgroup_number)=1,INDEX(Calculations!DP:EU,MATCH(Subgroup_number,Calculations!DP:DP,0),6),IF(Subgroup_number=Calculations!EY$25,Calculations!EY$18,""))</f>
        <v/>
      </c>
      <c r="N76" s="30" t="str">
        <f>IF(COUNTIF(Calculations!DP:DP,Subgroup_number)=1,INDEX(Calculations!DP:EU,MATCH(Subgroup_number,Calculations!DP:DP,0),7),IF(Subgroup_number=Calculations!EY$25,Calculations!EY$19,""))</f>
        <v/>
      </c>
      <c r="O76" s="4" t="str">
        <f>IF(COUNTIF(Calculations!DP:DP,Subgroup_number)=1,INDEX(Calculations!DP:EU,MATCH(Subgroup_number,Calculations!DP:DP,0),9),IF(Subgroup_number=Calculations!EY$25,Calculations!EY$20,""))</f>
        <v/>
      </c>
      <c r="P76" s="4" t="str">
        <f>IF(COUNTIF(Calculations!DP:DP,Subgroup_number)=1,INDEX(Calculations!DP:EU,MATCH(Subgroup_number,Calculations!DP:DP,0),10),IF(Subgroup_number=Calculations!EY$25,Calculations!EY$21,""))</f>
        <v/>
      </c>
      <c r="Q7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6" s="182"/>
      <c r="U76" s="176"/>
      <c r="W76" s="176"/>
      <c r="Y76" s="176"/>
      <c r="AA76" s="176"/>
    </row>
    <row r="77" spans="1:27" x14ac:dyDescent="0.2">
      <c r="A77" s="31"/>
      <c r="F77" s="89">
        <v>76</v>
      </c>
      <c r="G7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7" s="4" t="str">
        <f>IF(COUNTIF(Calculations!DP:DP,Subgroup_number)=1,INDEX(Calculations!DP:EU,MATCH(Subgroup_number,Calculations!DP:DP,0),5),IF(Subgroup_number=Calculations!EY$25,Calculations!EY$17,""))</f>
        <v/>
      </c>
      <c r="M77" s="38" t="str">
        <f>IF(COUNTIF(Calculations!DP:DP,Subgroup_number)=1,INDEX(Calculations!DP:EU,MATCH(Subgroup_number,Calculations!DP:DP,0),6),IF(Subgroup_number=Calculations!EY$25,Calculations!EY$18,""))</f>
        <v/>
      </c>
      <c r="N77" s="30" t="str">
        <f>IF(COUNTIF(Calculations!DP:DP,Subgroup_number)=1,INDEX(Calculations!DP:EU,MATCH(Subgroup_number,Calculations!DP:DP,0),7),IF(Subgroup_number=Calculations!EY$25,Calculations!EY$19,""))</f>
        <v/>
      </c>
      <c r="O77" s="4" t="str">
        <f>IF(COUNTIF(Calculations!DP:DP,Subgroup_number)=1,INDEX(Calculations!DP:EU,MATCH(Subgroup_number,Calculations!DP:DP,0),9),IF(Subgroup_number=Calculations!EY$25,Calculations!EY$20,""))</f>
        <v/>
      </c>
      <c r="P77" s="4" t="str">
        <f>IF(COUNTIF(Calculations!DP:DP,Subgroup_number)=1,INDEX(Calculations!DP:EU,MATCH(Subgroup_number,Calculations!DP:DP,0),10),IF(Subgroup_number=Calculations!EY$25,Calculations!EY$21,""))</f>
        <v/>
      </c>
      <c r="Q7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7" s="182"/>
      <c r="U77" s="176"/>
      <c r="W77" s="176"/>
      <c r="Y77" s="176"/>
      <c r="AA77" s="176"/>
    </row>
    <row r="78" spans="1:27" x14ac:dyDescent="0.2">
      <c r="F78" s="89">
        <v>77</v>
      </c>
      <c r="G7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8" s="4" t="str">
        <f>IF(COUNTIF(Calculations!DP:DP,Subgroup_number)=1,INDEX(Calculations!DP:EU,MATCH(Subgroup_number,Calculations!DP:DP,0),5),IF(Subgroup_number=Calculations!EY$25,Calculations!EY$17,""))</f>
        <v/>
      </c>
      <c r="M78" s="38" t="str">
        <f>IF(COUNTIF(Calculations!DP:DP,Subgroup_number)=1,INDEX(Calculations!DP:EU,MATCH(Subgroup_number,Calculations!DP:DP,0),6),IF(Subgroup_number=Calculations!EY$25,Calculations!EY$18,""))</f>
        <v/>
      </c>
      <c r="N78" s="30" t="str">
        <f>IF(COUNTIF(Calculations!DP:DP,Subgroup_number)=1,INDEX(Calculations!DP:EU,MATCH(Subgroup_number,Calculations!DP:DP,0),7),IF(Subgroup_number=Calculations!EY$25,Calculations!EY$19,""))</f>
        <v/>
      </c>
      <c r="O78" s="4" t="str">
        <f>IF(COUNTIF(Calculations!DP:DP,Subgroup_number)=1,INDEX(Calculations!DP:EU,MATCH(Subgroup_number,Calculations!DP:DP,0),9),IF(Subgroup_number=Calculations!EY$25,Calculations!EY$20,""))</f>
        <v/>
      </c>
      <c r="P78" s="4" t="str">
        <f>IF(COUNTIF(Calculations!DP:DP,Subgroup_number)=1,INDEX(Calculations!DP:EU,MATCH(Subgroup_number,Calculations!DP:DP,0),10),IF(Subgroup_number=Calculations!EY$25,Calculations!EY$21,""))</f>
        <v/>
      </c>
      <c r="Q7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8" s="182"/>
      <c r="U78" s="176"/>
      <c r="W78" s="176"/>
      <c r="Y78" s="176"/>
      <c r="AA78" s="176"/>
    </row>
    <row r="79" spans="1:27" x14ac:dyDescent="0.2">
      <c r="F79" s="89">
        <v>78</v>
      </c>
      <c r="G7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7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7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7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7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79" s="4" t="str">
        <f>IF(COUNTIF(Calculations!DP:DP,Subgroup_number)=1,INDEX(Calculations!DP:EU,MATCH(Subgroup_number,Calculations!DP:DP,0),5),IF(Subgroup_number=Calculations!EY$25,Calculations!EY$17,""))</f>
        <v/>
      </c>
      <c r="M79" s="38" t="str">
        <f>IF(COUNTIF(Calculations!DP:DP,Subgroup_number)=1,INDEX(Calculations!DP:EU,MATCH(Subgroup_number,Calculations!DP:DP,0),6),IF(Subgroup_number=Calculations!EY$25,Calculations!EY$18,""))</f>
        <v/>
      </c>
      <c r="N79" s="30" t="str">
        <f>IF(COUNTIF(Calculations!DP:DP,Subgroup_number)=1,INDEX(Calculations!DP:EU,MATCH(Subgroup_number,Calculations!DP:DP,0),7),IF(Subgroup_number=Calculations!EY$25,Calculations!EY$19,""))</f>
        <v/>
      </c>
      <c r="O79" s="4" t="str">
        <f>IF(COUNTIF(Calculations!DP:DP,Subgroup_number)=1,INDEX(Calculations!DP:EU,MATCH(Subgroup_number,Calculations!DP:DP,0),9),IF(Subgroup_number=Calculations!EY$25,Calculations!EY$20,""))</f>
        <v/>
      </c>
      <c r="P79" s="4" t="str">
        <f>IF(COUNTIF(Calculations!DP:DP,Subgroup_number)=1,INDEX(Calculations!DP:EU,MATCH(Subgroup_number,Calculations!DP:DP,0),10),IF(Subgroup_number=Calculations!EY$25,Calculations!EY$21,""))</f>
        <v/>
      </c>
      <c r="Q7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7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79" s="182"/>
      <c r="U79" s="176"/>
      <c r="W79" s="176"/>
      <c r="Y79" s="176"/>
      <c r="AA79" s="176"/>
    </row>
    <row r="80" spans="1:27" x14ac:dyDescent="0.2">
      <c r="F80" s="89">
        <v>79</v>
      </c>
      <c r="G8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0" s="4" t="str">
        <f>IF(COUNTIF(Calculations!DP:DP,Subgroup_number)=1,INDEX(Calculations!DP:EU,MATCH(Subgroup_number,Calculations!DP:DP,0),5),IF(Subgroup_number=Calculations!EY$25,Calculations!EY$17,""))</f>
        <v/>
      </c>
      <c r="M80" s="38" t="str">
        <f>IF(COUNTIF(Calculations!DP:DP,Subgroup_number)=1,INDEX(Calculations!DP:EU,MATCH(Subgroup_number,Calculations!DP:DP,0),6),IF(Subgroup_number=Calculations!EY$25,Calculations!EY$18,""))</f>
        <v/>
      </c>
      <c r="N80" s="30" t="str">
        <f>IF(COUNTIF(Calculations!DP:DP,Subgroup_number)=1,INDEX(Calculations!DP:EU,MATCH(Subgroup_number,Calculations!DP:DP,0),7),IF(Subgroup_number=Calculations!EY$25,Calculations!EY$19,""))</f>
        <v/>
      </c>
      <c r="O80" s="4" t="str">
        <f>IF(COUNTIF(Calculations!DP:DP,Subgroup_number)=1,INDEX(Calculations!DP:EU,MATCH(Subgroup_number,Calculations!DP:DP,0),9),IF(Subgroup_number=Calculations!EY$25,Calculations!EY$20,""))</f>
        <v/>
      </c>
      <c r="P80" s="4" t="str">
        <f>IF(COUNTIF(Calculations!DP:DP,Subgroup_number)=1,INDEX(Calculations!DP:EU,MATCH(Subgroup_number,Calculations!DP:DP,0),10),IF(Subgroup_number=Calculations!EY$25,Calculations!EY$21,""))</f>
        <v/>
      </c>
      <c r="Q8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0" s="182"/>
      <c r="U80" s="176"/>
      <c r="W80" s="176"/>
      <c r="Y80" s="176"/>
      <c r="AA80" s="176"/>
    </row>
    <row r="81" spans="6:27" x14ac:dyDescent="0.2">
      <c r="F81" s="89">
        <v>80</v>
      </c>
      <c r="G8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1" s="4" t="str">
        <f>IF(COUNTIF(Calculations!DP:DP,Subgroup_number)=1,INDEX(Calculations!DP:EU,MATCH(Subgroup_number,Calculations!DP:DP,0),5),IF(Subgroup_number=Calculations!EY$25,Calculations!EY$17,""))</f>
        <v/>
      </c>
      <c r="M81" s="38" t="str">
        <f>IF(COUNTIF(Calculations!DP:DP,Subgroup_number)=1,INDEX(Calculations!DP:EU,MATCH(Subgroup_number,Calculations!DP:DP,0),6),IF(Subgroup_number=Calculations!EY$25,Calculations!EY$18,""))</f>
        <v/>
      </c>
      <c r="N81" s="30" t="str">
        <f>IF(COUNTIF(Calculations!DP:DP,Subgroup_number)=1,INDEX(Calculations!DP:EU,MATCH(Subgroup_number,Calculations!DP:DP,0),7),IF(Subgroup_number=Calculations!EY$25,Calculations!EY$19,""))</f>
        <v/>
      </c>
      <c r="O81" s="4" t="str">
        <f>IF(COUNTIF(Calculations!DP:DP,Subgroup_number)=1,INDEX(Calculations!DP:EU,MATCH(Subgroup_number,Calculations!DP:DP,0),9),IF(Subgroup_number=Calculations!EY$25,Calculations!EY$20,""))</f>
        <v/>
      </c>
      <c r="P81" s="4" t="str">
        <f>IF(COUNTIF(Calculations!DP:DP,Subgroup_number)=1,INDEX(Calculations!DP:EU,MATCH(Subgroup_number,Calculations!DP:DP,0),10),IF(Subgroup_number=Calculations!EY$25,Calculations!EY$21,""))</f>
        <v/>
      </c>
      <c r="Q8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1" s="182"/>
      <c r="U81" s="176"/>
      <c r="W81" s="176"/>
      <c r="Y81" s="176"/>
      <c r="AA81" s="176"/>
    </row>
    <row r="82" spans="6:27" x14ac:dyDescent="0.2">
      <c r="F82" s="89">
        <v>81</v>
      </c>
      <c r="G8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2" s="4" t="str">
        <f>IF(COUNTIF(Calculations!DP:DP,Subgroup_number)=1,INDEX(Calculations!DP:EU,MATCH(Subgroup_number,Calculations!DP:DP,0),5),IF(Subgroup_number=Calculations!EY$25,Calculations!EY$17,""))</f>
        <v/>
      </c>
      <c r="M82" s="38" t="str">
        <f>IF(COUNTIF(Calculations!DP:DP,Subgroup_number)=1,INDEX(Calculations!DP:EU,MATCH(Subgroup_number,Calculations!DP:DP,0),6),IF(Subgroup_number=Calculations!EY$25,Calculations!EY$18,""))</f>
        <v/>
      </c>
      <c r="N82" s="30" t="str">
        <f>IF(COUNTIF(Calculations!DP:DP,Subgroup_number)=1,INDEX(Calculations!DP:EU,MATCH(Subgroup_number,Calculations!DP:DP,0),7),IF(Subgroup_number=Calculations!EY$25,Calculations!EY$19,""))</f>
        <v/>
      </c>
      <c r="O82" s="4" t="str">
        <f>IF(COUNTIF(Calculations!DP:DP,Subgroup_number)=1,INDEX(Calculations!DP:EU,MATCH(Subgroup_number,Calculations!DP:DP,0),9),IF(Subgroup_number=Calculations!EY$25,Calculations!EY$20,""))</f>
        <v/>
      </c>
      <c r="P82" s="4" t="str">
        <f>IF(COUNTIF(Calculations!DP:DP,Subgroup_number)=1,INDEX(Calculations!DP:EU,MATCH(Subgroup_number,Calculations!DP:DP,0),10),IF(Subgroup_number=Calculations!EY$25,Calculations!EY$21,""))</f>
        <v/>
      </c>
      <c r="Q8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2" s="182"/>
      <c r="U82" s="176"/>
      <c r="W82" s="176"/>
      <c r="Y82" s="176"/>
      <c r="AA82" s="176"/>
    </row>
    <row r="83" spans="6:27" x14ac:dyDescent="0.2">
      <c r="F83" s="89">
        <v>82</v>
      </c>
      <c r="G8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3" s="4" t="str">
        <f>IF(COUNTIF(Calculations!DP:DP,Subgroup_number)=1,INDEX(Calculations!DP:EU,MATCH(Subgroup_number,Calculations!DP:DP,0),5),IF(Subgroup_number=Calculations!EY$25,Calculations!EY$17,""))</f>
        <v/>
      </c>
      <c r="M83" s="38" t="str">
        <f>IF(COUNTIF(Calculations!DP:DP,Subgroup_number)=1,INDEX(Calculations!DP:EU,MATCH(Subgroup_number,Calculations!DP:DP,0),6),IF(Subgroup_number=Calculations!EY$25,Calculations!EY$18,""))</f>
        <v/>
      </c>
      <c r="N83" s="30" t="str">
        <f>IF(COUNTIF(Calculations!DP:DP,Subgroup_number)=1,INDEX(Calculations!DP:EU,MATCH(Subgroup_number,Calculations!DP:DP,0),7),IF(Subgroup_number=Calculations!EY$25,Calculations!EY$19,""))</f>
        <v/>
      </c>
      <c r="O83" s="4" t="str">
        <f>IF(COUNTIF(Calculations!DP:DP,Subgroup_number)=1,INDEX(Calculations!DP:EU,MATCH(Subgroup_number,Calculations!DP:DP,0),9),IF(Subgroup_number=Calculations!EY$25,Calculations!EY$20,""))</f>
        <v/>
      </c>
      <c r="P83" s="4" t="str">
        <f>IF(COUNTIF(Calculations!DP:DP,Subgroup_number)=1,INDEX(Calculations!DP:EU,MATCH(Subgroup_number,Calculations!DP:DP,0),10),IF(Subgroup_number=Calculations!EY$25,Calculations!EY$21,""))</f>
        <v/>
      </c>
      <c r="Q8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3" s="182"/>
      <c r="U83" s="176"/>
      <c r="W83" s="176"/>
      <c r="Y83" s="176"/>
      <c r="AA83" s="176"/>
    </row>
    <row r="84" spans="6:27" x14ac:dyDescent="0.2">
      <c r="F84" s="89">
        <v>83</v>
      </c>
      <c r="G8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4" s="4" t="str">
        <f>IF(COUNTIF(Calculations!DP:DP,Subgroup_number)=1,INDEX(Calculations!DP:EU,MATCH(Subgroup_number,Calculations!DP:DP,0),5),IF(Subgroup_number=Calculations!EY$25,Calculations!EY$17,""))</f>
        <v/>
      </c>
      <c r="M84" s="38" t="str">
        <f>IF(COUNTIF(Calculations!DP:DP,Subgroup_number)=1,INDEX(Calculations!DP:EU,MATCH(Subgroup_number,Calculations!DP:DP,0),6),IF(Subgroup_number=Calculations!EY$25,Calculations!EY$18,""))</f>
        <v/>
      </c>
      <c r="N84" s="30" t="str">
        <f>IF(COUNTIF(Calculations!DP:DP,Subgroup_number)=1,INDEX(Calculations!DP:EU,MATCH(Subgroup_number,Calculations!DP:DP,0),7),IF(Subgroup_number=Calculations!EY$25,Calculations!EY$19,""))</f>
        <v/>
      </c>
      <c r="O84" s="4" t="str">
        <f>IF(COUNTIF(Calculations!DP:DP,Subgroup_number)=1,INDEX(Calculations!DP:EU,MATCH(Subgroup_number,Calculations!DP:DP,0),9),IF(Subgroup_number=Calculations!EY$25,Calculations!EY$20,""))</f>
        <v/>
      </c>
      <c r="P84" s="4" t="str">
        <f>IF(COUNTIF(Calculations!DP:DP,Subgroup_number)=1,INDEX(Calculations!DP:EU,MATCH(Subgroup_number,Calculations!DP:DP,0),10),IF(Subgroup_number=Calculations!EY$25,Calculations!EY$21,""))</f>
        <v/>
      </c>
      <c r="Q8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4" s="182"/>
      <c r="U84" s="176"/>
      <c r="W84" s="176"/>
      <c r="Y84" s="176"/>
      <c r="AA84" s="176"/>
    </row>
    <row r="85" spans="6:27" x14ac:dyDescent="0.2">
      <c r="F85" s="89">
        <v>84</v>
      </c>
      <c r="G8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5" s="4" t="str">
        <f>IF(COUNTIF(Calculations!DP:DP,Subgroup_number)=1,INDEX(Calculations!DP:EU,MATCH(Subgroup_number,Calculations!DP:DP,0),5),IF(Subgroup_number=Calculations!EY$25,Calculations!EY$17,""))</f>
        <v/>
      </c>
      <c r="M85" s="38" t="str">
        <f>IF(COUNTIF(Calculations!DP:DP,Subgroup_number)=1,INDEX(Calculations!DP:EU,MATCH(Subgroup_number,Calculations!DP:DP,0),6),IF(Subgroup_number=Calculations!EY$25,Calculations!EY$18,""))</f>
        <v/>
      </c>
      <c r="N85" s="30" t="str">
        <f>IF(COUNTIF(Calculations!DP:DP,Subgroup_number)=1,INDEX(Calculations!DP:EU,MATCH(Subgroup_number,Calculations!DP:DP,0),7),IF(Subgroup_number=Calculations!EY$25,Calculations!EY$19,""))</f>
        <v/>
      </c>
      <c r="O85" s="4" t="str">
        <f>IF(COUNTIF(Calculations!DP:DP,Subgroup_number)=1,INDEX(Calculations!DP:EU,MATCH(Subgroup_number,Calculations!DP:DP,0),9),IF(Subgroup_number=Calculations!EY$25,Calculations!EY$20,""))</f>
        <v/>
      </c>
      <c r="P85" s="4" t="str">
        <f>IF(COUNTIF(Calculations!DP:DP,Subgroup_number)=1,INDEX(Calculations!DP:EU,MATCH(Subgroup_number,Calculations!DP:DP,0),10),IF(Subgroup_number=Calculations!EY$25,Calculations!EY$21,""))</f>
        <v/>
      </c>
      <c r="Q8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5" s="182"/>
      <c r="U85" s="176"/>
      <c r="W85" s="176"/>
      <c r="Y85" s="176"/>
      <c r="AA85" s="176"/>
    </row>
    <row r="86" spans="6:27" x14ac:dyDescent="0.2">
      <c r="F86" s="89">
        <v>85</v>
      </c>
      <c r="G8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6" s="4" t="str">
        <f>IF(COUNTIF(Calculations!DP:DP,Subgroup_number)=1,INDEX(Calculations!DP:EU,MATCH(Subgroup_number,Calculations!DP:DP,0),5),IF(Subgroup_number=Calculations!EY$25,Calculations!EY$17,""))</f>
        <v/>
      </c>
      <c r="M86" s="38" t="str">
        <f>IF(COUNTIF(Calculations!DP:DP,Subgroup_number)=1,INDEX(Calculations!DP:EU,MATCH(Subgroup_number,Calculations!DP:DP,0),6),IF(Subgroup_number=Calculations!EY$25,Calculations!EY$18,""))</f>
        <v/>
      </c>
      <c r="N86" s="30" t="str">
        <f>IF(COUNTIF(Calculations!DP:DP,Subgroup_number)=1,INDEX(Calculations!DP:EU,MATCH(Subgroup_number,Calculations!DP:DP,0),7),IF(Subgroup_number=Calculations!EY$25,Calculations!EY$19,""))</f>
        <v/>
      </c>
      <c r="O86" s="4" t="str">
        <f>IF(COUNTIF(Calculations!DP:DP,Subgroup_number)=1,INDEX(Calculations!DP:EU,MATCH(Subgroup_number,Calculations!DP:DP,0),9),IF(Subgroup_number=Calculations!EY$25,Calculations!EY$20,""))</f>
        <v/>
      </c>
      <c r="P86" s="4" t="str">
        <f>IF(COUNTIF(Calculations!DP:DP,Subgroup_number)=1,INDEX(Calculations!DP:EU,MATCH(Subgroup_number,Calculations!DP:DP,0),10),IF(Subgroup_number=Calculations!EY$25,Calculations!EY$21,""))</f>
        <v/>
      </c>
      <c r="Q8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6" s="182"/>
      <c r="U86" s="176"/>
      <c r="W86" s="176"/>
      <c r="Y86" s="176"/>
      <c r="AA86" s="176"/>
    </row>
    <row r="87" spans="6:27" x14ac:dyDescent="0.2">
      <c r="F87" s="89">
        <v>86</v>
      </c>
      <c r="G8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7" s="4" t="str">
        <f>IF(COUNTIF(Calculations!DP:DP,Subgroup_number)=1,INDEX(Calculations!DP:EU,MATCH(Subgroup_number,Calculations!DP:DP,0),5),IF(Subgroup_number=Calculations!EY$25,Calculations!EY$17,""))</f>
        <v/>
      </c>
      <c r="M87" s="38" t="str">
        <f>IF(COUNTIF(Calculations!DP:DP,Subgroup_number)=1,INDEX(Calculations!DP:EU,MATCH(Subgroup_number,Calculations!DP:DP,0),6),IF(Subgroup_number=Calculations!EY$25,Calculations!EY$18,""))</f>
        <v/>
      </c>
      <c r="N87" s="30" t="str">
        <f>IF(COUNTIF(Calculations!DP:DP,Subgroup_number)=1,INDEX(Calculations!DP:EU,MATCH(Subgroup_number,Calculations!DP:DP,0),7),IF(Subgroup_number=Calculations!EY$25,Calculations!EY$19,""))</f>
        <v/>
      </c>
      <c r="O87" s="4" t="str">
        <f>IF(COUNTIF(Calculations!DP:DP,Subgroup_number)=1,INDEX(Calculations!DP:EU,MATCH(Subgroup_number,Calculations!DP:DP,0),9),IF(Subgroup_number=Calculations!EY$25,Calculations!EY$20,""))</f>
        <v/>
      </c>
      <c r="P87" s="4" t="str">
        <f>IF(COUNTIF(Calculations!DP:DP,Subgroup_number)=1,INDEX(Calculations!DP:EU,MATCH(Subgroup_number,Calculations!DP:DP,0),10),IF(Subgroup_number=Calculations!EY$25,Calculations!EY$21,""))</f>
        <v/>
      </c>
      <c r="Q8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7" s="182"/>
      <c r="U87" s="176"/>
      <c r="W87" s="176"/>
      <c r="Y87" s="176"/>
      <c r="AA87" s="176"/>
    </row>
    <row r="88" spans="6:27" x14ac:dyDescent="0.2">
      <c r="F88" s="89">
        <v>87</v>
      </c>
      <c r="G8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8" s="4" t="str">
        <f>IF(COUNTIF(Calculations!DP:DP,Subgroup_number)=1,INDEX(Calculations!DP:EU,MATCH(Subgroup_number,Calculations!DP:DP,0),5),IF(Subgroup_number=Calculations!EY$25,Calculations!EY$17,""))</f>
        <v/>
      </c>
      <c r="M88" s="38" t="str">
        <f>IF(COUNTIF(Calculations!DP:DP,Subgroup_number)=1,INDEX(Calculations!DP:EU,MATCH(Subgroup_number,Calculations!DP:DP,0),6),IF(Subgroup_number=Calculations!EY$25,Calculations!EY$18,""))</f>
        <v/>
      </c>
      <c r="N88" s="30" t="str">
        <f>IF(COUNTIF(Calculations!DP:DP,Subgroup_number)=1,INDEX(Calculations!DP:EU,MATCH(Subgroup_number,Calculations!DP:DP,0),7),IF(Subgroup_number=Calculations!EY$25,Calculations!EY$19,""))</f>
        <v/>
      </c>
      <c r="O88" s="4" t="str">
        <f>IF(COUNTIF(Calculations!DP:DP,Subgroup_number)=1,INDEX(Calculations!DP:EU,MATCH(Subgroup_number,Calculations!DP:DP,0),9),IF(Subgroup_number=Calculations!EY$25,Calculations!EY$20,""))</f>
        <v/>
      </c>
      <c r="P88" s="4" t="str">
        <f>IF(COUNTIF(Calculations!DP:DP,Subgroup_number)=1,INDEX(Calculations!DP:EU,MATCH(Subgroup_number,Calculations!DP:DP,0),10),IF(Subgroup_number=Calculations!EY$25,Calculations!EY$21,""))</f>
        <v/>
      </c>
      <c r="Q8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8" s="182"/>
      <c r="U88" s="176"/>
      <c r="W88" s="176"/>
      <c r="Y88" s="176"/>
      <c r="AA88" s="176"/>
    </row>
    <row r="89" spans="6:27" x14ac:dyDescent="0.2">
      <c r="F89" s="89">
        <v>88</v>
      </c>
      <c r="G8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8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8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8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8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89" s="4" t="str">
        <f>IF(COUNTIF(Calculations!DP:DP,Subgroup_number)=1,INDEX(Calculations!DP:EU,MATCH(Subgroup_number,Calculations!DP:DP,0),5),IF(Subgroup_number=Calculations!EY$25,Calculations!EY$17,""))</f>
        <v/>
      </c>
      <c r="M89" s="38" t="str">
        <f>IF(COUNTIF(Calculations!DP:DP,Subgroup_number)=1,INDEX(Calculations!DP:EU,MATCH(Subgroup_number,Calculations!DP:DP,0),6),IF(Subgroup_number=Calculations!EY$25,Calculations!EY$18,""))</f>
        <v/>
      </c>
      <c r="N89" s="30" t="str">
        <f>IF(COUNTIF(Calculations!DP:DP,Subgroup_number)=1,INDEX(Calculations!DP:EU,MATCH(Subgroup_number,Calculations!DP:DP,0),7),IF(Subgroup_number=Calculations!EY$25,Calculations!EY$19,""))</f>
        <v/>
      </c>
      <c r="O89" s="4" t="str">
        <f>IF(COUNTIF(Calculations!DP:DP,Subgroup_number)=1,INDEX(Calculations!DP:EU,MATCH(Subgroup_number,Calculations!DP:DP,0),9),IF(Subgroup_number=Calculations!EY$25,Calculations!EY$20,""))</f>
        <v/>
      </c>
      <c r="P89" s="4" t="str">
        <f>IF(COUNTIF(Calculations!DP:DP,Subgroup_number)=1,INDEX(Calculations!DP:EU,MATCH(Subgroup_number,Calculations!DP:DP,0),10),IF(Subgroup_number=Calculations!EY$25,Calculations!EY$21,""))</f>
        <v/>
      </c>
      <c r="Q8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8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89" s="182"/>
      <c r="U89" s="176"/>
      <c r="W89" s="176"/>
      <c r="Y89" s="176"/>
      <c r="AA89" s="176"/>
    </row>
    <row r="90" spans="6:27" x14ac:dyDescent="0.2">
      <c r="F90" s="89">
        <v>89</v>
      </c>
      <c r="G9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0" s="4" t="str">
        <f>IF(COUNTIF(Calculations!DP:DP,Subgroup_number)=1,INDEX(Calculations!DP:EU,MATCH(Subgroup_number,Calculations!DP:DP,0),5),IF(Subgroup_number=Calculations!EY$25,Calculations!EY$17,""))</f>
        <v/>
      </c>
      <c r="M90" s="38" t="str">
        <f>IF(COUNTIF(Calculations!DP:DP,Subgroup_number)=1,INDEX(Calculations!DP:EU,MATCH(Subgroup_number,Calculations!DP:DP,0),6),IF(Subgroup_number=Calculations!EY$25,Calculations!EY$18,""))</f>
        <v/>
      </c>
      <c r="N90" s="30" t="str">
        <f>IF(COUNTIF(Calculations!DP:DP,Subgroup_number)=1,INDEX(Calculations!DP:EU,MATCH(Subgroup_number,Calculations!DP:DP,0),7),IF(Subgroup_number=Calculations!EY$25,Calculations!EY$19,""))</f>
        <v/>
      </c>
      <c r="O90" s="4" t="str">
        <f>IF(COUNTIF(Calculations!DP:DP,Subgroup_number)=1,INDEX(Calculations!DP:EU,MATCH(Subgroup_number,Calculations!DP:DP,0),9),IF(Subgroup_number=Calculations!EY$25,Calculations!EY$20,""))</f>
        <v/>
      </c>
      <c r="P90" s="4" t="str">
        <f>IF(COUNTIF(Calculations!DP:DP,Subgroup_number)=1,INDEX(Calculations!DP:EU,MATCH(Subgroup_number,Calculations!DP:DP,0),10),IF(Subgroup_number=Calculations!EY$25,Calculations!EY$21,""))</f>
        <v/>
      </c>
      <c r="Q9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0" s="182"/>
      <c r="U90" s="176"/>
      <c r="W90" s="176"/>
      <c r="Y90" s="176"/>
      <c r="AA90" s="176"/>
    </row>
    <row r="91" spans="6:27" x14ac:dyDescent="0.2">
      <c r="F91" s="89">
        <v>90</v>
      </c>
      <c r="G9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1" s="4" t="str">
        <f>IF(COUNTIF(Calculations!DP:DP,Subgroup_number)=1,INDEX(Calculations!DP:EU,MATCH(Subgroup_number,Calculations!DP:DP,0),5),IF(Subgroup_number=Calculations!EY$25,Calculations!EY$17,""))</f>
        <v/>
      </c>
      <c r="M91" s="38" t="str">
        <f>IF(COUNTIF(Calculations!DP:DP,Subgroup_number)=1,INDEX(Calculations!DP:EU,MATCH(Subgroup_number,Calculations!DP:DP,0),6),IF(Subgroup_number=Calculations!EY$25,Calculations!EY$18,""))</f>
        <v/>
      </c>
      <c r="N91" s="30" t="str">
        <f>IF(COUNTIF(Calculations!DP:DP,Subgroup_number)=1,INDEX(Calculations!DP:EU,MATCH(Subgroup_number,Calculations!DP:DP,0),7),IF(Subgroup_number=Calculations!EY$25,Calculations!EY$19,""))</f>
        <v/>
      </c>
      <c r="O91" s="4" t="str">
        <f>IF(COUNTIF(Calculations!DP:DP,Subgroup_number)=1,INDEX(Calculations!DP:EU,MATCH(Subgroup_number,Calculations!DP:DP,0),9),IF(Subgroup_number=Calculations!EY$25,Calculations!EY$20,""))</f>
        <v/>
      </c>
      <c r="P91" s="4" t="str">
        <f>IF(COUNTIF(Calculations!DP:DP,Subgroup_number)=1,INDEX(Calculations!DP:EU,MATCH(Subgroup_number,Calculations!DP:DP,0),10),IF(Subgroup_number=Calculations!EY$25,Calculations!EY$21,""))</f>
        <v/>
      </c>
      <c r="Q9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1" s="182"/>
      <c r="U91" s="176"/>
      <c r="W91" s="176"/>
      <c r="Y91" s="176"/>
      <c r="AA91" s="176"/>
    </row>
    <row r="92" spans="6:27" x14ac:dyDescent="0.2">
      <c r="F92" s="89">
        <v>91</v>
      </c>
      <c r="G9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2" s="4" t="str">
        <f>IF(COUNTIF(Calculations!DP:DP,Subgroup_number)=1,INDEX(Calculations!DP:EU,MATCH(Subgroup_number,Calculations!DP:DP,0),5),IF(Subgroup_number=Calculations!EY$25,Calculations!EY$17,""))</f>
        <v/>
      </c>
      <c r="M92" s="38" t="str">
        <f>IF(COUNTIF(Calculations!DP:DP,Subgroup_number)=1,INDEX(Calculations!DP:EU,MATCH(Subgroup_number,Calculations!DP:DP,0),6),IF(Subgroup_number=Calculations!EY$25,Calculations!EY$18,""))</f>
        <v/>
      </c>
      <c r="N92" s="30" t="str">
        <f>IF(COUNTIF(Calculations!DP:DP,Subgroup_number)=1,INDEX(Calculations!DP:EU,MATCH(Subgroup_number,Calculations!DP:DP,0),7),IF(Subgroup_number=Calculations!EY$25,Calculations!EY$19,""))</f>
        <v/>
      </c>
      <c r="O92" s="4" t="str">
        <f>IF(COUNTIF(Calculations!DP:DP,Subgroup_number)=1,INDEX(Calculations!DP:EU,MATCH(Subgroup_number,Calculations!DP:DP,0),9),IF(Subgroup_number=Calculations!EY$25,Calculations!EY$20,""))</f>
        <v/>
      </c>
      <c r="P92" s="4" t="str">
        <f>IF(COUNTIF(Calculations!DP:DP,Subgroup_number)=1,INDEX(Calculations!DP:EU,MATCH(Subgroup_number,Calculations!DP:DP,0),10),IF(Subgroup_number=Calculations!EY$25,Calculations!EY$21,""))</f>
        <v/>
      </c>
      <c r="Q9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2" s="182"/>
      <c r="U92" s="176"/>
      <c r="W92" s="176"/>
      <c r="Y92" s="176"/>
      <c r="AA92" s="176"/>
    </row>
    <row r="93" spans="6:27" x14ac:dyDescent="0.2">
      <c r="F93" s="89">
        <v>92</v>
      </c>
      <c r="G9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3" s="4" t="str">
        <f>IF(COUNTIF(Calculations!DP:DP,Subgroup_number)=1,INDEX(Calculations!DP:EU,MATCH(Subgroup_number,Calculations!DP:DP,0),5),IF(Subgroup_number=Calculations!EY$25,Calculations!EY$17,""))</f>
        <v/>
      </c>
      <c r="M93" s="38" t="str">
        <f>IF(COUNTIF(Calculations!DP:DP,Subgroup_number)=1,INDEX(Calculations!DP:EU,MATCH(Subgroup_number,Calculations!DP:DP,0),6),IF(Subgroup_number=Calculations!EY$25,Calculations!EY$18,""))</f>
        <v/>
      </c>
      <c r="N93" s="30" t="str">
        <f>IF(COUNTIF(Calculations!DP:DP,Subgroup_number)=1,INDEX(Calculations!DP:EU,MATCH(Subgroup_number,Calculations!DP:DP,0),7),IF(Subgroup_number=Calculations!EY$25,Calculations!EY$19,""))</f>
        <v/>
      </c>
      <c r="O93" s="4" t="str">
        <f>IF(COUNTIF(Calculations!DP:DP,Subgroup_number)=1,INDEX(Calculations!DP:EU,MATCH(Subgroup_number,Calculations!DP:DP,0),9),IF(Subgroup_number=Calculations!EY$25,Calculations!EY$20,""))</f>
        <v/>
      </c>
      <c r="P93" s="4" t="str">
        <f>IF(COUNTIF(Calculations!DP:DP,Subgroup_number)=1,INDEX(Calculations!DP:EU,MATCH(Subgroup_number,Calculations!DP:DP,0),10),IF(Subgroup_number=Calculations!EY$25,Calculations!EY$21,""))</f>
        <v/>
      </c>
      <c r="Q9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3" s="182"/>
      <c r="U93" s="176"/>
      <c r="W93" s="176"/>
      <c r="Y93" s="176"/>
      <c r="AA93" s="176"/>
    </row>
    <row r="94" spans="6:27" x14ac:dyDescent="0.2">
      <c r="F94" s="89">
        <v>93</v>
      </c>
      <c r="G9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4" s="4" t="str">
        <f>IF(COUNTIF(Calculations!DP:DP,Subgroup_number)=1,INDEX(Calculations!DP:EU,MATCH(Subgroup_number,Calculations!DP:DP,0),5),IF(Subgroup_number=Calculations!EY$25,Calculations!EY$17,""))</f>
        <v/>
      </c>
      <c r="M94" s="38" t="str">
        <f>IF(COUNTIF(Calculations!DP:DP,Subgroup_number)=1,INDEX(Calculations!DP:EU,MATCH(Subgroup_number,Calculations!DP:DP,0),6),IF(Subgroup_number=Calculations!EY$25,Calculations!EY$18,""))</f>
        <v/>
      </c>
      <c r="N94" s="30" t="str">
        <f>IF(COUNTIF(Calculations!DP:DP,Subgroup_number)=1,INDEX(Calculations!DP:EU,MATCH(Subgroup_number,Calculations!DP:DP,0),7),IF(Subgroup_number=Calculations!EY$25,Calculations!EY$19,""))</f>
        <v/>
      </c>
      <c r="O94" s="4" t="str">
        <f>IF(COUNTIF(Calculations!DP:DP,Subgroup_number)=1,INDEX(Calculations!DP:EU,MATCH(Subgroup_number,Calculations!DP:DP,0),9),IF(Subgroup_number=Calculations!EY$25,Calculations!EY$20,""))</f>
        <v/>
      </c>
      <c r="P94" s="4" t="str">
        <f>IF(COUNTIF(Calculations!DP:DP,Subgroup_number)=1,INDEX(Calculations!DP:EU,MATCH(Subgroup_number,Calculations!DP:DP,0),10),IF(Subgroup_number=Calculations!EY$25,Calculations!EY$21,""))</f>
        <v/>
      </c>
      <c r="Q9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4" s="182"/>
      <c r="U94" s="176"/>
      <c r="W94" s="176"/>
      <c r="Y94" s="176"/>
      <c r="AA94" s="176"/>
    </row>
    <row r="95" spans="6:27" x14ac:dyDescent="0.2">
      <c r="F95" s="89">
        <v>94</v>
      </c>
      <c r="G9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5" s="4" t="str">
        <f>IF(COUNTIF(Calculations!DP:DP,Subgroup_number)=1,INDEX(Calculations!DP:EU,MATCH(Subgroup_number,Calculations!DP:DP,0),5),IF(Subgroup_number=Calculations!EY$25,Calculations!EY$17,""))</f>
        <v/>
      </c>
      <c r="M95" s="38" t="str">
        <f>IF(COUNTIF(Calculations!DP:DP,Subgroup_number)=1,INDEX(Calculations!DP:EU,MATCH(Subgroup_number,Calculations!DP:DP,0),6),IF(Subgroup_number=Calculations!EY$25,Calculations!EY$18,""))</f>
        <v/>
      </c>
      <c r="N95" s="30" t="str">
        <f>IF(COUNTIF(Calculations!DP:DP,Subgroup_number)=1,INDEX(Calculations!DP:EU,MATCH(Subgroup_number,Calculations!DP:DP,0),7),IF(Subgroup_number=Calculations!EY$25,Calculations!EY$19,""))</f>
        <v/>
      </c>
      <c r="O95" s="4" t="str">
        <f>IF(COUNTIF(Calculations!DP:DP,Subgroup_number)=1,INDEX(Calculations!DP:EU,MATCH(Subgroup_number,Calculations!DP:DP,0),9),IF(Subgroup_number=Calculations!EY$25,Calculations!EY$20,""))</f>
        <v/>
      </c>
      <c r="P95" s="4" t="str">
        <f>IF(COUNTIF(Calculations!DP:DP,Subgroup_number)=1,INDEX(Calculations!DP:EU,MATCH(Subgroup_number,Calculations!DP:DP,0),10),IF(Subgroup_number=Calculations!EY$25,Calculations!EY$21,""))</f>
        <v/>
      </c>
      <c r="Q9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5" s="182"/>
      <c r="U95" s="176"/>
      <c r="W95" s="176"/>
      <c r="Y95" s="176"/>
      <c r="AA95" s="176"/>
    </row>
    <row r="96" spans="6:27" x14ac:dyDescent="0.2">
      <c r="F96" s="89">
        <v>95</v>
      </c>
      <c r="G9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6" s="4" t="str">
        <f>IF(COUNTIF(Calculations!DP:DP,Subgroup_number)=1,INDEX(Calculations!DP:EU,MATCH(Subgroup_number,Calculations!DP:DP,0),5),IF(Subgroup_number=Calculations!EY$25,Calculations!EY$17,""))</f>
        <v/>
      </c>
      <c r="M96" s="38" t="str">
        <f>IF(COUNTIF(Calculations!DP:DP,Subgroup_number)=1,INDEX(Calculations!DP:EU,MATCH(Subgroup_number,Calculations!DP:DP,0),6),IF(Subgroup_number=Calculations!EY$25,Calculations!EY$18,""))</f>
        <v/>
      </c>
      <c r="N96" s="30" t="str">
        <f>IF(COUNTIF(Calculations!DP:DP,Subgroup_number)=1,INDEX(Calculations!DP:EU,MATCH(Subgroup_number,Calculations!DP:DP,0),7),IF(Subgroup_number=Calculations!EY$25,Calculations!EY$19,""))</f>
        <v/>
      </c>
      <c r="O96" s="4" t="str">
        <f>IF(COUNTIF(Calculations!DP:DP,Subgroup_number)=1,INDEX(Calculations!DP:EU,MATCH(Subgroup_number,Calculations!DP:DP,0),9),IF(Subgroup_number=Calculations!EY$25,Calculations!EY$20,""))</f>
        <v/>
      </c>
      <c r="P96" s="4" t="str">
        <f>IF(COUNTIF(Calculations!DP:DP,Subgroup_number)=1,INDEX(Calculations!DP:EU,MATCH(Subgroup_number,Calculations!DP:DP,0),10),IF(Subgroup_number=Calculations!EY$25,Calculations!EY$21,""))</f>
        <v/>
      </c>
      <c r="Q9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6" s="182"/>
      <c r="U96" s="176"/>
      <c r="W96" s="176"/>
      <c r="Y96" s="176"/>
      <c r="AA96" s="176"/>
    </row>
    <row r="97" spans="6:27" x14ac:dyDescent="0.2">
      <c r="F97" s="89">
        <v>96</v>
      </c>
      <c r="G9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7" s="4" t="str">
        <f>IF(COUNTIF(Calculations!DP:DP,Subgroup_number)=1,INDEX(Calculations!DP:EU,MATCH(Subgroup_number,Calculations!DP:DP,0),5),IF(Subgroup_number=Calculations!EY$25,Calculations!EY$17,""))</f>
        <v/>
      </c>
      <c r="M97" s="38" t="str">
        <f>IF(COUNTIF(Calculations!DP:DP,Subgroup_number)=1,INDEX(Calculations!DP:EU,MATCH(Subgroup_number,Calculations!DP:DP,0),6),IF(Subgroup_number=Calculations!EY$25,Calculations!EY$18,""))</f>
        <v/>
      </c>
      <c r="N97" s="30" t="str">
        <f>IF(COUNTIF(Calculations!DP:DP,Subgroup_number)=1,INDEX(Calculations!DP:EU,MATCH(Subgroup_number,Calculations!DP:DP,0),7),IF(Subgroup_number=Calculations!EY$25,Calculations!EY$19,""))</f>
        <v/>
      </c>
      <c r="O97" s="4" t="str">
        <f>IF(COUNTIF(Calculations!DP:DP,Subgroup_number)=1,INDEX(Calculations!DP:EU,MATCH(Subgroup_number,Calculations!DP:DP,0),9),IF(Subgroup_number=Calculations!EY$25,Calculations!EY$20,""))</f>
        <v/>
      </c>
      <c r="P97" s="4" t="str">
        <f>IF(COUNTIF(Calculations!DP:DP,Subgroup_number)=1,INDEX(Calculations!DP:EU,MATCH(Subgroup_number,Calculations!DP:DP,0),10),IF(Subgroup_number=Calculations!EY$25,Calculations!EY$21,""))</f>
        <v/>
      </c>
      <c r="Q9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7" s="182"/>
      <c r="U97" s="176"/>
      <c r="W97" s="176"/>
      <c r="Y97" s="176"/>
      <c r="AA97" s="176"/>
    </row>
    <row r="98" spans="6:27" x14ac:dyDescent="0.2">
      <c r="F98" s="89">
        <v>97</v>
      </c>
      <c r="G9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8" s="4" t="str">
        <f>IF(COUNTIF(Calculations!DP:DP,Subgroup_number)=1,INDEX(Calculations!DP:EU,MATCH(Subgroup_number,Calculations!DP:DP,0),5),IF(Subgroup_number=Calculations!EY$25,Calculations!EY$17,""))</f>
        <v/>
      </c>
      <c r="M98" s="38" t="str">
        <f>IF(COUNTIF(Calculations!DP:DP,Subgroup_number)=1,INDEX(Calculations!DP:EU,MATCH(Subgroup_number,Calculations!DP:DP,0),6),IF(Subgroup_number=Calculations!EY$25,Calculations!EY$18,""))</f>
        <v/>
      </c>
      <c r="N98" s="30" t="str">
        <f>IF(COUNTIF(Calculations!DP:DP,Subgroup_number)=1,INDEX(Calculations!DP:EU,MATCH(Subgroup_number,Calculations!DP:DP,0),7),IF(Subgroup_number=Calculations!EY$25,Calculations!EY$19,""))</f>
        <v/>
      </c>
      <c r="O98" s="4" t="str">
        <f>IF(COUNTIF(Calculations!DP:DP,Subgroup_number)=1,INDEX(Calculations!DP:EU,MATCH(Subgroup_number,Calculations!DP:DP,0),9),IF(Subgroup_number=Calculations!EY$25,Calculations!EY$20,""))</f>
        <v/>
      </c>
      <c r="P98" s="4" t="str">
        <f>IF(COUNTIF(Calculations!DP:DP,Subgroup_number)=1,INDEX(Calculations!DP:EU,MATCH(Subgroup_number,Calculations!DP:DP,0),10),IF(Subgroup_number=Calculations!EY$25,Calculations!EY$21,""))</f>
        <v/>
      </c>
      <c r="Q9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8" s="182"/>
      <c r="U98" s="176"/>
      <c r="W98" s="176"/>
      <c r="Y98" s="176"/>
      <c r="AA98" s="176"/>
    </row>
    <row r="99" spans="6:27" x14ac:dyDescent="0.2">
      <c r="F99" s="89">
        <v>98</v>
      </c>
      <c r="G9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9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9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9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9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99" s="4" t="str">
        <f>IF(COUNTIF(Calculations!DP:DP,Subgroup_number)=1,INDEX(Calculations!DP:EU,MATCH(Subgroup_number,Calculations!DP:DP,0),5),IF(Subgroup_number=Calculations!EY$25,Calculations!EY$17,""))</f>
        <v/>
      </c>
      <c r="M99" s="38" t="str">
        <f>IF(COUNTIF(Calculations!DP:DP,Subgroup_number)=1,INDEX(Calculations!DP:EU,MATCH(Subgroup_number,Calculations!DP:DP,0),6),IF(Subgroup_number=Calculations!EY$25,Calculations!EY$18,""))</f>
        <v/>
      </c>
      <c r="N99" s="30" t="str">
        <f>IF(COUNTIF(Calculations!DP:DP,Subgroup_number)=1,INDEX(Calculations!DP:EU,MATCH(Subgroup_number,Calculations!DP:DP,0),7),IF(Subgroup_number=Calculations!EY$25,Calculations!EY$19,""))</f>
        <v/>
      </c>
      <c r="O99" s="4" t="str">
        <f>IF(COUNTIF(Calculations!DP:DP,Subgroup_number)=1,INDEX(Calculations!DP:EU,MATCH(Subgroup_number,Calculations!DP:DP,0),9),IF(Subgroup_number=Calculations!EY$25,Calculations!EY$20,""))</f>
        <v/>
      </c>
      <c r="P99" s="4" t="str">
        <f>IF(COUNTIF(Calculations!DP:DP,Subgroup_number)=1,INDEX(Calculations!DP:EU,MATCH(Subgroup_number,Calculations!DP:DP,0),10),IF(Subgroup_number=Calculations!EY$25,Calculations!EY$21,""))</f>
        <v/>
      </c>
      <c r="Q9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9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99" s="182"/>
      <c r="U99" s="176"/>
      <c r="W99" s="176"/>
      <c r="Y99" s="176"/>
      <c r="AA99" s="176"/>
    </row>
    <row r="100" spans="6:27" x14ac:dyDescent="0.2">
      <c r="F100" s="89">
        <v>99</v>
      </c>
      <c r="G10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0" s="4" t="str">
        <f>IF(COUNTIF(Calculations!DP:DP,Subgroup_number)=1,INDEX(Calculations!DP:EU,MATCH(Subgroup_number,Calculations!DP:DP,0),5),IF(Subgroup_number=Calculations!EY$25,Calculations!EY$17,""))</f>
        <v/>
      </c>
      <c r="M100" s="38" t="str">
        <f>IF(COUNTIF(Calculations!DP:DP,Subgroup_number)=1,INDEX(Calculations!DP:EU,MATCH(Subgroup_number,Calculations!DP:DP,0),6),IF(Subgroup_number=Calculations!EY$25,Calculations!EY$18,""))</f>
        <v/>
      </c>
      <c r="N100" s="30" t="str">
        <f>IF(COUNTIF(Calculations!DP:DP,Subgroup_number)=1,INDEX(Calculations!DP:EU,MATCH(Subgroup_number,Calculations!DP:DP,0),7),IF(Subgroup_number=Calculations!EY$25,Calculations!EY$19,""))</f>
        <v/>
      </c>
      <c r="O100" s="4" t="str">
        <f>IF(COUNTIF(Calculations!DP:DP,Subgroup_number)=1,INDEX(Calculations!DP:EU,MATCH(Subgroup_number,Calculations!DP:DP,0),9),IF(Subgroup_number=Calculations!EY$25,Calculations!EY$20,""))</f>
        <v/>
      </c>
      <c r="P100" s="4" t="str">
        <f>IF(COUNTIF(Calculations!DP:DP,Subgroup_number)=1,INDEX(Calculations!DP:EU,MATCH(Subgroup_number,Calculations!DP:DP,0),10),IF(Subgroup_number=Calculations!EY$25,Calculations!EY$21,""))</f>
        <v/>
      </c>
      <c r="Q10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0" s="182"/>
      <c r="U100" s="176"/>
      <c r="W100" s="176"/>
      <c r="Y100" s="176"/>
      <c r="AA100" s="176"/>
    </row>
    <row r="101" spans="6:27" x14ac:dyDescent="0.2">
      <c r="F101" s="89">
        <v>100</v>
      </c>
      <c r="G10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1" s="4" t="str">
        <f>IF(COUNTIF(Calculations!DP:DP,Subgroup_number)=1,INDEX(Calculations!DP:EU,MATCH(Subgroup_number,Calculations!DP:DP,0),5),IF(Subgroup_number=Calculations!EY$25,Calculations!EY$17,""))</f>
        <v/>
      </c>
      <c r="M101" s="38" t="str">
        <f>IF(COUNTIF(Calculations!DP:DP,Subgroup_number)=1,INDEX(Calculations!DP:EU,MATCH(Subgroup_number,Calculations!DP:DP,0),6),IF(Subgroup_number=Calculations!EY$25,Calculations!EY$18,""))</f>
        <v/>
      </c>
      <c r="N101" s="30" t="str">
        <f>IF(COUNTIF(Calculations!DP:DP,Subgroup_number)=1,INDEX(Calculations!DP:EU,MATCH(Subgroup_number,Calculations!DP:DP,0),7),IF(Subgroup_number=Calculations!EY$25,Calculations!EY$19,""))</f>
        <v/>
      </c>
      <c r="O101" s="4" t="str">
        <f>IF(COUNTIF(Calculations!DP:DP,Subgroup_number)=1,INDEX(Calculations!DP:EU,MATCH(Subgroup_number,Calculations!DP:DP,0),9),IF(Subgroup_number=Calculations!EY$25,Calculations!EY$20,""))</f>
        <v/>
      </c>
      <c r="P101" s="4" t="str">
        <f>IF(COUNTIF(Calculations!DP:DP,Subgroup_number)=1,INDEX(Calculations!DP:EU,MATCH(Subgroup_number,Calculations!DP:DP,0),10),IF(Subgroup_number=Calculations!EY$25,Calculations!EY$21,""))</f>
        <v/>
      </c>
      <c r="Q10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1" s="182"/>
      <c r="U101" s="176"/>
      <c r="W101" s="176"/>
      <c r="Y101" s="176"/>
      <c r="AA101" s="176"/>
    </row>
    <row r="102" spans="6:27" x14ac:dyDescent="0.2">
      <c r="F102" s="89">
        <v>101</v>
      </c>
      <c r="G10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2" s="4" t="str">
        <f>IF(COUNTIF(Calculations!DP:DP,Subgroup_number)=1,INDEX(Calculations!DP:EU,MATCH(Subgroup_number,Calculations!DP:DP,0),5),IF(Subgroup_number=Calculations!EY$25,Calculations!EY$17,""))</f>
        <v/>
      </c>
      <c r="M102" s="38" t="str">
        <f>IF(COUNTIF(Calculations!DP:DP,Subgroup_number)=1,INDEX(Calculations!DP:EU,MATCH(Subgroup_number,Calculations!DP:DP,0),6),IF(Subgroup_number=Calculations!EY$25,Calculations!EY$18,""))</f>
        <v/>
      </c>
      <c r="N102" s="30" t="str">
        <f>IF(COUNTIF(Calculations!DP:DP,Subgroup_number)=1,INDEX(Calculations!DP:EU,MATCH(Subgroup_number,Calculations!DP:DP,0),7),IF(Subgroup_number=Calculations!EY$25,Calculations!EY$19,""))</f>
        <v/>
      </c>
      <c r="O102" s="4" t="str">
        <f>IF(COUNTIF(Calculations!DP:DP,Subgroup_number)=1,INDEX(Calculations!DP:EU,MATCH(Subgroup_number,Calculations!DP:DP,0),9),IF(Subgroup_number=Calculations!EY$25,Calculations!EY$20,""))</f>
        <v/>
      </c>
      <c r="P102" s="4" t="str">
        <f>IF(COUNTIF(Calculations!DP:DP,Subgroup_number)=1,INDEX(Calculations!DP:EU,MATCH(Subgroup_number,Calculations!DP:DP,0),10),IF(Subgroup_number=Calculations!EY$25,Calculations!EY$21,""))</f>
        <v/>
      </c>
      <c r="Q10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2" s="182"/>
      <c r="U102" s="176"/>
      <c r="W102" s="176"/>
      <c r="Y102" s="176"/>
      <c r="AA102" s="176"/>
    </row>
    <row r="103" spans="6:27" x14ac:dyDescent="0.2">
      <c r="F103" s="89">
        <v>102</v>
      </c>
      <c r="G10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3" s="4" t="str">
        <f>IF(COUNTIF(Calculations!DP:DP,Subgroup_number)=1,INDEX(Calculations!DP:EU,MATCH(Subgroup_number,Calculations!DP:DP,0),5),IF(Subgroup_number=Calculations!EY$25,Calculations!EY$17,""))</f>
        <v/>
      </c>
      <c r="M103" s="38" t="str">
        <f>IF(COUNTIF(Calculations!DP:DP,Subgroup_number)=1,INDEX(Calculations!DP:EU,MATCH(Subgroup_number,Calculations!DP:DP,0),6),IF(Subgroup_number=Calculations!EY$25,Calculations!EY$18,""))</f>
        <v/>
      </c>
      <c r="N103" s="30" t="str">
        <f>IF(COUNTIF(Calculations!DP:DP,Subgroup_number)=1,INDEX(Calculations!DP:EU,MATCH(Subgroup_number,Calculations!DP:DP,0),7),IF(Subgroup_number=Calculations!EY$25,Calculations!EY$19,""))</f>
        <v/>
      </c>
      <c r="O103" s="4" t="str">
        <f>IF(COUNTIF(Calculations!DP:DP,Subgroup_number)=1,INDEX(Calculations!DP:EU,MATCH(Subgroup_number,Calculations!DP:DP,0),9),IF(Subgroup_number=Calculations!EY$25,Calculations!EY$20,""))</f>
        <v/>
      </c>
      <c r="P103" s="4" t="str">
        <f>IF(COUNTIF(Calculations!DP:DP,Subgroup_number)=1,INDEX(Calculations!DP:EU,MATCH(Subgroup_number,Calculations!DP:DP,0),10),IF(Subgroup_number=Calculations!EY$25,Calculations!EY$21,""))</f>
        <v/>
      </c>
      <c r="Q10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3" s="182"/>
      <c r="U103" s="176"/>
      <c r="W103" s="176"/>
      <c r="Y103" s="176"/>
      <c r="AA103" s="176"/>
    </row>
    <row r="104" spans="6:27" x14ac:dyDescent="0.2">
      <c r="F104" s="89">
        <v>103</v>
      </c>
      <c r="G10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4" s="4" t="str">
        <f>IF(COUNTIF(Calculations!DP:DP,Subgroup_number)=1,INDEX(Calculations!DP:EU,MATCH(Subgroup_number,Calculations!DP:DP,0),5),IF(Subgroup_number=Calculations!EY$25,Calculations!EY$17,""))</f>
        <v/>
      </c>
      <c r="M104" s="38" t="str">
        <f>IF(COUNTIF(Calculations!DP:DP,Subgroup_number)=1,INDEX(Calculations!DP:EU,MATCH(Subgroup_number,Calculations!DP:DP,0),6),IF(Subgroup_number=Calculations!EY$25,Calculations!EY$18,""))</f>
        <v/>
      </c>
      <c r="N104" s="30" t="str">
        <f>IF(COUNTIF(Calculations!DP:DP,Subgroup_number)=1,INDEX(Calculations!DP:EU,MATCH(Subgroup_number,Calculations!DP:DP,0),7),IF(Subgroup_number=Calculations!EY$25,Calculations!EY$19,""))</f>
        <v/>
      </c>
      <c r="O104" s="4" t="str">
        <f>IF(COUNTIF(Calculations!DP:DP,Subgroup_number)=1,INDEX(Calculations!DP:EU,MATCH(Subgroup_number,Calculations!DP:DP,0),9),IF(Subgroup_number=Calculations!EY$25,Calculations!EY$20,""))</f>
        <v/>
      </c>
      <c r="P104" s="4" t="str">
        <f>IF(COUNTIF(Calculations!DP:DP,Subgroup_number)=1,INDEX(Calculations!DP:EU,MATCH(Subgroup_number,Calculations!DP:DP,0),10),IF(Subgroup_number=Calculations!EY$25,Calculations!EY$21,""))</f>
        <v/>
      </c>
      <c r="Q10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4" s="182"/>
      <c r="U104" s="176"/>
      <c r="W104" s="176"/>
      <c r="Y104" s="176"/>
      <c r="AA104" s="176"/>
    </row>
    <row r="105" spans="6:27" x14ac:dyDescent="0.2">
      <c r="F105" s="89">
        <v>104</v>
      </c>
      <c r="G10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5" s="4" t="str">
        <f>IF(COUNTIF(Calculations!DP:DP,Subgroup_number)=1,INDEX(Calculations!DP:EU,MATCH(Subgroup_number,Calculations!DP:DP,0),5),IF(Subgroup_number=Calculations!EY$25,Calculations!EY$17,""))</f>
        <v/>
      </c>
      <c r="M105" s="38" t="str">
        <f>IF(COUNTIF(Calculations!DP:DP,Subgroup_number)=1,INDEX(Calculations!DP:EU,MATCH(Subgroup_number,Calculations!DP:DP,0),6),IF(Subgroup_number=Calculations!EY$25,Calculations!EY$18,""))</f>
        <v/>
      </c>
      <c r="N105" s="30" t="str">
        <f>IF(COUNTIF(Calculations!DP:DP,Subgroup_number)=1,INDEX(Calculations!DP:EU,MATCH(Subgroup_number,Calculations!DP:DP,0),7),IF(Subgroup_number=Calculations!EY$25,Calculations!EY$19,""))</f>
        <v/>
      </c>
      <c r="O105" s="4" t="str">
        <f>IF(COUNTIF(Calculations!DP:DP,Subgroup_number)=1,INDEX(Calculations!DP:EU,MATCH(Subgroup_number,Calculations!DP:DP,0),9),IF(Subgroup_number=Calculations!EY$25,Calculations!EY$20,""))</f>
        <v/>
      </c>
      <c r="P105" s="4" t="str">
        <f>IF(COUNTIF(Calculations!DP:DP,Subgroup_number)=1,INDEX(Calculations!DP:EU,MATCH(Subgroup_number,Calculations!DP:DP,0),10),IF(Subgroup_number=Calculations!EY$25,Calculations!EY$21,""))</f>
        <v/>
      </c>
      <c r="Q10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5" s="182"/>
      <c r="U105" s="176"/>
      <c r="W105" s="176"/>
      <c r="Y105" s="176"/>
      <c r="AA105" s="176"/>
    </row>
    <row r="106" spans="6:27" x14ac:dyDescent="0.2">
      <c r="F106" s="89">
        <v>105</v>
      </c>
      <c r="G10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6" s="4" t="str">
        <f>IF(COUNTIF(Calculations!DP:DP,Subgroup_number)=1,INDEX(Calculations!DP:EU,MATCH(Subgroup_number,Calculations!DP:DP,0),5),IF(Subgroup_number=Calculations!EY$25,Calculations!EY$17,""))</f>
        <v/>
      </c>
      <c r="M106" s="38" t="str">
        <f>IF(COUNTIF(Calculations!DP:DP,Subgroup_number)=1,INDEX(Calculations!DP:EU,MATCH(Subgroup_number,Calculations!DP:DP,0),6),IF(Subgroup_number=Calculations!EY$25,Calculations!EY$18,""))</f>
        <v/>
      </c>
      <c r="N106" s="30" t="str">
        <f>IF(COUNTIF(Calculations!DP:DP,Subgroup_number)=1,INDEX(Calculations!DP:EU,MATCH(Subgroup_number,Calculations!DP:DP,0),7),IF(Subgroup_number=Calculations!EY$25,Calculations!EY$19,""))</f>
        <v/>
      </c>
      <c r="O106" s="4" t="str">
        <f>IF(COUNTIF(Calculations!DP:DP,Subgroup_number)=1,INDEX(Calculations!DP:EU,MATCH(Subgroup_number,Calculations!DP:DP,0),9),IF(Subgroup_number=Calculations!EY$25,Calculations!EY$20,""))</f>
        <v/>
      </c>
      <c r="P106" s="4" t="str">
        <f>IF(COUNTIF(Calculations!DP:DP,Subgroup_number)=1,INDEX(Calculations!DP:EU,MATCH(Subgroup_number,Calculations!DP:DP,0),10),IF(Subgroup_number=Calculations!EY$25,Calculations!EY$21,""))</f>
        <v/>
      </c>
      <c r="Q10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6" s="182"/>
      <c r="U106" s="176"/>
      <c r="W106" s="176"/>
      <c r="Y106" s="176"/>
      <c r="AA106" s="176"/>
    </row>
    <row r="107" spans="6:27" x14ac:dyDescent="0.2">
      <c r="F107" s="89">
        <v>106</v>
      </c>
      <c r="G10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7" s="4" t="str">
        <f>IF(COUNTIF(Calculations!DP:DP,Subgroup_number)=1,INDEX(Calculations!DP:EU,MATCH(Subgroup_number,Calculations!DP:DP,0),5),IF(Subgroup_number=Calculations!EY$25,Calculations!EY$17,""))</f>
        <v/>
      </c>
      <c r="M107" s="38" t="str">
        <f>IF(COUNTIF(Calculations!DP:DP,Subgroup_number)=1,INDEX(Calculations!DP:EU,MATCH(Subgroup_number,Calculations!DP:DP,0),6),IF(Subgroup_number=Calculations!EY$25,Calculations!EY$18,""))</f>
        <v/>
      </c>
      <c r="N107" s="30" t="str">
        <f>IF(COUNTIF(Calculations!DP:DP,Subgroup_number)=1,INDEX(Calculations!DP:EU,MATCH(Subgroup_number,Calculations!DP:DP,0),7),IF(Subgroup_number=Calculations!EY$25,Calculations!EY$19,""))</f>
        <v/>
      </c>
      <c r="O107" s="4" t="str">
        <f>IF(COUNTIF(Calculations!DP:DP,Subgroup_number)=1,INDEX(Calculations!DP:EU,MATCH(Subgroup_number,Calculations!DP:DP,0),9),IF(Subgroup_number=Calculations!EY$25,Calculations!EY$20,""))</f>
        <v/>
      </c>
      <c r="P107" s="4" t="str">
        <f>IF(COUNTIF(Calculations!DP:DP,Subgroup_number)=1,INDEX(Calculations!DP:EU,MATCH(Subgroup_number,Calculations!DP:DP,0),10),IF(Subgroup_number=Calculations!EY$25,Calculations!EY$21,""))</f>
        <v/>
      </c>
      <c r="Q10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7" s="182"/>
      <c r="U107" s="176"/>
      <c r="W107" s="176"/>
      <c r="Y107" s="176"/>
      <c r="AA107" s="176"/>
    </row>
    <row r="108" spans="6:27" x14ac:dyDescent="0.2">
      <c r="F108" s="89">
        <v>107</v>
      </c>
      <c r="G10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8" s="4" t="str">
        <f>IF(COUNTIF(Calculations!DP:DP,Subgroup_number)=1,INDEX(Calculations!DP:EU,MATCH(Subgroup_number,Calculations!DP:DP,0),5),IF(Subgroup_number=Calculations!EY$25,Calculations!EY$17,""))</f>
        <v/>
      </c>
      <c r="M108" s="38" t="str">
        <f>IF(COUNTIF(Calculations!DP:DP,Subgroup_number)=1,INDEX(Calculations!DP:EU,MATCH(Subgroup_number,Calculations!DP:DP,0),6),IF(Subgroup_number=Calculations!EY$25,Calculations!EY$18,""))</f>
        <v/>
      </c>
      <c r="N108" s="30" t="str">
        <f>IF(COUNTIF(Calculations!DP:DP,Subgroup_number)=1,INDEX(Calculations!DP:EU,MATCH(Subgroup_number,Calculations!DP:DP,0),7),IF(Subgroup_number=Calculations!EY$25,Calculations!EY$19,""))</f>
        <v/>
      </c>
      <c r="O108" s="4" t="str">
        <f>IF(COUNTIF(Calculations!DP:DP,Subgroup_number)=1,INDEX(Calculations!DP:EU,MATCH(Subgroup_number,Calculations!DP:DP,0),9),IF(Subgroup_number=Calculations!EY$25,Calculations!EY$20,""))</f>
        <v/>
      </c>
      <c r="P108" s="4" t="str">
        <f>IF(COUNTIF(Calculations!DP:DP,Subgroup_number)=1,INDEX(Calculations!DP:EU,MATCH(Subgroup_number,Calculations!DP:DP,0),10),IF(Subgroup_number=Calculations!EY$25,Calculations!EY$21,""))</f>
        <v/>
      </c>
      <c r="Q10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8" s="182"/>
      <c r="U108" s="176"/>
      <c r="W108" s="176"/>
      <c r="Y108" s="176"/>
      <c r="AA108" s="176"/>
    </row>
    <row r="109" spans="6:27" x14ac:dyDescent="0.2">
      <c r="F109" s="89">
        <v>108</v>
      </c>
      <c r="G10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0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0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0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0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09" s="4" t="str">
        <f>IF(COUNTIF(Calculations!DP:DP,Subgroup_number)=1,INDEX(Calculations!DP:EU,MATCH(Subgroup_number,Calculations!DP:DP,0),5),IF(Subgroup_number=Calculations!EY$25,Calculations!EY$17,""))</f>
        <v/>
      </c>
      <c r="M109" s="38" t="str">
        <f>IF(COUNTIF(Calculations!DP:DP,Subgroup_number)=1,INDEX(Calculations!DP:EU,MATCH(Subgroup_number,Calculations!DP:DP,0),6),IF(Subgroup_number=Calculations!EY$25,Calculations!EY$18,""))</f>
        <v/>
      </c>
      <c r="N109" s="30" t="str">
        <f>IF(COUNTIF(Calculations!DP:DP,Subgroup_number)=1,INDEX(Calculations!DP:EU,MATCH(Subgroup_number,Calculations!DP:DP,0),7),IF(Subgroup_number=Calculations!EY$25,Calculations!EY$19,""))</f>
        <v/>
      </c>
      <c r="O109" s="4" t="str">
        <f>IF(COUNTIF(Calculations!DP:DP,Subgroup_number)=1,INDEX(Calculations!DP:EU,MATCH(Subgroup_number,Calculations!DP:DP,0),9),IF(Subgroup_number=Calculations!EY$25,Calculations!EY$20,""))</f>
        <v/>
      </c>
      <c r="P109" s="4" t="str">
        <f>IF(COUNTIF(Calculations!DP:DP,Subgroup_number)=1,INDEX(Calculations!DP:EU,MATCH(Subgroup_number,Calculations!DP:DP,0),10),IF(Subgroup_number=Calculations!EY$25,Calculations!EY$21,""))</f>
        <v/>
      </c>
      <c r="Q10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0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09" s="182"/>
      <c r="U109" s="176"/>
      <c r="W109" s="176"/>
      <c r="Y109" s="176"/>
      <c r="AA109" s="176"/>
    </row>
    <row r="110" spans="6:27" x14ac:dyDescent="0.2">
      <c r="F110" s="89">
        <v>109</v>
      </c>
      <c r="G11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0" s="4" t="str">
        <f>IF(COUNTIF(Calculations!DP:DP,Subgroup_number)=1,INDEX(Calculations!DP:EU,MATCH(Subgroup_number,Calculations!DP:DP,0),5),IF(Subgroup_number=Calculations!EY$25,Calculations!EY$17,""))</f>
        <v/>
      </c>
      <c r="M110" s="38" t="str">
        <f>IF(COUNTIF(Calculations!DP:DP,Subgroup_number)=1,INDEX(Calculations!DP:EU,MATCH(Subgroup_number,Calculations!DP:DP,0),6),IF(Subgroup_number=Calculations!EY$25,Calculations!EY$18,""))</f>
        <v/>
      </c>
      <c r="N110" s="30" t="str">
        <f>IF(COUNTIF(Calculations!DP:DP,Subgroup_number)=1,INDEX(Calculations!DP:EU,MATCH(Subgroup_number,Calculations!DP:DP,0),7),IF(Subgroup_number=Calculations!EY$25,Calculations!EY$19,""))</f>
        <v/>
      </c>
      <c r="O110" s="4" t="str">
        <f>IF(COUNTIF(Calculations!DP:DP,Subgroup_number)=1,INDEX(Calculations!DP:EU,MATCH(Subgroup_number,Calculations!DP:DP,0),9),IF(Subgroup_number=Calculations!EY$25,Calculations!EY$20,""))</f>
        <v/>
      </c>
      <c r="P110" s="4" t="str">
        <f>IF(COUNTIF(Calculations!DP:DP,Subgroup_number)=1,INDEX(Calculations!DP:EU,MATCH(Subgroup_number,Calculations!DP:DP,0),10),IF(Subgroup_number=Calculations!EY$25,Calculations!EY$21,""))</f>
        <v/>
      </c>
      <c r="Q11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0" s="182"/>
      <c r="U110" s="176"/>
      <c r="W110" s="176"/>
      <c r="Y110" s="176"/>
      <c r="AA110" s="176"/>
    </row>
    <row r="111" spans="6:27" x14ac:dyDescent="0.2">
      <c r="F111" s="89">
        <v>110</v>
      </c>
      <c r="G11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1" s="4" t="str">
        <f>IF(COUNTIF(Calculations!DP:DP,Subgroup_number)=1,INDEX(Calculations!DP:EU,MATCH(Subgroup_number,Calculations!DP:DP,0),5),IF(Subgroup_number=Calculations!EY$25,Calculations!EY$17,""))</f>
        <v/>
      </c>
      <c r="M111" s="38" t="str">
        <f>IF(COUNTIF(Calculations!DP:DP,Subgroup_number)=1,INDEX(Calculations!DP:EU,MATCH(Subgroup_number,Calculations!DP:DP,0),6),IF(Subgroup_number=Calculations!EY$25,Calculations!EY$18,""))</f>
        <v/>
      </c>
      <c r="N111" s="30" t="str">
        <f>IF(COUNTIF(Calculations!DP:DP,Subgroup_number)=1,INDEX(Calculations!DP:EU,MATCH(Subgroup_number,Calculations!DP:DP,0),7),IF(Subgroup_number=Calculations!EY$25,Calculations!EY$19,""))</f>
        <v/>
      </c>
      <c r="O111" s="4" t="str">
        <f>IF(COUNTIF(Calculations!DP:DP,Subgroup_number)=1,INDEX(Calculations!DP:EU,MATCH(Subgroup_number,Calculations!DP:DP,0),9),IF(Subgroup_number=Calculations!EY$25,Calculations!EY$20,""))</f>
        <v/>
      </c>
      <c r="P111" s="4" t="str">
        <f>IF(COUNTIF(Calculations!DP:DP,Subgroup_number)=1,INDEX(Calculations!DP:EU,MATCH(Subgroup_number,Calculations!DP:DP,0),10),IF(Subgroup_number=Calculations!EY$25,Calculations!EY$21,""))</f>
        <v/>
      </c>
      <c r="Q11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1" s="182"/>
      <c r="U111" s="176"/>
      <c r="W111" s="176"/>
      <c r="Y111" s="176"/>
      <c r="AA111" s="176"/>
    </row>
    <row r="112" spans="6:27" x14ac:dyDescent="0.2">
      <c r="F112" s="89">
        <v>111</v>
      </c>
      <c r="G11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2" s="4" t="str">
        <f>IF(COUNTIF(Calculations!DP:DP,Subgroup_number)=1,INDEX(Calculations!DP:EU,MATCH(Subgroup_number,Calculations!DP:DP,0),5),IF(Subgroup_number=Calculations!EY$25,Calculations!EY$17,""))</f>
        <v/>
      </c>
      <c r="M112" s="38" t="str">
        <f>IF(COUNTIF(Calculations!DP:DP,Subgroup_number)=1,INDEX(Calculations!DP:EU,MATCH(Subgroup_number,Calculations!DP:DP,0),6),IF(Subgroup_number=Calculations!EY$25,Calculations!EY$18,""))</f>
        <v/>
      </c>
      <c r="N112" s="30" t="str">
        <f>IF(COUNTIF(Calculations!DP:DP,Subgroup_number)=1,INDEX(Calculations!DP:EU,MATCH(Subgroup_number,Calculations!DP:DP,0),7),IF(Subgroup_number=Calculations!EY$25,Calculations!EY$19,""))</f>
        <v/>
      </c>
      <c r="O112" s="4" t="str">
        <f>IF(COUNTIF(Calculations!DP:DP,Subgroup_number)=1,INDEX(Calculations!DP:EU,MATCH(Subgroup_number,Calculations!DP:DP,0),9),IF(Subgroup_number=Calculations!EY$25,Calculations!EY$20,""))</f>
        <v/>
      </c>
      <c r="P112" s="4" t="str">
        <f>IF(COUNTIF(Calculations!DP:DP,Subgroup_number)=1,INDEX(Calculations!DP:EU,MATCH(Subgroup_number,Calculations!DP:DP,0),10),IF(Subgroup_number=Calculations!EY$25,Calculations!EY$21,""))</f>
        <v/>
      </c>
      <c r="Q11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2" s="182"/>
      <c r="U112" s="176"/>
      <c r="W112" s="176"/>
      <c r="Y112" s="176"/>
      <c r="AA112" s="176"/>
    </row>
    <row r="113" spans="6:27" x14ac:dyDescent="0.2">
      <c r="F113" s="89">
        <v>112</v>
      </c>
      <c r="G11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3" s="4" t="str">
        <f>IF(COUNTIF(Calculations!DP:DP,Subgroup_number)=1,INDEX(Calculations!DP:EU,MATCH(Subgroup_number,Calculations!DP:DP,0),5),IF(Subgroup_number=Calculations!EY$25,Calculations!EY$17,""))</f>
        <v/>
      </c>
      <c r="M113" s="38" t="str">
        <f>IF(COUNTIF(Calculations!DP:DP,Subgroup_number)=1,INDEX(Calculations!DP:EU,MATCH(Subgroup_number,Calculations!DP:DP,0),6),IF(Subgroup_number=Calculations!EY$25,Calculations!EY$18,""))</f>
        <v/>
      </c>
      <c r="N113" s="30" t="str">
        <f>IF(COUNTIF(Calculations!DP:DP,Subgroup_number)=1,INDEX(Calculations!DP:EU,MATCH(Subgroup_number,Calculations!DP:DP,0),7),IF(Subgroup_number=Calculations!EY$25,Calculations!EY$19,""))</f>
        <v/>
      </c>
      <c r="O113" s="4" t="str">
        <f>IF(COUNTIF(Calculations!DP:DP,Subgroup_number)=1,INDEX(Calculations!DP:EU,MATCH(Subgroup_number,Calculations!DP:DP,0),9),IF(Subgroup_number=Calculations!EY$25,Calculations!EY$20,""))</f>
        <v/>
      </c>
      <c r="P113" s="4" t="str">
        <f>IF(COUNTIF(Calculations!DP:DP,Subgroup_number)=1,INDEX(Calculations!DP:EU,MATCH(Subgroup_number,Calculations!DP:DP,0),10),IF(Subgroup_number=Calculations!EY$25,Calculations!EY$21,""))</f>
        <v/>
      </c>
      <c r="Q11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3" s="182"/>
      <c r="U113" s="176"/>
      <c r="W113" s="176"/>
      <c r="Y113" s="176"/>
      <c r="AA113" s="176"/>
    </row>
    <row r="114" spans="6:27" x14ac:dyDescent="0.2">
      <c r="F114" s="89">
        <v>113</v>
      </c>
      <c r="G11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4" s="4" t="str">
        <f>IF(COUNTIF(Calculations!DP:DP,Subgroup_number)=1,INDEX(Calculations!DP:EU,MATCH(Subgroup_number,Calculations!DP:DP,0),5),IF(Subgroup_number=Calculations!EY$25,Calculations!EY$17,""))</f>
        <v/>
      </c>
      <c r="M114" s="38" t="str">
        <f>IF(COUNTIF(Calculations!DP:DP,Subgroup_number)=1,INDEX(Calculations!DP:EU,MATCH(Subgroup_number,Calculations!DP:DP,0),6),IF(Subgroup_number=Calculations!EY$25,Calculations!EY$18,""))</f>
        <v/>
      </c>
      <c r="N114" s="30" t="str">
        <f>IF(COUNTIF(Calculations!DP:DP,Subgroup_number)=1,INDEX(Calculations!DP:EU,MATCH(Subgroup_number,Calculations!DP:DP,0),7),IF(Subgroup_number=Calculations!EY$25,Calculations!EY$19,""))</f>
        <v/>
      </c>
      <c r="O114" s="4" t="str">
        <f>IF(COUNTIF(Calculations!DP:DP,Subgroup_number)=1,INDEX(Calculations!DP:EU,MATCH(Subgroup_number,Calculations!DP:DP,0),9),IF(Subgroup_number=Calculations!EY$25,Calculations!EY$20,""))</f>
        <v/>
      </c>
      <c r="P114" s="4" t="str">
        <f>IF(COUNTIF(Calculations!DP:DP,Subgroup_number)=1,INDEX(Calculations!DP:EU,MATCH(Subgroup_number,Calculations!DP:DP,0),10),IF(Subgroup_number=Calculations!EY$25,Calculations!EY$21,""))</f>
        <v/>
      </c>
      <c r="Q11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4" s="182"/>
      <c r="U114" s="176"/>
      <c r="W114" s="176"/>
      <c r="Y114" s="176"/>
      <c r="AA114" s="176"/>
    </row>
    <row r="115" spans="6:27" x14ac:dyDescent="0.2">
      <c r="F115" s="89">
        <v>114</v>
      </c>
      <c r="G11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5" s="4" t="str">
        <f>IF(COUNTIF(Calculations!DP:DP,Subgroup_number)=1,INDEX(Calculations!DP:EU,MATCH(Subgroup_number,Calculations!DP:DP,0),5),IF(Subgroup_number=Calculations!EY$25,Calculations!EY$17,""))</f>
        <v/>
      </c>
      <c r="M115" s="38" t="str">
        <f>IF(COUNTIF(Calculations!DP:DP,Subgroup_number)=1,INDEX(Calculations!DP:EU,MATCH(Subgroup_number,Calculations!DP:DP,0),6),IF(Subgroup_number=Calculations!EY$25,Calculations!EY$18,""))</f>
        <v/>
      </c>
      <c r="N115" s="30" t="str">
        <f>IF(COUNTIF(Calculations!DP:DP,Subgroup_number)=1,INDEX(Calculations!DP:EU,MATCH(Subgroup_number,Calculations!DP:DP,0),7),IF(Subgroup_number=Calculations!EY$25,Calculations!EY$19,""))</f>
        <v/>
      </c>
      <c r="O115" s="4" t="str">
        <f>IF(COUNTIF(Calculations!DP:DP,Subgroup_number)=1,INDEX(Calculations!DP:EU,MATCH(Subgroup_number,Calculations!DP:DP,0),9),IF(Subgroup_number=Calculations!EY$25,Calculations!EY$20,""))</f>
        <v/>
      </c>
      <c r="P115" s="4" t="str">
        <f>IF(COUNTIF(Calculations!DP:DP,Subgroup_number)=1,INDEX(Calculations!DP:EU,MATCH(Subgroup_number,Calculations!DP:DP,0),10),IF(Subgroup_number=Calculations!EY$25,Calculations!EY$21,""))</f>
        <v/>
      </c>
      <c r="Q11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5" s="182"/>
      <c r="U115" s="176"/>
      <c r="W115" s="176"/>
      <c r="Y115" s="176"/>
      <c r="AA115" s="176"/>
    </row>
    <row r="116" spans="6:27" x14ac:dyDescent="0.2">
      <c r="F116" s="89">
        <v>115</v>
      </c>
      <c r="G11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6" s="4" t="str">
        <f>IF(COUNTIF(Calculations!DP:DP,Subgroup_number)=1,INDEX(Calculations!DP:EU,MATCH(Subgroup_number,Calculations!DP:DP,0),5),IF(Subgroup_number=Calculations!EY$25,Calculations!EY$17,""))</f>
        <v/>
      </c>
      <c r="M116" s="38" t="str">
        <f>IF(COUNTIF(Calculations!DP:DP,Subgroup_number)=1,INDEX(Calculations!DP:EU,MATCH(Subgroup_number,Calculations!DP:DP,0),6),IF(Subgroup_number=Calculations!EY$25,Calculations!EY$18,""))</f>
        <v/>
      </c>
      <c r="N116" s="30" t="str">
        <f>IF(COUNTIF(Calculations!DP:DP,Subgroup_number)=1,INDEX(Calculations!DP:EU,MATCH(Subgroup_number,Calculations!DP:DP,0),7),IF(Subgroup_number=Calculations!EY$25,Calculations!EY$19,""))</f>
        <v/>
      </c>
      <c r="O116" s="4" t="str">
        <f>IF(COUNTIF(Calculations!DP:DP,Subgroup_number)=1,INDEX(Calculations!DP:EU,MATCH(Subgroup_number,Calculations!DP:DP,0),9),IF(Subgroup_number=Calculations!EY$25,Calculations!EY$20,""))</f>
        <v/>
      </c>
      <c r="P116" s="4" t="str">
        <f>IF(COUNTIF(Calculations!DP:DP,Subgroup_number)=1,INDEX(Calculations!DP:EU,MATCH(Subgroup_number,Calculations!DP:DP,0),10),IF(Subgroup_number=Calculations!EY$25,Calculations!EY$21,""))</f>
        <v/>
      </c>
      <c r="Q11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6" s="182"/>
      <c r="U116" s="176"/>
      <c r="W116" s="176"/>
      <c r="Y116" s="176"/>
      <c r="AA116" s="176"/>
    </row>
    <row r="117" spans="6:27" x14ac:dyDescent="0.2">
      <c r="F117" s="89">
        <v>116</v>
      </c>
      <c r="G11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7" s="4" t="str">
        <f>IF(COUNTIF(Calculations!DP:DP,Subgroup_number)=1,INDEX(Calculations!DP:EU,MATCH(Subgroup_number,Calculations!DP:DP,0),5),IF(Subgroup_number=Calculations!EY$25,Calculations!EY$17,""))</f>
        <v/>
      </c>
      <c r="M117" s="38" t="str">
        <f>IF(COUNTIF(Calculations!DP:DP,Subgroup_number)=1,INDEX(Calculations!DP:EU,MATCH(Subgroup_number,Calculations!DP:DP,0),6),IF(Subgroup_number=Calculations!EY$25,Calculations!EY$18,""))</f>
        <v/>
      </c>
      <c r="N117" s="30" t="str">
        <f>IF(COUNTIF(Calculations!DP:DP,Subgroup_number)=1,INDEX(Calculations!DP:EU,MATCH(Subgroup_number,Calculations!DP:DP,0),7),IF(Subgroup_number=Calculations!EY$25,Calculations!EY$19,""))</f>
        <v/>
      </c>
      <c r="O117" s="4" t="str">
        <f>IF(COUNTIF(Calculations!DP:DP,Subgroup_number)=1,INDEX(Calculations!DP:EU,MATCH(Subgroup_number,Calculations!DP:DP,0),9),IF(Subgroup_number=Calculations!EY$25,Calculations!EY$20,""))</f>
        <v/>
      </c>
      <c r="P117" s="4" t="str">
        <f>IF(COUNTIF(Calculations!DP:DP,Subgroup_number)=1,INDEX(Calculations!DP:EU,MATCH(Subgroup_number,Calculations!DP:DP,0),10),IF(Subgroup_number=Calculations!EY$25,Calculations!EY$21,""))</f>
        <v/>
      </c>
      <c r="Q11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7" s="182"/>
      <c r="U117" s="176"/>
      <c r="W117" s="176"/>
      <c r="Y117" s="176"/>
      <c r="AA117" s="176"/>
    </row>
    <row r="118" spans="6:27" x14ac:dyDescent="0.2">
      <c r="F118" s="89">
        <v>117</v>
      </c>
      <c r="G11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8" s="4" t="str">
        <f>IF(COUNTIF(Calculations!DP:DP,Subgroup_number)=1,INDEX(Calculations!DP:EU,MATCH(Subgroup_number,Calculations!DP:DP,0),5),IF(Subgroup_number=Calculations!EY$25,Calculations!EY$17,""))</f>
        <v/>
      </c>
      <c r="M118" s="38" t="str">
        <f>IF(COUNTIF(Calculations!DP:DP,Subgroup_number)=1,INDEX(Calculations!DP:EU,MATCH(Subgroup_number,Calculations!DP:DP,0),6),IF(Subgroup_number=Calculations!EY$25,Calculations!EY$18,""))</f>
        <v/>
      </c>
      <c r="N118" s="30" t="str">
        <f>IF(COUNTIF(Calculations!DP:DP,Subgroup_number)=1,INDEX(Calculations!DP:EU,MATCH(Subgroup_number,Calculations!DP:DP,0),7),IF(Subgroup_number=Calculations!EY$25,Calculations!EY$19,""))</f>
        <v/>
      </c>
      <c r="O118" s="4" t="str">
        <f>IF(COUNTIF(Calculations!DP:DP,Subgroup_number)=1,INDEX(Calculations!DP:EU,MATCH(Subgroup_number,Calculations!DP:DP,0),9),IF(Subgroup_number=Calculations!EY$25,Calculations!EY$20,""))</f>
        <v/>
      </c>
      <c r="P118" s="4" t="str">
        <f>IF(COUNTIF(Calculations!DP:DP,Subgroup_number)=1,INDEX(Calculations!DP:EU,MATCH(Subgroup_number,Calculations!DP:DP,0),10),IF(Subgroup_number=Calculations!EY$25,Calculations!EY$21,""))</f>
        <v/>
      </c>
      <c r="Q11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8" s="182"/>
      <c r="U118" s="176"/>
      <c r="W118" s="176"/>
      <c r="Y118" s="176"/>
      <c r="AA118" s="176"/>
    </row>
    <row r="119" spans="6:27" x14ac:dyDescent="0.2">
      <c r="F119" s="89">
        <v>118</v>
      </c>
      <c r="G11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1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1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1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1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19" s="4" t="str">
        <f>IF(COUNTIF(Calculations!DP:DP,Subgroup_number)=1,INDEX(Calculations!DP:EU,MATCH(Subgroup_number,Calculations!DP:DP,0),5),IF(Subgroup_number=Calculations!EY$25,Calculations!EY$17,""))</f>
        <v/>
      </c>
      <c r="M119" s="38" t="str">
        <f>IF(COUNTIF(Calculations!DP:DP,Subgroup_number)=1,INDEX(Calculations!DP:EU,MATCH(Subgroup_number,Calculations!DP:DP,0),6),IF(Subgroup_number=Calculations!EY$25,Calculations!EY$18,""))</f>
        <v/>
      </c>
      <c r="N119" s="30" t="str">
        <f>IF(COUNTIF(Calculations!DP:DP,Subgroup_number)=1,INDEX(Calculations!DP:EU,MATCH(Subgroup_number,Calculations!DP:DP,0),7),IF(Subgroup_number=Calculations!EY$25,Calculations!EY$19,""))</f>
        <v/>
      </c>
      <c r="O119" s="4" t="str">
        <f>IF(COUNTIF(Calculations!DP:DP,Subgroup_number)=1,INDEX(Calculations!DP:EU,MATCH(Subgroup_number,Calculations!DP:DP,0),9),IF(Subgroup_number=Calculations!EY$25,Calculations!EY$20,""))</f>
        <v/>
      </c>
      <c r="P119" s="4" t="str">
        <f>IF(COUNTIF(Calculations!DP:DP,Subgroup_number)=1,INDEX(Calculations!DP:EU,MATCH(Subgroup_number,Calculations!DP:DP,0),10),IF(Subgroup_number=Calculations!EY$25,Calculations!EY$21,""))</f>
        <v/>
      </c>
      <c r="Q11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1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19" s="182"/>
      <c r="U119" s="176"/>
      <c r="W119" s="176"/>
      <c r="Y119" s="176"/>
      <c r="AA119" s="176"/>
    </row>
    <row r="120" spans="6:27" x14ac:dyDescent="0.2">
      <c r="F120" s="89">
        <v>119</v>
      </c>
      <c r="G12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0" s="4" t="str">
        <f>IF(COUNTIF(Calculations!DP:DP,Subgroup_number)=1,INDEX(Calculations!DP:EU,MATCH(Subgroup_number,Calculations!DP:DP,0),5),IF(Subgroup_number=Calculations!EY$25,Calculations!EY$17,""))</f>
        <v/>
      </c>
      <c r="M120" s="38" t="str">
        <f>IF(COUNTIF(Calculations!DP:DP,Subgroup_number)=1,INDEX(Calculations!DP:EU,MATCH(Subgroup_number,Calculations!DP:DP,0),6),IF(Subgroup_number=Calculations!EY$25,Calculations!EY$18,""))</f>
        <v/>
      </c>
      <c r="N120" s="30" t="str">
        <f>IF(COUNTIF(Calculations!DP:DP,Subgroup_number)=1,INDEX(Calculations!DP:EU,MATCH(Subgroup_number,Calculations!DP:DP,0),7),IF(Subgroup_number=Calculations!EY$25,Calculations!EY$19,""))</f>
        <v/>
      </c>
      <c r="O120" s="4" t="str">
        <f>IF(COUNTIF(Calculations!DP:DP,Subgroup_number)=1,INDEX(Calculations!DP:EU,MATCH(Subgroup_number,Calculations!DP:DP,0),9),IF(Subgroup_number=Calculations!EY$25,Calculations!EY$20,""))</f>
        <v/>
      </c>
      <c r="P120" s="4" t="str">
        <f>IF(COUNTIF(Calculations!DP:DP,Subgroup_number)=1,INDEX(Calculations!DP:EU,MATCH(Subgroup_number,Calculations!DP:DP,0),10),IF(Subgroup_number=Calculations!EY$25,Calculations!EY$21,""))</f>
        <v/>
      </c>
      <c r="Q12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0" s="182"/>
      <c r="U120" s="176"/>
      <c r="W120" s="176"/>
      <c r="Y120" s="176"/>
      <c r="AA120" s="176"/>
    </row>
    <row r="121" spans="6:27" x14ac:dyDescent="0.2">
      <c r="F121" s="89">
        <v>120</v>
      </c>
      <c r="G12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1" s="4" t="str">
        <f>IF(COUNTIF(Calculations!DP:DP,Subgroup_number)=1,INDEX(Calculations!DP:EU,MATCH(Subgroup_number,Calculations!DP:DP,0),5),IF(Subgroup_number=Calculations!EY$25,Calculations!EY$17,""))</f>
        <v/>
      </c>
      <c r="M121" s="38" t="str">
        <f>IF(COUNTIF(Calculations!DP:DP,Subgroup_number)=1,INDEX(Calculations!DP:EU,MATCH(Subgroup_number,Calculations!DP:DP,0),6),IF(Subgroup_number=Calculations!EY$25,Calculations!EY$18,""))</f>
        <v/>
      </c>
      <c r="N121" s="30" t="str">
        <f>IF(COUNTIF(Calculations!DP:DP,Subgroup_number)=1,INDEX(Calculations!DP:EU,MATCH(Subgroup_number,Calculations!DP:DP,0),7),IF(Subgroup_number=Calculations!EY$25,Calculations!EY$19,""))</f>
        <v/>
      </c>
      <c r="O121" s="4" t="str">
        <f>IF(COUNTIF(Calculations!DP:DP,Subgroup_number)=1,INDEX(Calculations!DP:EU,MATCH(Subgroup_number,Calculations!DP:DP,0),9),IF(Subgroup_number=Calculations!EY$25,Calculations!EY$20,""))</f>
        <v/>
      </c>
      <c r="P121" s="4" t="str">
        <f>IF(COUNTIF(Calculations!DP:DP,Subgroup_number)=1,INDEX(Calculations!DP:EU,MATCH(Subgroup_number,Calculations!DP:DP,0),10),IF(Subgroup_number=Calculations!EY$25,Calculations!EY$21,""))</f>
        <v/>
      </c>
      <c r="Q12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1" s="182"/>
      <c r="U121" s="176"/>
      <c r="W121" s="176"/>
      <c r="Y121" s="176"/>
      <c r="AA121" s="176"/>
    </row>
    <row r="122" spans="6:27" x14ac:dyDescent="0.2">
      <c r="F122" s="89">
        <v>121</v>
      </c>
      <c r="G12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2" s="4" t="str">
        <f>IF(COUNTIF(Calculations!DP:DP,Subgroup_number)=1,INDEX(Calculations!DP:EU,MATCH(Subgroup_number,Calculations!DP:DP,0),5),IF(Subgroup_number=Calculations!EY$25,Calculations!EY$17,""))</f>
        <v/>
      </c>
      <c r="M122" s="38" t="str">
        <f>IF(COUNTIF(Calculations!DP:DP,Subgroup_number)=1,INDEX(Calculations!DP:EU,MATCH(Subgroup_number,Calculations!DP:DP,0),6),IF(Subgroup_number=Calculations!EY$25,Calculations!EY$18,""))</f>
        <v/>
      </c>
      <c r="N122" s="30" t="str">
        <f>IF(COUNTIF(Calculations!DP:DP,Subgroup_number)=1,INDEX(Calculations!DP:EU,MATCH(Subgroup_number,Calculations!DP:DP,0),7),IF(Subgroup_number=Calculations!EY$25,Calculations!EY$19,""))</f>
        <v/>
      </c>
      <c r="O122" s="4" t="str">
        <f>IF(COUNTIF(Calculations!DP:DP,Subgroup_number)=1,INDEX(Calculations!DP:EU,MATCH(Subgroup_number,Calculations!DP:DP,0),9),IF(Subgroup_number=Calculations!EY$25,Calculations!EY$20,""))</f>
        <v/>
      </c>
      <c r="P122" s="4" t="str">
        <f>IF(COUNTIF(Calculations!DP:DP,Subgroup_number)=1,INDEX(Calculations!DP:EU,MATCH(Subgroup_number,Calculations!DP:DP,0),10),IF(Subgroup_number=Calculations!EY$25,Calculations!EY$21,""))</f>
        <v/>
      </c>
      <c r="Q12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2" s="182"/>
      <c r="U122" s="176"/>
      <c r="W122" s="176"/>
      <c r="Y122" s="176"/>
      <c r="AA122" s="176"/>
    </row>
    <row r="123" spans="6:27" x14ac:dyDescent="0.2">
      <c r="F123" s="89">
        <v>122</v>
      </c>
      <c r="G12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3" s="4" t="str">
        <f>IF(COUNTIF(Calculations!DP:DP,Subgroup_number)=1,INDEX(Calculations!DP:EU,MATCH(Subgroup_number,Calculations!DP:DP,0),5),IF(Subgroup_number=Calculations!EY$25,Calculations!EY$17,""))</f>
        <v/>
      </c>
      <c r="M123" s="38" t="str">
        <f>IF(COUNTIF(Calculations!DP:DP,Subgroup_number)=1,INDEX(Calculations!DP:EU,MATCH(Subgroup_number,Calculations!DP:DP,0),6),IF(Subgroup_number=Calculations!EY$25,Calculations!EY$18,""))</f>
        <v/>
      </c>
      <c r="N123" s="30" t="str">
        <f>IF(COUNTIF(Calculations!DP:DP,Subgroup_number)=1,INDEX(Calculations!DP:EU,MATCH(Subgroup_number,Calculations!DP:DP,0),7),IF(Subgroup_number=Calculations!EY$25,Calculations!EY$19,""))</f>
        <v/>
      </c>
      <c r="O123" s="4" t="str">
        <f>IF(COUNTIF(Calculations!DP:DP,Subgroup_number)=1,INDEX(Calculations!DP:EU,MATCH(Subgroup_number,Calculations!DP:DP,0),9),IF(Subgroup_number=Calculations!EY$25,Calculations!EY$20,""))</f>
        <v/>
      </c>
      <c r="P123" s="4" t="str">
        <f>IF(COUNTIF(Calculations!DP:DP,Subgroup_number)=1,INDEX(Calculations!DP:EU,MATCH(Subgroup_number,Calculations!DP:DP,0),10),IF(Subgroup_number=Calculations!EY$25,Calculations!EY$21,""))</f>
        <v/>
      </c>
      <c r="Q12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3" s="182"/>
      <c r="U123" s="176"/>
      <c r="W123" s="176"/>
      <c r="Y123" s="176"/>
      <c r="AA123" s="176"/>
    </row>
    <row r="124" spans="6:27" x14ac:dyDescent="0.2">
      <c r="F124" s="89">
        <v>123</v>
      </c>
      <c r="G12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4" s="4" t="str">
        <f>IF(COUNTIF(Calculations!DP:DP,Subgroup_number)=1,INDEX(Calculations!DP:EU,MATCH(Subgroup_number,Calculations!DP:DP,0),5),IF(Subgroup_number=Calculations!EY$25,Calculations!EY$17,""))</f>
        <v/>
      </c>
      <c r="M124" s="38" t="str">
        <f>IF(COUNTIF(Calculations!DP:DP,Subgroup_number)=1,INDEX(Calculations!DP:EU,MATCH(Subgroup_number,Calculations!DP:DP,0),6),IF(Subgroup_number=Calculations!EY$25,Calculations!EY$18,""))</f>
        <v/>
      </c>
      <c r="N124" s="30" t="str">
        <f>IF(COUNTIF(Calculations!DP:DP,Subgroup_number)=1,INDEX(Calculations!DP:EU,MATCH(Subgroup_number,Calculations!DP:DP,0),7),IF(Subgroup_number=Calculations!EY$25,Calculations!EY$19,""))</f>
        <v/>
      </c>
      <c r="O124" s="4" t="str">
        <f>IF(COUNTIF(Calculations!DP:DP,Subgroup_number)=1,INDEX(Calculations!DP:EU,MATCH(Subgroup_number,Calculations!DP:DP,0),9),IF(Subgroup_number=Calculations!EY$25,Calculations!EY$20,""))</f>
        <v/>
      </c>
      <c r="P124" s="4" t="str">
        <f>IF(COUNTIF(Calculations!DP:DP,Subgroup_number)=1,INDEX(Calculations!DP:EU,MATCH(Subgroup_number,Calculations!DP:DP,0),10),IF(Subgroup_number=Calculations!EY$25,Calculations!EY$21,""))</f>
        <v/>
      </c>
      <c r="Q12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4" s="182"/>
      <c r="U124" s="176"/>
      <c r="W124" s="176"/>
      <c r="Y124" s="176"/>
      <c r="AA124" s="176"/>
    </row>
    <row r="125" spans="6:27" x14ac:dyDescent="0.2">
      <c r="F125" s="89">
        <v>124</v>
      </c>
      <c r="G12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5" s="4" t="str">
        <f>IF(COUNTIF(Calculations!DP:DP,Subgroup_number)=1,INDEX(Calculations!DP:EU,MATCH(Subgroup_number,Calculations!DP:DP,0),5),IF(Subgroup_number=Calculations!EY$25,Calculations!EY$17,""))</f>
        <v/>
      </c>
      <c r="M125" s="38" t="str">
        <f>IF(COUNTIF(Calculations!DP:DP,Subgroup_number)=1,INDEX(Calculations!DP:EU,MATCH(Subgroup_number,Calculations!DP:DP,0),6),IF(Subgroup_number=Calculations!EY$25,Calculations!EY$18,""))</f>
        <v/>
      </c>
      <c r="N125" s="30" t="str">
        <f>IF(COUNTIF(Calculations!DP:DP,Subgroup_number)=1,INDEX(Calculations!DP:EU,MATCH(Subgroup_number,Calculations!DP:DP,0),7),IF(Subgroup_number=Calculations!EY$25,Calculations!EY$19,""))</f>
        <v/>
      </c>
      <c r="O125" s="4" t="str">
        <f>IF(COUNTIF(Calculations!DP:DP,Subgroup_number)=1,INDEX(Calculations!DP:EU,MATCH(Subgroup_number,Calculations!DP:DP,0),9),IF(Subgroup_number=Calculations!EY$25,Calculations!EY$20,""))</f>
        <v/>
      </c>
      <c r="P125" s="4" t="str">
        <f>IF(COUNTIF(Calculations!DP:DP,Subgroup_number)=1,INDEX(Calculations!DP:EU,MATCH(Subgroup_number,Calculations!DP:DP,0),10),IF(Subgroup_number=Calculations!EY$25,Calculations!EY$21,""))</f>
        <v/>
      </c>
      <c r="Q12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5" s="182"/>
      <c r="U125" s="176"/>
      <c r="W125" s="176"/>
      <c r="Y125" s="176"/>
      <c r="AA125" s="176"/>
    </row>
    <row r="126" spans="6:27" x14ac:dyDescent="0.2">
      <c r="F126" s="89">
        <v>125</v>
      </c>
      <c r="G12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6" s="4" t="str">
        <f>IF(COUNTIF(Calculations!DP:DP,Subgroup_number)=1,INDEX(Calculations!DP:EU,MATCH(Subgroup_number,Calculations!DP:DP,0),5),IF(Subgroup_number=Calculations!EY$25,Calculations!EY$17,""))</f>
        <v/>
      </c>
      <c r="M126" s="38" t="str">
        <f>IF(COUNTIF(Calculations!DP:DP,Subgroup_number)=1,INDEX(Calculations!DP:EU,MATCH(Subgroup_number,Calculations!DP:DP,0),6),IF(Subgroup_number=Calculations!EY$25,Calculations!EY$18,""))</f>
        <v/>
      </c>
      <c r="N126" s="30" t="str">
        <f>IF(COUNTIF(Calculations!DP:DP,Subgroup_number)=1,INDEX(Calculations!DP:EU,MATCH(Subgroup_number,Calculations!DP:DP,0),7),IF(Subgroup_number=Calculations!EY$25,Calculations!EY$19,""))</f>
        <v/>
      </c>
      <c r="O126" s="4" t="str">
        <f>IF(COUNTIF(Calculations!DP:DP,Subgroup_number)=1,INDEX(Calculations!DP:EU,MATCH(Subgroup_number,Calculations!DP:DP,0),9),IF(Subgroup_number=Calculations!EY$25,Calculations!EY$20,""))</f>
        <v/>
      </c>
      <c r="P126" s="4" t="str">
        <f>IF(COUNTIF(Calculations!DP:DP,Subgroup_number)=1,INDEX(Calculations!DP:EU,MATCH(Subgroup_number,Calculations!DP:DP,0),10),IF(Subgroup_number=Calculations!EY$25,Calculations!EY$21,""))</f>
        <v/>
      </c>
      <c r="Q12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6" s="182"/>
      <c r="U126" s="176"/>
      <c r="W126" s="176"/>
      <c r="Y126" s="176"/>
      <c r="AA126" s="176"/>
    </row>
    <row r="127" spans="6:27" x14ac:dyDescent="0.2">
      <c r="F127" s="89">
        <v>126</v>
      </c>
      <c r="G12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7" s="4" t="str">
        <f>IF(COUNTIF(Calculations!DP:DP,Subgroup_number)=1,INDEX(Calculations!DP:EU,MATCH(Subgroup_number,Calculations!DP:DP,0),5),IF(Subgroup_number=Calculations!EY$25,Calculations!EY$17,""))</f>
        <v/>
      </c>
      <c r="M127" s="38" t="str">
        <f>IF(COUNTIF(Calculations!DP:DP,Subgroup_number)=1,INDEX(Calculations!DP:EU,MATCH(Subgroup_number,Calculations!DP:DP,0),6),IF(Subgroup_number=Calculations!EY$25,Calculations!EY$18,""))</f>
        <v/>
      </c>
      <c r="N127" s="30" t="str">
        <f>IF(COUNTIF(Calculations!DP:DP,Subgroup_number)=1,INDEX(Calculations!DP:EU,MATCH(Subgroup_number,Calculations!DP:DP,0),7),IF(Subgroup_number=Calculations!EY$25,Calculations!EY$19,""))</f>
        <v/>
      </c>
      <c r="O127" s="4" t="str">
        <f>IF(COUNTIF(Calculations!DP:DP,Subgroup_number)=1,INDEX(Calculations!DP:EU,MATCH(Subgroup_number,Calculations!DP:DP,0),9),IF(Subgroup_number=Calculations!EY$25,Calculations!EY$20,""))</f>
        <v/>
      </c>
      <c r="P127" s="4" t="str">
        <f>IF(COUNTIF(Calculations!DP:DP,Subgroup_number)=1,INDEX(Calculations!DP:EU,MATCH(Subgroup_number,Calculations!DP:DP,0),10),IF(Subgroup_number=Calculations!EY$25,Calculations!EY$21,""))</f>
        <v/>
      </c>
      <c r="Q12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7" s="182"/>
      <c r="U127" s="176"/>
      <c r="W127" s="176"/>
      <c r="Y127" s="176"/>
      <c r="AA127" s="176"/>
    </row>
    <row r="128" spans="6:27" x14ac:dyDescent="0.2">
      <c r="F128" s="89">
        <v>127</v>
      </c>
      <c r="G12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8" s="4" t="str">
        <f>IF(COUNTIF(Calculations!DP:DP,Subgroup_number)=1,INDEX(Calculations!DP:EU,MATCH(Subgroup_number,Calculations!DP:DP,0),5),IF(Subgroup_number=Calculations!EY$25,Calculations!EY$17,""))</f>
        <v/>
      </c>
      <c r="M128" s="38" t="str">
        <f>IF(COUNTIF(Calculations!DP:DP,Subgroup_number)=1,INDEX(Calculations!DP:EU,MATCH(Subgroup_number,Calculations!DP:DP,0),6),IF(Subgroup_number=Calculations!EY$25,Calculations!EY$18,""))</f>
        <v/>
      </c>
      <c r="N128" s="30" t="str">
        <f>IF(COUNTIF(Calculations!DP:DP,Subgroup_number)=1,INDEX(Calculations!DP:EU,MATCH(Subgroup_number,Calculations!DP:DP,0),7),IF(Subgroup_number=Calculations!EY$25,Calculations!EY$19,""))</f>
        <v/>
      </c>
      <c r="O128" s="4" t="str">
        <f>IF(COUNTIF(Calculations!DP:DP,Subgroup_number)=1,INDEX(Calculations!DP:EU,MATCH(Subgroup_number,Calculations!DP:DP,0),9),IF(Subgroup_number=Calculations!EY$25,Calculations!EY$20,""))</f>
        <v/>
      </c>
      <c r="P128" s="4" t="str">
        <f>IF(COUNTIF(Calculations!DP:DP,Subgroup_number)=1,INDEX(Calculations!DP:EU,MATCH(Subgroup_number,Calculations!DP:DP,0),10),IF(Subgroup_number=Calculations!EY$25,Calculations!EY$21,""))</f>
        <v/>
      </c>
      <c r="Q12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8" s="182"/>
      <c r="U128" s="176"/>
      <c r="W128" s="176"/>
      <c r="Y128" s="176"/>
      <c r="AA128" s="176"/>
    </row>
    <row r="129" spans="6:27" x14ac:dyDescent="0.2">
      <c r="F129" s="89">
        <v>128</v>
      </c>
      <c r="G12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2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2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2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2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29" s="4" t="str">
        <f>IF(COUNTIF(Calculations!DP:DP,Subgroup_number)=1,INDEX(Calculations!DP:EU,MATCH(Subgroup_number,Calculations!DP:DP,0),5),IF(Subgroup_number=Calculations!EY$25,Calculations!EY$17,""))</f>
        <v/>
      </c>
      <c r="M129" s="38" t="str">
        <f>IF(COUNTIF(Calculations!DP:DP,Subgroup_number)=1,INDEX(Calculations!DP:EU,MATCH(Subgroup_number,Calculations!DP:DP,0),6),IF(Subgroup_number=Calculations!EY$25,Calculations!EY$18,""))</f>
        <v/>
      </c>
      <c r="N129" s="30" t="str">
        <f>IF(COUNTIF(Calculations!DP:DP,Subgroup_number)=1,INDEX(Calculations!DP:EU,MATCH(Subgroup_number,Calculations!DP:DP,0),7),IF(Subgroup_number=Calculations!EY$25,Calculations!EY$19,""))</f>
        <v/>
      </c>
      <c r="O129" s="4" t="str">
        <f>IF(COUNTIF(Calculations!DP:DP,Subgroup_number)=1,INDEX(Calculations!DP:EU,MATCH(Subgroup_number,Calculations!DP:DP,0),9),IF(Subgroup_number=Calculations!EY$25,Calculations!EY$20,""))</f>
        <v/>
      </c>
      <c r="P129" s="4" t="str">
        <f>IF(COUNTIF(Calculations!DP:DP,Subgroup_number)=1,INDEX(Calculations!DP:EU,MATCH(Subgroup_number,Calculations!DP:DP,0),10),IF(Subgroup_number=Calculations!EY$25,Calculations!EY$21,""))</f>
        <v/>
      </c>
      <c r="Q12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2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29" s="182"/>
      <c r="U129" s="176"/>
      <c r="W129" s="176"/>
      <c r="Y129" s="176"/>
      <c r="AA129" s="176"/>
    </row>
    <row r="130" spans="6:27" x14ac:dyDescent="0.2">
      <c r="F130" s="89">
        <v>129</v>
      </c>
      <c r="G13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0" s="4" t="str">
        <f>IF(COUNTIF(Calculations!DP:DP,Subgroup_number)=1,INDEX(Calculations!DP:EU,MATCH(Subgroup_number,Calculations!DP:DP,0),5),IF(Subgroup_number=Calculations!EY$25,Calculations!EY$17,""))</f>
        <v/>
      </c>
      <c r="M130" s="38" t="str">
        <f>IF(COUNTIF(Calculations!DP:DP,Subgroup_number)=1,INDEX(Calculations!DP:EU,MATCH(Subgroup_number,Calculations!DP:DP,0),6),IF(Subgroup_number=Calculations!EY$25,Calculations!EY$18,""))</f>
        <v/>
      </c>
      <c r="N130" s="30" t="str">
        <f>IF(COUNTIF(Calculations!DP:DP,Subgroup_number)=1,INDEX(Calculations!DP:EU,MATCH(Subgroup_number,Calculations!DP:DP,0),7),IF(Subgroup_number=Calculations!EY$25,Calculations!EY$19,""))</f>
        <v/>
      </c>
      <c r="O130" s="4" t="str">
        <f>IF(COUNTIF(Calculations!DP:DP,Subgroup_number)=1,INDEX(Calculations!DP:EU,MATCH(Subgroup_number,Calculations!DP:DP,0),9),IF(Subgroup_number=Calculations!EY$25,Calculations!EY$20,""))</f>
        <v/>
      </c>
      <c r="P130" s="4" t="str">
        <f>IF(COUNTIF(Calculations!DP:DP,Subgroup_number)=1,INDEX(Calculations!DP:EU,MATCH(Subgroup_number,Calculations!DP:DP,0),10),IF(Subgroup_number=Calculations!EY$25,Calculations!EY$21,""))</f>
        <v/>
      </c>
      <c r="Q13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0" s="182"/>
      <c r="U130" s="176"/>
      <c r="W130" s="176"/>
      <c r="Y130" s="176"/>
      <c r="AA130" s="176"/>
    </row>
    <row r="131" spans="6:27" x14ac:dyDescent="0.2">
      <c r="F131" s="89">
        <v>130</v>
      </c>
      <c r="G13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1" s="4" t="str">
        <f>IF(COUNTIF(Calculations!DP:DP,Subgroup_number)=1,INDEX(Calculations!DP:EU,MATCH(Subgroup_number,Calculations!DP:DP,0),5),IF(Subgroup_number=Calculations!EY$25,Calculations!EY$17,""))</f>
        <v/>
      </c>
      <c r="M131" s="38" t="str">
        <f>IF(COUNTIF(Calculations!DP:DP,Subgroup_number)=1,INDEX(Calculations!DP:EU,MATCH(Subgroup_number,Calculations!DP:DP,0),6),IF(Subgroup_number=Calculations!EY$25,Calculations!EY$18,""))</f>
        <v/>
      </c>
      <c r="N131" s="30" t="str">
        <f>IF(COUNTIF(Calculations!DP:DP,Subgroup_number)=1,INDEX(Calculations!DP:EU,MATCH(Subgroup_number,Calculations!DP:DP,0),7),IF(Subgroup_number=Calculations!EY$25,Calculations!EY$19,""))</f>
        <v/>
      </c>
      <c r="O131" s="4" t="str">
        <f>IF(COUNTIF(Calculations!DP:DP,Subgroup_number)=1,INDEX(Calculations!DP:EU,MATCH(Subgroup_number,Calculations!DP:DP,0),9),IF(Subgroup_number=Calculations!EY$25,Calculations!EY$20,""))</f>
        <v/>
      </c>
      <c r="P131" s="4" t="str">
        <f>IF(COUNTIF(Calculations!DP:DP,Subgroup_number)=1,INDEX(Calculations!DP:EU,MATCH(Subgroup_number,Calculations!DP:DP,0),10),IF(Subgroup_number=Calculations!EY$25,Calculations!EY$21,""))</f>
        <v/>
      </c>
      <c r="Q13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1" s="182"/>
      <c r="U131" s="176"/>
      <c r="W131" s="176"/>
      <c r="Y131" s="176"/>
      <c r="AA131" s="176"/>
    </row>
    <row r="132" spans="6:27" x14ac:dyDescent="0.2">
      <c r="F132" s="89">
        <v>131</v>
      </c>
      <c r="G13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2" s="4" t="str">
        <f>IF(COUNTIF(Calculations!DP:DP,Subgroup_number)=1,INDEX(Calculations!DP:EU,MATCH(Subgroup_number,Calculations!DP:DP,0),5),IF(Subgroup_number=Calculations!EY$25,Calculations!EY$17,""))</f>
        <v/>
      </c>
      <c r="M132" s="38" t="str">
        <f>IF(COUNTIF(Calculations!DP:DP,Subgroup_number)=1,INDEX(Calculations!DP:EU,MATCH(Subgroup_number,Calculations!DP:DP,0),6),IF(Subgroup_number=Calculations!EY$25,Calculations!EY$18,""))</f>
        <v/>
      </c>
      <c r="N132" s="30" t="str">
        <f>IF(COUNTIF(Calculations!DP:DP,Subgroup_number)=1,INDEX(Calculations!DP:EU,MATCH(Subgroup_number,Calculations!DP:DP,0),7),IF(Subgroup_number=Calculations!EY$25,Calculations!EY$19,""))</f>
        <v/>
      </c>
      <c r="O132" s="4" t="str">
        <f>IF(COUNTIF(Calculations!DP:DP,Subgroup_number)=1,INDEX(Calculations!DP:EU,MATCH(Subgroup_number,Calculations!DP:DP,0),9),IF(Subgroup_number=Calculations!EY$25,Calculations!EY$20,""))</f>
        <v/>
      </c>
      <c r="P132" s="4" t="str">
        <f>IF(COUNTIF(Calculations!DP:DP,Subgroup_number)=1,INDEX(Calculations!DP:EU,MATCH(Subgroup_number,Calculations!DP:DP,0),10),IF(Subgroup_number=Calculations!EY$25,Calculations!EY$21,""))</f>
        <v/>
      </c>
      <c r="Q13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2" s="182"/>
      <c r="U132" s="176"/>
      <c r="W132" s="176"/>
      <c r="Y132" s="176"/>
      <c r="AA132" s="176"/>
    </row>
    <row r="133" spans="6:27" x14ac:dyDescent="0.2">
      <c r="F133" s="89">
        <v>132</v>
      </c>
      <c r="G13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3" s="4" t="str">
        <f>IF(COUNTIF(Calculations!DP:DP,Subgroup_number)=1,INDEX(Calculations!DP:EU,MATCH(Subgroup_number,Calculations!DP:DP,0),5),IF(Subgroup_number=Calculations!EY$25,Calculations!EY$17,""))</f>
        <v/>
      </c>
      <c r="M133" s="38" t="str">
        <f>IF(COUNTIF(Calculations!DP:DP,Subgroup_number)=1,INDEX(Calculations!DP:EU,MATCH(Subgroup_number,Calculations!DP:DP,0),6),IF(Subgroup_number=Calculations!EY$25,Calculations!EY$18,""))</f>
        <v/>
      </c>
      <c r="N133" s="30" t="str">
        <f>IF(COUNTIF(Calculations!DP:DP,Subgroup_number)=1,INDEX(Calculations!DP:EU,MATCH(Subgroup_number,Calculations!DP:DP,0),7),IF(Subgroup_number=Calculations!EY$25,Calculations!EY$19,""))</f>
        <v/>
      </c>
      <c r="O133" s="4" t="str">
        <f>IF(COUNTIF(Calculations!DP:DP,Subgroup_number)=1,INDEX(Calculations!DP:EU,MATCH(Subgroup_number,Calculations!DP:DP,0),9),IF(Subgroup_number=Calculations!EY$25,Calculations!EY$20,""))</f>
        <v/>
      </c>
      <c r="P133" s="4" t="str">
        <f>IF(COUNTIF(Calculations!DP:DP,Subgroup_number)=1,INDEX(Calculations!DP:EU,MATCH(Subgroup_number,Calculations!DP:DP,0),10),IF(Subgroup_number=Calculations!EY$25,Calculations!EY$21,""))</f>
        <v/>
      </c>
      <c r="Q13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3" s="182"/>
      <c r="U133" s="176"/>
      <c r="W133" s="176"/>
      <c r="Y133" s="176"/>
      <c r="AA133" s="176"/>
    </row>
    <row r="134" spans="6:27" x14ac:dyDescent="0.2">
      <c r="F134" s="89">
        <v>133</v>
      </c>
      <c r="G13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4" s="4" t="str">
        <f>IF(COUNTIF(Calculations!DP:DP,Subgroup_number)=1,INDEX(Calculations!DP:EU,MATCH(Subgroup_number,Calculations!DP:DP,0),5),IF(Subgroup_number=Calculations!EY$25,Calculations!EY$17,""))</f>
        <v/>
      </c>
      <c r="M134" s="38" t="str">
        <f>IF(COUNTIF(Calculations!DP:DP,Subgroup_number)=1,INDEX(Calculations!DP:EU,MATCH(Subgroup_number,Calculations!DP:DP,0),6),IF(Subgroup_number=Calculations!EY$25,Calculations!EY$18,""))</f>
        <v/>
      </c>
      <c r="N134" s="30" t="str">
        <f>IF(COUNTIF(Calculations!DP:DP,Subgroup_number)=1,INDEX(Calculations!DP:EU,MATCH(Subgroup_number,Calculations!DP:DP,0),7),IF(Subgroup_number=Calculations!EY$25,Calculations!EY$19,""))</f>
        <v/>
      </c>
      <c r="O134" s="4" t="str">
        <f>IF(COUNTIF(Calculations!DP:DP,Subgroup_number)=1,INDEX(Calculations!DP:EU,MATCH(Subgroup_number,Calculations!DP:DP,0),9),IF(Subgroup_number=Calculations!EY$25,Calculations!EY$20,""))</f>
        <v/>
      </c>
      <c r="P134" s="4" t="str">
        <f>IF(COUNTIF(Calculations!DP:DP,Subgroup_number)=1,INDEX(Calculations!DP:EU,MATCH(Subgroup_number,Calculations!DP:DP,0),10),IF(Subgroup_number=Calculations!EY$25,Calculations!EY$21,""))</f>
        <v/>
      </c>
      <c r="Q13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4" s="182"/>
      <c r="U134" s="176"/>
      <c r="W134" s="176"/>
      <c r="Y134" s="176"/>
      <c r="AA134" s="176"/>
    </row>
    <row r="135" spans="6:27" x14ac:dyDescent="0.2">
      <c r="F135" s="89">
        <v>134</v>
      </c>
      <c r="G13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5" s="4" t="str">
        <f>IF(COUNTIF(Calculations!DP:DP,Subgroup_number)=1,INDEX(Calculations!DP:EU,MATCH(Subgroup_number,Calculations!DP:DP,0),5),IF(Subgroup_number=Calculations!EY$25,Calculations!EY$17,""))</f>
        <v/>
      </c>
      <c r="M135" s="38" t="str">
        <f>IF(COUNTIF(Calculations!DP:DP,Subgroup_number)=1,INDEX(Calculations!DP:EU,MATCH(Subgroup_number,Calculations!DP:DP,0),6),IF(Subgroup_number=Calculations!EY$25,Calculations!EY$18,""))</f>
        <v/>
      </c>
      <c r="N135" s="30" t="str">
        <f>IF(COUNTIF(Calculations!DP:DP,Subgroup_number)=1,INDEX(Calculations!DP:EU,MATCH(Subgroup_number,Calculations!DP:DP,0),7),IF(Subgroup_number=Calculations!EY$25,Calculations!EY$19,""))</f>
        <v/>
      </c>
      <c r="O135" s="4" t="str">
        <f>IF(COUNTIF(Calculations!DP:DP,Subgroup_number)=1,INDEX(Calculations!DP:EU,MATCH(Subgroup_number,Calculations!DP:DP,0),9),IF(Subgroup_number=Calculations!EY$25,Calculations!EY$20,""))</f>
        <v/>
      </c>
      <c r="P135" s="4" t="str">
        <f>IF(COUNTIF(Calculations!DP:DP,Subgroup_number)=1,INDEX(Calculations!DP:EU,MATCH(Subgroup_number,Calculations!DP:DP,0),10),IF(Subgroup_number=Calculations!EY$25,Calculations!EY$21,""))</f>
        <v/>
      </c>
      <c r="Q13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5" s="182"/>
      <c r="U135" s="176"/>
      <c r="W135" s="176"/>
      <c r="Y135" s="176"/>
      <c r="AA135" s="176"/>
    </row>
    <row r="136" spans="6:27" x14ac:dyDescent="0.2">
      <c r="F136" s="89">
        <v>135</v>
      </c>
      <c r="G13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6" s="4" t="str">
        <f>IF(COUNTIF(Calculations!DP:DP,Subgroup_number)=1,INDEX(Calculations!DP:EU,MATCH(Subgroup_number,Calculations!DP:DP,0),5),IF(Subgroup_number=Calculations!EY$25,Calculations!EY$17,""))</f>
        <v/>
      </c>
      <c r="M136" s="38" t="str">
        <f>IF(COUNTIF(Calculations!DP:DP,Subgroup_number)=1,INDEX(Calculations!DP:EU,MATCH(Subgroup_number,Calculations!DP:DP,0),6),IF(Subgroup_number=Calculations!EY$25,Calculations!EY$18,""))</f>
        <v/>
      </c>
      <c r="N136" s="30" t="str">
        <f>IF(COUNTIF(Calculations!DP:DP,Subgroup_number)=1,INDEX(Calculations!DP:EU,MATCH(Subgroup_number,Calculations!DP:DP,0),7),IF(Subgroup_number=Calculations!EY$25,Calculations!EY$19,""))</f>
        <v/>
      </c>
      <c r="O136" s="4" t="str">
        <f>IF(COUNTIF(Calculations!DP:DP,Subgroup_number)=1,INDEX(Calculations!DP:EU,MATCH(Subgroup_number,Calculations!DP:DP,0),9),IF(Subgroup_number=Calculations!EY$25,Calculations!EY$20,""))</f>
        <v/>
      </c>
      <c r="P136" s="4" t="str">
        <f>IF(COUNTIF(Calculations!DP:DP,Subgroup_number)=1,INDEX(Calculations!DP:EU,MATCH(Subgroup_number,Calculations!DP:DP,0),10),IF(Subgroup_number=Calculations!EY$25,Calculations!EY$21,""))</f>
        <v/>
      </c>
      <c r="Q13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6" s="182"/>
      <c r="U136" s="176"/>
      <c r="W136" s="176"/>
      <c r="Y136" s="176"/>
      <c r="AA136" s="176"/>
    </row>
    <row r="137" spans="6:27" x14ac:dyDescent="0.2">
      <c r="F137" s="89">
        <v>136</v>
      </c>
      <c r="G13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7" s="4" t="str">
        <f>IF(COUNTIF(Calculations!DP:DP,Subgroup_number)=1,INDEX(Calculations!DP:EU,MATCH(Subgroup_number,Calculations!DP:DP,0),5),IF(Subgroup_number=Calculations!EY$25,Calculations!EY$17,""))</f>
        <v/>
      </c>
      <c r="M137" s="38" t="str">
        <f>IF(COUNTIF(Calculations!DP:DP,Subgroup_number)=1,INDEX(Calculations!DP:EU,MATCH(Subgroup_number,Calculations!DP:DP,0),6),IF(Subgroup_number=Calculations!EY$25,Calculations!EY$18,""))</f>
        <v/>
      </c>
      <c r="N137" s="30" t="str">
        <f>IF(COUNTIF(Calculations!DP:DP,Subgroup_number)=1,INDEX(Calculations!DP:EU,MATCH(Subgroup_number,Calculations!DP:DP,0),7),IF(Subgroup_number=Calculations!EY$25,Calculations!EY$19,""))</f>
        <v/>
      </c>
      <c r="O137" s="4" t="str">
        <f>IF(COUNTIF(Calculations!DP:DP,Subgroup_number)=1,INDEX(Calculations!DP:EU,MATCH(Subgroup_number,Calculations!DP:DP,0),9),IF(Subgroup_number=Calculations!EY$25,Calculations!EY$20,""))</f>
        <v/>
      </c>
      <c r="P137" s="4" t="str">
        <f>IF(COUNTIF(Calculations!DP:DP,Subgroup_number)=1,INDEX(Calculations!DP:EU,MATCH(Subgroup_number,Calculations!DP:DP,0),10),IF(Subgroup_number=Calculations!EY$25,Calculations!EY$21,""))</f>
        <v/>
      </c>
      <c r="Q13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7" s="182"/>
      <c r="U137" s="176"/>
      <c r="W137" s="176"/>
      <c r="Y137" s="176"/>
      <c r="AA137" s="176"/>
    </row>
    <row r="138" spans="6:27" x14ac:dyDescent="0.2">
      <c r="F138" s="89">
        <v>137</v>
      </c>
      <c r="G13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8" s="4" t="str">
        <f>IF(COUNTIF(Calculations!DP:DP,Subgroup_number)=1,INDEX(Calculations!DP:EU,MATCH(Subgroup_number,Calculations!DP:DP,0),5),IF(Subgroup_number=Calculations!EY$25,Calculations!EY$17,""))</f>
        <v/>
      </c>
      <c r="M138" s="38" t="str">
        <f>IF(COUNTIF(Calculations!DP:DP,Subgroup_number)=1,INDEX(Calculations!DP:EU,MATCH(Subgroup_number,Calculations!DP:DP,0),6),IF(Subgroup_number=Calculations!EY$25,Calculations!EY$18,""))</f>
        <v/>
      </c>
      <c r="N138" s="30" t="str">
        <f>IF(COUNTIF(Calculations!DP:DP,Subgroup_number)=1,INDEX(Calculations!DP:EU,MATCH(Subgroup_number,Calculations!DP:DP,0),7),IF(Subgroup_number=Calculations!EY$25,Calculations!EY$19,""))</f>
        <v/>
      </c>
      <c r="O138" s="4" t="str">
        <f>IF(COUNTIF(Calculations!DP:DP,Subgroup_number)=1,INDEX(Calculations!DP:EU,MATCH(Subgroup_number,Calculations!DP:DP,0),9),IF(Subgroup_number=Calculations!EY$25,Calculations!EY$20,""))</f>
        <v/>
      </c>
      <c r="P138" s="4" t="str">
        <f>IF(COUNTIF(Calculations!DP:DP,Subgroup_number)=1,INDEX(Calculations!DP:EU,MATCH(Subgroup_number,Calculations!DP:DP,0),10),IF(Subgroup_number=Calculations!EY$25,Calculations!EY$21,""))</f>
        <v/>
      </c>
      <c r="Q13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8" s="182"/>
      <c r="U138" s="176"/>
      <c r="W138" s="176"/>
      <c r="Y138" s="176"/>
      <c r="AA138" s="176"/>
    </row>
    <row r="139" spans="6:27" x14ac:dyDescent="0.2">
      <c r="F139" s="89">
        <v>138</v>
      </c>
      <c r="G13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3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3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3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3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39" s="4" t="str">
        <f>IF(COUNTIF(Calculations!DP:DP,Subgroup_number)=1,INDEX(Calculations!DP:EU,MATCH(Subgroup_number,Calculations!DP:DP,0),5),IF(Subgroup_number=Calculations!EY$25,Calculations!EY$17,""))</f>
        <v/>
      </c>
      <c r="M139" s="38" t="str">
        <f>IF(COUNTIF(Calculations!DP:DP,Subgroup_number)=1,INDEX(Calculations!DP:EU,MATCH(Subgroup_number,Calculations!DP:DP,0),6),IF(Subgroup_number=Calculations!EY$25,Calculations!EY$18,""))</f>
        <v/>
      </c>
      <c r="N139" s="30" t="str">
        <f>IF(COUNTIF(Calculations!DP:DP,Subgroup_number)=1,INDEX(Calculations!DP:EU,MATCH(Subgroup_number,Calculations!DP:DP,0),7),IF(Subgroup_number=Calculations!EY$25,Calculations!EY$19,""))</f>
        <v/>
      </c>
      <c r="O139" s="4" t="str">
        <f>IF(COUNTIF(Calculations!DP:DP,Subgroup_number)=1,INDEX(Calculations!DP:EU,MATCH(Subgroup_number,Calculations!DP:DP,0),9),IF(Subgroup_number=Calculations!EY$25,Calculations!EY$20,""))</f>
        <v/>
      </c>
      <c r="P139" s="4" t="str">
        <f>IF(COUNTIF(Calculations!DP:DP,Subgroup_number)=1,INDEX(Calculations!DP:EU,MATCH(Subgroup_number,Calculations!DP:DP,0),10),IF(Subgroup_number=Calculations!EY$25,Calculations!EY$21,""))</f>
        <v/>
      </c>
      <c r="Q13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3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39" s="182"/>
      <c r="U139" s="176"/>
      <c r="W139" s="176"/>
      <c r="Y139" s="176"/>
      <c r="AA139" s="176"/>
    </row>
    <row r="140" spans="6:27" x14ac:dyDescent="0.2">
      <c r="F140" s="89">
        <v>139</v>
      </c>
      <c r="G14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0" s="4" t="str">
        <f>IF(COUNTIF(Calculations!DP:DP,Subgroup_number)=1,INDEX(Calculations!DP:EU,MATCH(Subgroup_number,Calculations!DP:DP,0),5),IF(Subgroup_number=Calculations!EY$25,Calculations!EY$17,""))</f>
        <v/>
      </c>
      <c r="M140" s="38" t="str">
        <f>IF(COUNTIF(Calculations!DP:DP,Subgroup_number)=1,INDEX(Calculations!DP:EU,MATCH(Subgroup_number,Calculations!DP:DP,0),6),IF(Subgroup_number=Calculations!EY$25,Calculations!EY$18,""))</f>
        <v/>
      </c>
      <c r="N140" s="30" t="str">
        <f>IF(COUNTIF(Calculations!DP:DP,Subgroup_number)=1,INDEX(Calculations!DP:EU,MATCH(Subgroup_number,Calculations!DP:DP,0),7),IF(Subgroup_number=Calculations!EY$25,Calculations!EY$19,""))</f>
        <v/>
      </c>
      <c r="O140" s="4" t="str">
        <f>IF(COUNTIF(Calculations!DP:DP,Subgroup_number)=1,INDEX(Calculations!DP:EU,MATCH(Subgroup_number,Calculations!DP:DP,0),9),IF(Subgroup_number=Calculations!EY$25,Calculations!EY$20,""))</f>
        <v/>
      </c>
      <c r="P140" s="4" t="str">
        <f>IF(COUNTIF(Calculations!DP:DP,Subgroup_number)=1,INDEX(Calculations!DP:EU,MATCH(Subgroup_number,Calculations!DP:DP,0),10),IF(Subgroup_number=Calculations!EY$25,Calculations!EY$21,""))</f>
        <v/>
      </c>
      <c r="Q14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0" s="182"/>
      <c r="U140" s="176"/>
      <c r="W140" s="176"/>
      <c r="Y140" s="176"/>
      <c r="AA140" s="176"/>
    </row>
    <row r="141" spans="6:27" x14ac:dyDescent="0.2">
      <c r="F141" s="89">
        <v>140</v>
      </c>
      <c r="G14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1" s="4" t="str">
        <f>IF(COUNTIF(Calculations!DP:DP,Subgroup_number)=1,INDEX(Calculations!DP:EU,MATCH(Subgroup_number,Calculations!DP:DP,0),5),IF(Subgroup_number=Calculations!EY$25,Calculations!EY$17,""))</f>
        <v/>
      </c>
      <c r="M141" s="38" t="str">
        <f>IF(COUNTIF(Calculations!DP:DP,Subgroup_number)=1,INDEX(Calculations!DP:EU,MATCH(Subgroup_number,Calculations!DP:DP,0),6),IF(Subgroup_number=Calculations!EY$25,Calculations!EY$18,""))</f>
        <v/>
      </c>
      <c r="N141" s="30" t="str">
        <f>IF(COUNTIF(Calculations!DP:DP,Subgroup_number)=1,INDEX(Calculations!DP:EU,MATCH(Subgroup_number,Calculations!DP:DP,0),7),IF(Subgroup_number=Calculations!EY$25,Calculations!EY$19,""))</f>
        <v/>
      </c>
      <c r="O141" s="4" t="str">
        <f>IF(COUNTIF(Calculations!DP:DP,Subgroup_number)=1,INDEX(Calculations!DP:EU,MATCH(Subgroup_number,Calculations!DP:DP,0),9),IF(Subgroup_number=Calculations!EY$25,Calculations!EY$20,""))</f>
        <v/>
      </c>
      <c r="P141" s="4" t="str">
        <f>IF(COUNTIF(Calculations!DP:DP,Subgroup_number)=1,INDEX(Calculations!DP:EU,MATCH(Subgroup_number,Calculations!DP:DP,0),10),IF(Subgroup_number=Calculations!EY$25,Calculations!EY$21,""))</f>
        <v/>
      </c>
      <c r="Q14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1" s="182"/>
      <c r="U141" s="176"/>
      <c r="W141" s="176"/>
      <c r="Y141" s="176"/>
      <c r="AA141" s="176"/>
    </row>
    <row r="142" spans="6:27" x14ac:dyDescent="0.2">
      <c r="F142" s="89">
        <v>141</v>
      </c>
      <c r="G14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2" s="4" t="str">
        <f>IF(COUNTIF(Calculations!DP:DP,Subgroup_number)=1,INDEX(Calculations!DP:EU,MATCH(Subgroup_number,Calculations!DP:DP,0),5),IF(Subgroup_number=Calculations!EY$25,Calculations!EY$17,""))</f>
        <v/>
      </c>
      <c r="M142" s="38" t="str">
        <f>IF(COUNTIF(Calculations!DP:DP,Subgroup_number)=1,INDEX(Calculations!DP:EU,MATCH(Subgroup_number,Calculations!DP:DP,0),6),IF(Subgroup_number=Calculations!EY$25,Calculations!EY$18,""))</f>
        <v/>
      </c>
      <c r="N142" s="30" t="str">
        <f>IF(COUNTIF(Calculations!DP:DP,Subgroup_number)=1,INDEX(Calculations!DP:EU,MATCH(Subgroup_number,Calculations!DP:DP,0),7),IF(Subgroup_number=Calculations!EY$25,Calculations!EY$19,""))</f>
        <v/>
      </c>
      <c r="O142" s="4" t="str">
        <f>IF(COUNTIF(Calculations!DP:DP,Subgroup_number)=1,INDEX(Calculations!DP:EU,MATCH(Subgroup_number,Calculations!DP:DP,0),9),IF(Subgroup_number=Calculations!EY$25,Calculations!EY$20,""))</f>
        <v/>
      </c>
      <c r="P142" s="4" t="str">
        <f>IF(COUNTIF(Calculations!DP:DP,Subgroup_number)=1,INDEX(Calculations!DP:EU,MATCH(Subgroup_number,Calculations!DP:DP,0),10),IF(Subgroup_number=Calculations!EY$25,Calculations!EY$21,""))</f>
        <v/>
      </c>
      <c r="Q14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2" s="182"/>
      <c r="U142" s="176"/>
      <c r="W142" s="176"/>
      <c r="Y142" s="176"/>
      <c r="AA142" s="176"/>
    </row>
    <row r="143" spans="6:27" x14ac:dyDescent="0.2">
      <c r="F143" s="89">
        <v>142</v>
      </c>
      <c r="G14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3" s="4" t="str">
        <f>IF(COUNTIF(Calculations!DP:DP,Subgroup_number)=1,INDEX(Calculations!DP:EU,MATCH(Subgroup_number,Calculations!DP:DP,0),5),IF(Subgroup_number=Calculations!EY$25,Calculations!EY$17,""))</f>
        <v/>
      </c>
      <c r="M143" s="38" t="str">
        <f>IF(COUNTIF(Calculations!DP:DP,Subgroup_number)=1,INDEX(Calculations!DP:EU,MATCH(Subgroup_number,Calculations!DP:DP,0),6),IF(Subgroup_number=Calculations!EY$25,Calculations!EY$18,""))</f>
        <v/>
      </c>
      <c r="N143" s="30" t="str">
        <f>IF(COUNTIF(Calculations!DP:DP,Subgroup_number)=1,INDEX(Calculations!DP:EU,MATCH(Subgroup_number,Calculations!DP:DP,0),7),IF(Subgroup_number=Calculations!EY$25,Calculations!EY$19,""))</f>
        <v/>
      </c>
      <c r="O143" s="4" t="str">
        <f>IF(COUNTIF(Calculations!DP:DP,Subgroup_number)=1,INDEX(Calculations!DP:EU,MATCH(Subgroup_number,Calculations!DP:DP,0),9),IF(Subgroup_number=Calculations!EY$25,Calculations!EY$20,""))</f>
        <v/>
      </c>
      <c r="P143" s="4" t="str">
        <f>IF(COUNTIF(Calculations!DP:DP,Subgroup_number)=1,INDEX(Calculations!DP:EU,MATCH(Subgroup_number,Calculations!DP:DP,0),10),IF(Subgroup_number=Calculations!EY$25,Calculations!EY$21,""))</f>
        <v/>
      </c>
      <c r="Q14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3" s="182"/>
      <c r="U143" s="176"/>
      <c r="W143" s="176"/>
      <c r="Y143" s="176"/>
      <c r="AA143" s="176"/>
    </row>
    <row r="144" spans="6:27" x14ac:dyDescent="0.2">
      <c r="F144" s="89">
        <v>143</v>
      </c>
      <c r="G14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4" s="4" t="str">
        <f>IF(COUNTIF(Calculations!DP:DP,Subgroup_number)=1,INDEX(Calculations!DP:EU,MATCH(Subgroup_number,Calculations!DP:DP,0),5),IF(Subgroup_number=Calculations!EY$25,Calculations!EY$17,""))</f>
        <v/>
      </c>
      <c r="M144" s="38" t="str">
        <f>IF(COUNTIF(Calculations!DP:DP,Subgroup_number)=1,INDEX(Calculations!DP:EU,MATCH(Subgroup_number,Calculations!DP:DP,0),6),IF(Subgroup_number=Calculations!EY$25,Calculations!EY$18,""))</f>
        <v/>
      </c>
      <c r="N144" s="30" t="str">
        <f>IF(COUNTIF(Calculations!DP:DP,Subgroup_number)=1,INDEX(Calculations!DP:EU,MATCH(Subgroup_number,Calculations!DP:DP,0),7),IF(Subgroup_number=Calculations!EY$25,Calculations!EY$19,""))</f>
        <v/>
      </c>
      <c r="O144" s="4" t="str">
        <f>IF(COUNTIF(Calculations!DP:DP,Subgroup_number)=1,INDEX(Calculations!DP:EU,MATCH(Subgroup_number,Calculations!DP:DP,0),9),IF(Subgroup_number=Calculations!EY$25,Calculations!EY$20,""))</f>
        <v/>
      </c>
      <c r="P144" s="4" t="str">
        <f>IF(COUNTIF(Calculations!DP:DP,Subgroup_number)=1,INDEX(Calculations!DP:EU,MATCH(Subgroup_number,Calculations!DP:DP,0),10),IF(Subgroup_number=Calculations!EY$25,Calculations!EY$21,""))</f>
        <v/>
      </c>
      <c r="Q14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4" s="182"/>
      <c r="U144" s="176"/>
      <c r="W144" s="176"/>
      <c r="Y144" s="176"/>
      <c r="AA144" s="176"/>
    </row>
    <row r="145" spans="6:27" x14ac:dyDescent="0.2">
      <c r="F145" s="89">
        <v>144</v>
      </c>
      <c r="G14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5" s="4" t="str">
        <f>IF(COUNTIF(Calculations!DP:DP,Subgroup_number)=1,INDEX(Calculations!DP:EU,MATCH(Subgroup_number,Calculations!DP:DP,0),5),IF(Subgroup_number=Calculations!EY$25,Calculations!EY$17,""))</f>
        <v/>
      </c>
      <c r="M145" s="38" t="str">
        <f>IF(COUNTIF(Calculations!DP:DP,Subgroup_number)=1,INDEX(Calculations!DP:EU,MATCH(Subgroup_number,Calculations!DP:DP,0),6),IF(Subgroup_number=Calculations!EY$25,Calculations!EY$18,""))</f>
        <v/>
      </c>
      <c r="N145" s="30" t="str">
        <f>IF(COUNTIF(Calculations!DP:DP,Subgroup_number)=1,INDEX(Calculations!DP:EU,MATCH(Subgroup_number,Calculations!DP:DP,0),7),IF(Subgroup_number=Calculations!EY$25,Calculations!EY$19,""))</f>
        <v/>
      </c>
      <c r="O145" s="4" t="str">
        <f>IF(COUNTIF(Calculations!DP:DP,Subgroup_number)=1,INDEX(Calculations!DP:EU,MATCH(Subgroup_number,Calculations!DP:DP,0),9),IF(Subgroup_number=Calculations!EY$25,Calculations!EY$20,""))</f>
        <v/>
      </c>
      <c r="P145" s="4" t="str">
        <f>IF(COUNTIF(Calculations!DP:DP,Subgroup_number)=1,INDEX(Calculations!DP:EU,MATCH(Subgroup_number,Calculations!DP:DP,0),10),IF(Subgroup_number=Calculations!EY$25,Calculations!EY$21,""))</f>
        <v/>
      </c>
      <c r="Q14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5" s="182"/>
      <c r="U145" s="176"/>
      <c r="W145" s="176"/>
      <c r="Y145" s="176"/>
      <c r="AA145" s="176"/>
    </row>
    <row r="146" spans="6:27" x14ac:dyDescent="0.2">
      <c r="F146" s="89">
        <v>145</v>
      </c>
      <c r="G14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6" s="4" t="str">
        <f>IF(COUNTIF(Calculations!DP:DP,Subgroup_number)=1,INDEX(Calculations!DP:EU,MATCH(Subgroup_number,Calculations!DP:DP,0),5),IF(Subgroup_number=Calculations!EY$25,Calculations!EY$17,""))</f>
        <v/>
      </c>
      <c r="M146" s="38" t="str">
        <f>IF(COUNTIF(Calculations!DP:DP,Subgroup_number)=1,INDEX(Calculations!DP:EU,MATCH(Subgroup_number,Calculations!DP:DP,0),6),IF(Subgroup_number=Calculations!EY$25,Calculations!EY$18,""))</f>
        <v/>
      </c>
      <c r="N146" s="30" t="str">
        <f>IF(COUNTIF(Calculations!DP:DP,Subgroup_number)=1,INDEX(Calculations!DP:EU,MATCH(Subgroup_number,Calculations!DP:DP,0),7),IF(Subgroup_number=Calculations!EY$25,Calculations!EY$19,""))</f>
        <v/>
      </c>
      <c r="O146" s="4" t="str">
        <f>IF(COUNTIF(Calculations!DP:DP,Subgroup_number)=1,INDEX(Calculations!DP:EU,MATCH(Subgroup_number,Calculations!DP:DP,0),9),IF(Subgroup_number=Calculations!EY$25,Calculations!EY$20,""))</f>
        <v/>
      </c>
      <c r="P146" s="4" t="str">
        <f>IF(COUNTIF(Calculations!DP:DP,Subgroup_number)=1,INDEX(Calculations!DP:EU,MATCH(Subgroup_number,Calculations!DP:DP,0),10),IF(Subgroup_number=Calculations!EY$25,Calculations!EY$21,""))</f>
        <v/>
      </c>
      <c r="Q14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6" s="182"/>
      <c r="U146" s="176"/>
      <c r="W146" s="176"/>
      <c r="Y146" s="176"/>
      <c r="AA146" s="176"/>
    </row>
    <row r="147" spans="6:27" x14ac:dyDescent="0.2">
      <c r="F147" s="89">
        <v>146</v>
      </c>
      <c r="G14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7" s="4" t="str">
        <f>IF(COUNTIF(Calculations!DP:DP,Subgroup_number)=1,INDEX(Calculations!DP:EU,MATCH(Subgroup_number,Calculations!DP:DP,0),5),IF(Subgroup_number=Calculations!EY$25,Calculations!EY$17,""))</f>
        <v/>
      </c>
      <c r="M147" s="38" t="str">
        <f>IF(COUNTIF(Calculations!DP:DP,Subgroup_number)=1,INDEX(Calculations!DP:EU,MATCH(Subgroup_number,Calculations!DP:DP,0),6),IF(Subgroup_number=Calculations!EY$25,Calculations!EY$18,""))</f>
        <v/>
      </c>
      <c r="N147" s="30" t="str">
        <f>IF(COUNTIF(Calculations!DP:DP,Subgroup_number)=1,INDEX(Calculations!DP:EU,MATCH(Subgroup_number,Calculations!DP:DP,0),7),IF(Subgroup_number=Calculations!EY$25,Calculations!EY$19,""))</f>
        <v/>
      </c>
      <c r="O147" s="4" t="str">
        <f>IF(COUNTIF(Calculations!DP:DP,Subgroup_number)=1,INDEX(Calculations!DP:EU,MATCH(Subgroup_number,Calculations!DP:DP,0),9),IF(Subgroup_number=Calculations!EY$25,Calculations!EY$20,""))</f>
        <v/>
      </c>
      <c r="P147" s="4" t="str">
        <f>IF(COUNTIF(Calculations!DP:DP,Subgroup_number)=1,INDEX(Calculations!DP:EU,MATCH(Subgroup_number,Calculations!DP:DP,0),10),IF(Subgroup_number=Calculations!EY$25,Calculations!EY$21,""))</f>
        <v/>
      </c>
      <c r="Q14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7" s="182"/>
      <c r="U147" s="176"/>
      <c r="W147" s="176"/>
      <c r="Y147" s="176"/>
      <c r="AA147" s="176"/>
    </row>
    <row r="148" spans="6:27" x14ac:dyDescent="0.2">
      <c r="F148" s="89">
        <v>147</v>
      </c>
      <c r="G14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8" s="4" t="str">
        <f>IF(COUNTIF(Calculations!DP:DP,Subgroup_number)=1,INDEX(Calculations!DP:EU,MATCH(Subgroup_number,Calculations!DP:DP,0),5),IF(Subgroup_number=Calculations!EY$25,Calculations!EY$17,""))</f>
        <v/>
      </c>
      <c r="M148" s="38" t="str">
        <f>IF(COUNTIF(Calculations!DP:DP,Subgroup_number)=1,INDEX(Calculations!DP:EU,MATCH(Subgroup_number,Calculations!DP:DP,0),6),IF(Subgroup_number=Calculations!EY$25,Calculations!EY$18,""))</f>
        <v/>
      </c>
      <c r="N148" s="30" t="str">
        <f>IF(COUNTIF(Calculations!DP:DP,Subgroup_number)=1,INDEX(Calculations!DP:EU,MATCH(Subgroup_number,Calculations!DP:DP,0),7),IF(Subgroup_number=Calculations!EY$25,Calculations!EY$19,""))</f>
        <v/>
      </c>
      <c r="O148" s="4" t="str">
        <f>IF(COUNTIF(Calculations!DP:DP,Subgroup_number)=1,INDEX(Calculations!DP:EU,MATCH(Subgroup_number,Calculations!DP:DP,0),9),IF(Subgroup_number=Calculations!EY$25,Calculations!EY$20,""))</f>
        <v/>
      </c>
      <c r="P148" s="4" t="str">
        <f>IF(COUNTIF(Calculations!DP:DP,Subgroup_number)=1,INDEX(Calculations!DP:EU,MATCH(Subgroup_number,Calculations!DP:DP,0),10),IF(Subgroup_number=Calculations!EY$25,Calculations!EY$21,""))</f>
        <v/>
      </c>
      <c r="Q14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8" s="182"/>
      <c r="U148" s="176"/>
      <c r="W148" s="176"/>
      <c r="Y148" s="176"/>
      <c r="AA148" s="176"/>
    </row>
    <row r="149" spans="6:27" x14ac:dyDescent="0.2">
      <c r="F149" s="89">
        <v>148</v>
      </c>
      <c r="G14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4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4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4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4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49" s="4" t="str">
        <f>IF(COUNTIF(Calculations!DP:DP,Subgroup_number)=1,INDEX(Calculations!DP:EU,MATCH(Subgroup_number,Calculations!DP:DP,0),5),IF(Subgroup_number=Calculations!EY$25,Calculations!EY$17,""))</f>
        <v/>
      </c>
      <c r="M149" s="38" t="str">
        <f>IF(COUNTIF(Calculations!DP:DP,Subgroup_number)=1,INDEX(Calculations!DP:EU,MATCH(Subgroup_number,Calculations!DP:DP,0),6),IF(Subgroup_number=Calculations!EY$25,Calculations!EY$18,""))</f>
        <v/>
      </c>
      <c r="N149" s="30" t="str">
        <f>IF(COUNTIF(Calculations!DP:DP,Subgroup_number)=1,INDEX(Calculations!DP:EU,MATCH(Subgroup_number,Calculations!DP:DP,0),7),IF(Subgroup_number=Calculations!EY$25,Calculations!EY$19,""))</f>
        <v/>
      </c>
      <c r="O149" s="4" t="str">
        <f>IF(COUNTIF(Calculations!DP:DP,Subgroup_number)=1,INDEX(Calculations!DP:EU,MATCH(Subgroup_number,Calculations!DP:DP,0),9),IF(Subgroup_number=Calculations!EY$25,Calculations!EY$20,""))</f>
        <v/>
      </c>
      <c r="P149" s="4" t="str">
        <f>IF(COUNTIF(Calculations!DP:DP,Subgroup_number)=1,INDEX(Calculations!DP:EU,MATCH(Subgroup_number,Calculations!DP:DP,0),10),IF(Subgroup_number=Calculations!EY$25,Calculations!EY$21,""))</f>
        <v/>
      </c>
      <c r="Q14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4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49" s="182"/>
      <c r="U149" s="176"/>
      <c r="W149" s="176"/>
      <c r="Y149" s="176"/>
      <c r="AA149" s="176"/>
    </row>
    <row r="150" spans="6:27" x14ac:dyDescent="0.2">
      <c r="F150" s="89">
        <v>149</v>
      </c>
      <c r="G15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0" s="4" t="str">
        <f>IF(COUNTIF(Calculations!DP:DP,Subgroup_number)=1,INDEX(Calculations!DP:EU,MATCH(Subgroup_number,Calculations!DP:DP,0),5),IF(Subgroup_number=Calculations!EY$25,Calculations!EY$17,""))</f>
        <v/>
      </c>
      <c r="M150" s="38" t="str">
        <f>IF(COUNTIF(Calculations!DP:DP,Subgroup_number)=1,INDEX(Calculations!DP:EU,MATCH(Subgroup_number,Calculations!DP:DP,0),6),IF(Subgroup_number=Calculations!EY$25,Calculations!EY$18,""))</f>
        <v/>
      </c>
      <c r="N150" s="30" t="str">
        <f>IF(COUNTIF(Calculations!DP:DP,Subgroup_number)=1,INDEX(Calculations!DP:EU,MATCH(Subgroup_number,Calculations!DP:DP,0),7),IF(Subgroup_number=Calculations!EY$25,Calculations!EY$19,""))</f>
        <v/>
      </c>
      <c r="O150" s="4" t="str">
        <f>IF(COUNTIF(Calculations!DP:DP,Subgroup_number)=1,INDEX(Calculations!DP:EU,MATCH(Subgroup_number,Calculations!DP:DP,0),9),IF(Subgroup_number=Calculations!EY$25,Calculations!EY$20,""))</f>
        <v/>
      </c>
      <c r="P150" s="4" t="str">
        <f>IF(COUNTIF(Calculations!DP:DP,Subgroup_number)=1,INDEX(Calculations!DP:EU,MATCH(Subgroup_number,Calculations!DP:DP,0),10),IF(Subgroup_number=Calculations!EY$25,Calculations!EY$21,""))</f>
        <v/>
      </c>
      <c r="Q15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0" s="182"/>
      <c r="U150" s="176"/>
      <c r="W150" s="176"/>
      <c r="Y150" s="176"/>
      <c r="AA150" s="176"/>
    </row>
    <row r="151" spans="6:27" x14ac:dyDescent="0.2">
      <c r="F151" s="89">
        <v>150</v>
      </c>
      <c r="G15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1" s="4" t="str">
        <f>IF(COUNTIF(Calculations!DP:DP,Subgroup_number)=1,INDEX(Calculations!DP:EU,MATCH(Subgroup_number,Calculations!DP:DP,0),5),IF(Subgroup_number=Calculations!EY$25,Calculations!EY$17,""))</f>
        <v/>
      </c>
      <c r="M151" s="38" t="str">
        <f>IF(COUNTIF(Calculations!DP:DP,Subgroup_number)=1,INDEX(Calculations!DP:EU,MATCH(Subgroup_number,Calculations!DP:DP,0),6),IF(Subgroup_number=Calculations!EY$25,Calculations!EY$18,""))</f>
        <v/>
      </c>
      <c r="N151" s="30" t="str">
        <f>IF(COUNTIF(Calculations!DP:DP,Subgroup_number)=1,INDEX(Calculations!DP:EU,MATCH(Subgroup_number,Calculations!DP:DP,0),7),IF(Subgroup_number=Calculations!EY$25,Calculations!EY$19,""))</f>
        <v/>
      </c>
      <c r="O151" s="4" t="str">
        <f>IF(COUNTIF(Calculations!DP:DP,Subgroup_number)=1,INDEX(Calculations!DP:EU,MATCH(Subgroup_number,Calculations!DP:DP,0),9),IF(Subgroup_number=Calculations!EY$25,Calculations!EY$20,""))</f>
        <v/>
      </c>
      <c r="P151" s="4" t="str">
        <f>IF(COUNTIF(Calculations!DP:DP,Subgroup_number)=1,INDEX(Calculations!DP:EU,MATCH(Subgroup_number,Calculations!DP:DP,0),10),IF(Subgroup_number=Calculations!EY$25,Calculations!EY$21,""))</f>
        <v/>
      </c>
      <c r="Q15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1" s="182"/>
      <c r="U151" s="176"/>
      <c r="W151" s="176"/>
      <c r="Y151" s="176"/>
      <c r="AA151" s="176"/>
    </row>
    <row r="152" spans="6:27" x14ac:dyDescent="0.2">
      <c r="F152" s="89">
        <v>151</v>
      </c>
      <c r="G15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2" s="4" t="str">
        <f>IF(COUNTIF(Calculations!DP:DP,Subgroup_number)=1,INDEX(Calculations!DP:EU,MATCH(Subgroup_number,Calculations!DP:DP,0),5),IF(Subgroup_number=Calculations!EY$25,Calculations!EY$17,""))</f>
        <v/>
      </c>
      <c r="M152" s="38" t="str">
        <f>IF(COUNTIF(Calculations!DP:DP,Subgroup_number)=1,INDEX(Calculations!DP:EU,MATCH(Subgroup_number,Calculations!DP:DP,0),6),IF(Subgroup_number=Calculations!EY$25,Calculations!EY$18,""))</f>
        <v/>
      </c>
      <c r="N152" s="30" t="str">
        <f>IF(COUNTIF(Calculations!DP:DP,Subgroup_number)=1,INDEX(Calculations!DP:EU,MATCH(Subgroup_number,Calculations!DP:DP,0),7),IF(Subgroup_number=Calculations!EY$25,Calculations!EY$19,""))</f>
        <v/>
      </c>
      <c r="O152" s="4" t="str">
        <f>IF(COUNTIF(Calculations!DP:DP,Subgroup_number)=1,INDEX(Calculations!DP:EU,MATCH(Subgroup_number,Calculations!DP:DP,0),9),IF(Subgroup_number=Calculations!EY$25,Calculations!EY$20,""))</f>
        <v/>
      </c>
      <c r="P152" s="4" t="str">
        <f>IF(COUNTIF(Calculations!DP:DP,Subgroup_number)=1,INDEX(Calculations!DP:EU,MATCH(Subgroup_number,Calculations!DP:DP,0),10),IF(Subgroup_number=Calculations!EY$25,Calculations!EY$21,""))</f>
        <v/>
      </c>
      <c r="Q15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2" s="182"/>
      <c r="U152" s="176"/>
      <c r="W152" s="176"/>
      <c r="Y152" s="176"/>
      <c r="AA152" s="176"/>
    </row>
    <row r="153" spans="6:27" x14ac:dyDescent="0.2">
      <c r="F153" s="89">
        <v>152</v>
      </c>
      <c r="G15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3" s="4" t="str">
        <f>IF(COUNTIF(Calculations!DP:DP,Subgroup_number)=1,INDEX(Calculations!DP:EU,MATCH(Subgroup_number,Calculations!DP:DP,0),5),IF(Subgroup_number=Calculations!EY$25,Calculations!EY$17,""))</f>
        <v/>
      </c>
      <c r="M153" s="38" t="str">
        <f>IF(COUNTIF(Calculations!DP:DP,Subgroup_number)=1,INDEX(Calculations!DP:EU,MATCH(Subgroup_number,Calculations!DP:DP,0),6),IF(Subgroup_number=Calculations!EY$25,Calculations!EY$18,""))</f>
        <v/>
      </c>
      <c r="N153" s="30" t="str">
        <f>IF(COUNTIF(Calculations!DP:DP,Subgroup_number)=1,INDEX(Calculations!DP:EU,MATCH(Subgroup_number,Calculations!DP:DP,0),7),IF(Subgroup_number=Calculations!EY$25,Calculations!EY$19,""))</f>
        <v/>
      </c>
      <c r="O153" s="4" t="str">
        <f>IF(COUNTIF(Calculations!DP:DP,Subgroup_number)=1,INDEX(Calculations!DP:EU,MATCH(Subgroup_number,Calculations!DP:DP,0),9),IF(Subgroup_number=Calculations!EY$25,Calculations!EY$20,""))</f>
        <v/>
      </c>
      <c r="P153" s="4" t="str">
        <f>IF(COUNTIF(Calculations!DP:DP,Subgroup_number)=1,INDEX(Calculations!DP:EU,MATCH(Subgroup_number,Calculations!DP:DP,0),10),IF(Subgroup_number=Calculations!EY$25,Calculations!EY$21,""))</f>
        <v/>
      </c>
      <c r="Q15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3" s="182"/>
      <c r="U153" s="176"/>
      <c r="W153" s="176"/>
      <c r="Y153" s="176"/>
      <c r="AA153" s="176"/>
    </row>
    <row r="154" spans="6:27" x14ac:dyDescent="0.2">
      <c r="F154" s="89">
        <v>153</v>
      </c>
      <c r="G15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4" s="4" t="str">
        <f>IF(COUNTIF(Calculations!DP:DP,Subgroup_number)=1,INDEX(Calculations!DP:EU,MATCH(Subgroup_number,Calculations!DP:DP,0),5),IF(Subgroup_number=Calculations!EY$25,Calculations!EY$17,""))</f>
        <v/>
      </c>
      <c r="M154" s="38" t="str">
        <f>IF(COUNTIF(Calculations!DP:DP,Subgroup_number)=1,INDEX(Calculations!DP:EU,MATCH(Subgroup_number,Calculations!DP:DP,0),6),IF(Subgroup_number=Calculations!EY$25,Calculations!EY$18,""))</f>
        <v/>
      </c>
      <c r="N154" s="30" t="str">
        <f>IF(COUNTIF(Calculations!DP:DP,Subgroup_number)=1,INDEX(Calculations!DP:EU,MATCH(Subgroup_number,Calculations!DP:DP,0),7),IF(Subgroup_number=Calculations!EY$25,Calculations!EY$19,""))</f>
        <v/>
      </c>
      <c r="O154" s="4" t="str">
        <f>IF(COUNTIF(Calculations!DP:DP,Subgroup_number)=1,INDEX(Calculations!DP:EU,MATCH(Subgroup_number,Calculations!DP:DP,0),9),IF(Subgroup_number=Calculations!EY$25,Calculations!EY$20,""))</f>
        <v/>
      </c>
      <c r="P154" s="4" t="str">
        <f>IF(COUNTIF(Calculations!DP:DP,Subgroup_number)=1,INDEX(Calculations!DP:EU,MATCH(Subgroup_number,Calculations!DP:DP,0),10),IF(Subgroup_number=Calculations!EY$25,Calculations!EY$21,""))</f>
        <v/>
      </c>
      <c r="Q15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4" s="182"/>
      <c r="U154" s="176"/>
      <c r="W154" s="176"/>
      <c r="Y154" s="176"/>
      <c r="AA154" s="176"/>
    </row>
    <row r="155" spans="6:27" x14ac:dyDescent="0.2">
      <c r="F155" s="89">
        <v>154</v>
      </c>
      <c r="G15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5" s="4" t="str">
        <f>IF(COUNTIF(Calculations!DP:DP,Subgroup_number)=1,INDEX(Calculations!DP:EU,MATCH(Subgroup_number,Calculations!DP:DP,0),5),IF(Subgroup_number=Calculations!EY$25,Calculations!EY$17,""))</f>
        <v/>
      </c>
      <c r="M155" s="38" t="str">
        <f>IF(COUNTIF(Calculations!DP:DP,Subgroup_number)=1,INDEX(Calculations!DP:EU,MATCH(Subgroup_number,Calculations!DP:DP,0),6),IF(Subgroup_number=Calculations!EY$25,Calculations!EY$18,""))</f>
        <v/>
      </c>
      <c r="N155" s="30" t="str">
        <f>IF(COUNTIF(Calculations!DP:DP,Subgroup_number)=1,INDEX(Calculations!DP:EU,MATCH(Subgroup_number,Calculations!DP:DP,0),7),IF(Subgroup_number=Calculations!EY$25,Calculations!EY$19,""))</f>
        <v/>
      </c>
      <c r="O155" s="4" t="str">
        <f>IF(COUNTIF(Calculations!DP:DP,Subgroup_number)=1,INDEX(Calculations!DP:EU,MATCH(Subgroup_number,Calculations!DP:DP,0),9),IF(Subgroup_number=Calculations!EY$25,Calculations!EY$20,""))</f>
        <v/>
      </c>
      <c r="P155" s="4" t="str">
        <f>IF(COUNTIF(Calculations!DP:DP,Subgroup_number)=1,INDEX(Calculations!DP:EU,MATCH(Subgroup_number,Calculations!DP:DP,0),10),IF(Subgroup_number=Calculations!EY$25,Calculations!EY$21,""))</f>
        <v/>
      </c>
      <c r="Q15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5" s="182"/>
      <c r="U155" s="176"/>
      <c r="W155" s="176"/>
      <c r="Y155" s="176"/>
      <c r="AA155" s="176"/>
    </row>
    <row r="156" spans="6:27" x14ac:dyDescent="0.2">
      <c r="F156" s="89">
        <v>155</v>
      </c>
      <c r="G15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6" s="4" t="str">
        <f>IF(COUNTIF(Calculations!DP:DP,Subgroup_number)=1,INDEX(Calculations!DP:EU,MATCH(Subgroup_number,Calculations!DP:DP,0),5),IF(Subgroup_number=Calculations!EY$25,Calculations!EY$17,""))</f>
        <v/>
      </c>
      <c r="M156" s="38" t="str">
        <f>IF(COUNTIF(Calculations!DP:DP,Subgroup_number)=1,INDEX(Calculations!DP:EU,MATCH(Subgroup_number,Calculations!DP:DP,0),6),IF(Subgroup_number=Calculations!EY$25,Calculations!EY$18,""))</f>
        <v/>
      </c>
      <c r="N156" s="30" t="str">
        <f>IF(COUNTIF(Calculations!DP:DP,Subgroup_number)=1,INDEX(Calculations!DP:EU,MATCH(Subgroup_number,Calculations!DP:DP,0),7),IF(Subgroup_number=Calculations!EY$25,Calculations!EY$19,""))</f>
        <v/>
      </c>
      <c r="O156" s="4" t="str">
        <f>IF(COUNTIF(Calculations!DP:DP,Subgroup_number)=1,INDEX(Calculations!DP:EU,MATCH(Subgroup_number,Calculations!DP:DP,0),9),IF(Subgroup_number=Calculations!EY$25,Calculations!EY$20,""))</f>
        <v/>
      </c>
      <c r="P156" s="4" t="str">
        <f>IF(COUNTIF(Calculations!DP:DP,Subgroup_number)=1,INDEX(Calculations!DP:EU,MATCH(Subgroup_number,Calculations!DP:DP,0),10),IF(Subgroup_number=Calculations!EY$25,Calculations!EY$21,""))</f>
        <v/>
      </c>
      <c r="Q15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6" s="182"/>
      <c r="U156" s="176"/>
      <c r="W156" s="176"/>
      <c r="Y156" s="176"/>
      <c r="AA156" s="176"/>
    </row>
    <row r="157" spans="6:27" x14ac:dyDescent="0.2">
      <c r="F157" s="89">
        <v>156</v>
      </c>
      <c r="G15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7" s="4" t="str">
        <f>IF(COUNTIF(Calculations!DP:DP,Subgroup_number)=1,INDEX(Calculations!DP:EU,MATCH(Subgroup_number,Calculations!DP:DP,0),5),IF(Subgroup_number=Calculations!EY$25,Calculations!EY$17,""))</f>
        <v/>
      </c>
      <c r="M157" s="38" t="str">
        <f>IF(COUNTIF(Calculations!DP:DP,Subgroup_number)=1,INDEX(Calculations!DP:EU,MATCH(Subgroup_number,Calculations!DP:DP,0),6),IF(Subgroup_number=Calculations!EY$25,Calculations!EY$18,""))</f>
        <v/>
      </c>
      <c r="N157" s="30" t="str">
        <f>IF(COUNTIF(Calculations!DP:DP,Subgroup_number)=1,INDEX(Calculations!DP:EU,MATCH(Subgroup_number,Calculations!DP:DP,0),7),IF(Subgroup_number=Calculations!EY$25,Calculations!EY$19,""))</f>
        <v/>
      </c>
      <c r="O157" s="4" t="str">
        <f>IF(COUNTIF(Calculations!DP:DP,Subgroup_number)=1,INDEX(Calculations!DP:EU,MATCH(Subgroup_number,Calculations!DP:DP,0),9),IF(Subgroup_number=Calculations!EY$25,Calculations!EY$20,""))</f>
        <v/>
      </c>
      <c r="P157" s="4" t="str">
        <f>IF(COUNTIF(Calculations!DP:DP,Subgroup_number)=1,INDEX(Calculations!DP:EU,MATCH(Subgroup_number,Calculations!DP:DP,0),10),IF(Subgroup_number=Calculations!EY$25,Calculations!EY$21,""))</f>
        <v/>
      </c>
      <c r="Q15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7" s="182"/>
      <c r="U157" s="176"/>
      <c r="W157" s="176"/>
      <c r="Y157" s="176"/>
      <c r="AA157" s="176"/>
    </row>
    <row r="158" spans="6:27" x14ac:dyDescent="0.2">
      <c r="F158" s="89">
        <v>157</v>
      </c>
      <c r="G15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8" s="4" t="str">
        <f>IF(COUNTIF(Calculations!DP:DP,Subgroup_number)=1,INDEX(Calculations!DP:EU,MATCH(Subgroup_number,Calculations!DP:DP,0),5),IF(Subgroup_number=Calculations!EY$25,Calculations!EY$17,""))</f>
        <v/>
      </c>
      <c r="M158" s="38" t="str">
        <f>IF(COUNTIF(Calculations!DP:DP,Subgroup_number)=1,INDEX(Calculations!DP:EU,MATCH(Subgroup_number,Calculations!DP:DP,0),6),IF(Subgroup_number=Calculations!EY$25,Calculations!EY$18,""))</f>
        <v/>
      </c>
      <c r="N158" s="30" t="str">
        <f>IF(COUNTIF(Calculations!DP:DP,Subgroup_number)=1,INDEX(Calculations!DP:EU,MATCH(Subgroup_number,Calculations!DP:DP,0),7),IF(Subgroup_number=Calculations!EY$25,Calculations!EY$19,""))</f>
        <v/>
      </c>
      <c r="O158" s="4" t="str">
        <f>IF(COUNTIF(Calculations!DP:DP,Subgroup_number)=1,INDEX(Calculations!DP:EU,MATCH(Subgroup_number,Calculations!DP:DP,0),9),IF(Subgroup_number=Calculations!EY$25,Calculations!EY$20,""))</f>
        <v/>
      </c>
      <c r="P158" s="4" t="str">
        <f>IF(COUNTIF(Calculations!DP:DP,Subgroup_number)=1,INDEX(Calculations!DP:EU,MATCH(Subgroup_number,Calculations!DP:DP,0),10),IF(Subgroup_number=Calculations!EY$25,Calculations!EY$21,""))</f>
        <v/>
      </c>
      <c r="Q15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8" s="182"/>
      <c r="U158" s="176"/>
      <c r="W158" s="176"/>
      <c r="Y158" s="176"/>
      <c r="AA158" s="176"/>
    </row>
    <row r="159" spans="6:27" x14ac:dyDescent="0.2">
      <c r="F159" s="89">
        <v>158</v>
      </c>
      <c r="G15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5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5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5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5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59" s="4" t="str">
        <f>IF(COUNTIF(Calculations!DP:DP,Subgroup_number)=1,INDEX(Calculations!DP:EU,MATCH(Subgroup_number,Calculations!DP:DP,0),5),IF(Subgroup_number=Calculations!EY$25,Calculations!EY$17,""))</f>
        <v/>
      </c>
      <c r="M159" s="38" t="str">
        <f>IF(COUNTIF(Calculations!DP:DP,Subgroup_number)=1,INDEX(Calculations!DP:EU,MATCH(Subgroup_number,Calculations!DP:DP,0),6),IF(Subgroup_number=Calculations!EY$25,Calculations!EY$18,""))</f>
        <v/>
      </c>
      <c r="N159" s="30" t="str">
        <f>IF(COUNTIF(Calculations!DP:DP,Subgroup_number)=1,INDEX(Calculations!DP:EU,MATCH(Subgroup_number,Calculations!DP:DP,0),7),IF(Subgroup_number=Calculations!EY$25,Calculations!EY$19,""))</f>
        <v/>
      </c>
      <c r="O159" s="4" t="str">
        <f>IF(COUNTIF(Calculations!DP:DP,Subgroup_number)=1,INDEX(Calculations!DP:EU,MATCH(Subgroup_number,Calculations!DP:DP,0),9),IF(Subgroup_number=Calculations!EY$25,Calculations!EY$20,""))</f>
        <v/>
      </c>
      <c r="P159" s="4" t="str">
        <f>IF(COUNTIF(Calculations!DP:DP,Subgroup_number)=1,INDEX(Calculations!DP:EU,MATCH(Subgroup_number,Calculations!DP:DP,0),10),IF(Subgroup_number=Calculations!EY$25,Calculations!EY$21,""))</f>
        <v/>
      </c>
      <c r="Q15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5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59" s="182"/>
      <c r="U159" s="176"/>
      <c r="W159" s="176"/>
      <c r="Y159" s="176"/>
      <c r="AA159" s="176"/>
    </row>
    <row r="160" spans="6:27" x14ac:dyDescent="0.2">
      <c r="F160" s="89">
        <v>159</v>
      </c>
      <c r="G16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0" s="4" t="str">
        <f>IF(COUNTIF(Calculations!DP:DP,Subgroup_number)=1,INDEX(Calculations!DP:EU,MATCH(Subgroup_number,Calculations!DP:DP,0),5),IF(Subgroup_number=Calculations!EY$25,Calculations!EY$17,""))</f>
        <v/>
      </c>
      <c r="M160" s="38" t="str">
        <f>IF(COUNTIF(Calculations!DP:DP,Subgroup_number)=1,INDEX(Calculations!DP:EU,MATCH(Subgroup_number,Calculations!DP:DP,0),6),IF(Subgroup_number=Calculations!EY$25,Calculations!EY$18,""))</f>
        <v/>
      </c>
      <c r="N160" s="30" t="str">
        <f>IF(COUNTIF(Calculations!DP:DP,Subgroup_number)=1,INDEX(Calculations!DP:EU,MATCH(Subgroup_number,Calculations!DP:DP,0),7),IF(Subgroup_number=Calculations!EY$25,Calculations!EY$19,""))</f>
        <v/>
      </c>
      <c r="O160" s="4" t="str">
        <f>IF(COUNTIF(Calculations!DP:DP,Subgroup_number)=1,INDEX(Calculations!DP:EU,MATCH(Subgroup_number,Calculations!DP:DP,0),9),IF(Subgroup_number=Calculations!EY$25,Calculations!EY$20,""))</f>
        <v/>
      </c>
      <c r="P160" s="4" t="str">
        <f>IF(COUNTIF(Calculations!DP:DP,Subgroup_number)=1,INDEX(Calculations!DP:EU,MATCH(Subgroup_number,Calculations!DP:DP,0),10),IF(Subgroup_number=Calculations!EY$25,Calculations!EY$21,""))</f>
        <v/>
      </c>
      <c r="Q16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0" s="182"/>
      <c r="U160" s="176"/>
      <c r="W160" s="176"/>
      <c r="Y160" s="176"/>
      <c r="AA160" s="176"/>
    </row>
    <row r="161" spans="6:27" x14ac:dyDescent="0.2">
      <c r="F161" s="89">
        <v>160</v>
      </c>
      <c r="G16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1" s="4" t="str">
        <f>IF(COUNTIF(Calculations!DP:DP,Subgroup_number)=1,INDEX(Calculations!DP:EU,MATCH(Subgroup_number,Calculations!DP:DP,0),5),IF(Subgroup_number=Calculations!EY$25,Calculations!EY$17,""))</f>
        <v/>
      </c>
      <c r="M161" s="38" t="str">
        <f>IF(COUNTIF(Calculations!DP:DP,Subgroup_number)=1,INDEX(Calculations!DP:EU,MATCH(Subgroup_number,Calculations!DP:DP,0),6),IF(Subgroup_number=Calculations!EY$25,Calculations!EY$18,""))</f>
        <v/>
      </c>
      <c r="N161" s="30" t="str">
        <f>IF(COUNTIF(Calculations!DP:DP,Subgroup_number)=1,INDEX(Calculations!DP:EU,MATCH(Subgroup_number,Calculations!DP:DP,0),7),IF(Subgroup_number=Calculations!EY$25,Calculations!EY$19,""))</f>
        <v/>
      </c>
      <c r="O161" s="4" t="str">
        <f>IF(COUNTIF(Calculations!DP:DP,Subgroup_number)=1,INDEX(Calculations!DP:EU,MATCH(Subgroup_number,Calculations!DP:DP,0),9),IF(Subgroup_number=Calculations!EY$25,Calculations!EY$20,""))</f>
        <v/>
      </c>
      <c r="P161" s="4" t="str">
        <f>IF(COUNTIF(Calculations!DP:DP,Subgroup_number)=1,INDEX(Calculations!DP:EU,MATCH(Subgroup_number,Calculations!DP:DP,0),10),IF(Subgroup_number=Calculations!EY$25,Calculations!EY$21,""))</f>
        <v/>
      </c>
      <c r="Q16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1" s="182"/>
      <c r="U161" s="176"/>
      <c r="W161" s="176"/>
      <c r="Y161" s="176"/>
      <c r="AA161" s="176"/>
    </row>
    <row r="162" spans="6:27" x14ac:dyDescent="0.2">
      <c r="F162" s="89">
        <v>161</v>
      </c>
      <c r="G16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2" s="4" t="str">
        <f>IF(COUNTIF(Calculations!DP:DP,Subgroup_number)=1,INDEX(Calculations!DP:EU,MATCH(Subgroup_number,Calculations!DP:DP,0),5),IF(Subgroup_number=Calculations!EY$25,Calculations!EY$17,""))</f>
        <v/>
      </c>
      <c r="M162" s="38" t="str">
        <f>IF(COUNTIF(Calculations!DP:DP,Subgroup_number)=1,INDEX(Calculations!DP:EU,MATCH(Subgroup_number,Calculations!DP:DP,0),6),IF(Subgroup_number=Calculations!EY$25,Calculations!EY$18,""))</f>
        <v/>
      </c>
      <c r="N162" s="30" t="str">
        <f>IF(COUNTIF(Calculations!DP:DP,Subgroup_number)=1,INDEX(Calculations!DP:EU,MATCH(Subgroup_number,Calculations!DP:DP,0),7),IF(Subgroup_number=Calculations!EY$25,Calculations!EY$19,""))</f>
        <v/>
      </c>
      <c r="O162" s="4" t="str">
        <f>IF(COUNTIF(Calculations!DP:DP,Subgroup_number)=1,INDEX(Calculations!DP:EU,MATCH(Subgroup_number,Calculations!DP:DP,0),9),IF(Subgroup_number=Calculations!EY$25,Calculations!EY$20,""))</f>
        <v/>
      </c>
      <c r="P162" s="4" t="str">
        <f>IF(COUNTIF(Calculations!DP:DP,Subgroup_number)=1,INDEX(Calculations!DP:EU,MATCH(Subgroup_number,Calculations!DP:DP,0),10),IF(Subgroup_number=Calculations!EY$25,Calculations!EY$21,""))</f>
        <v/>
      </c>
      <c r="Q16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2" s="182"/>
      <c r="U162" s="176"/>
      <c r="W162" s="176"/>
      <c r="Y162" s="176"/>
      <c r="AA162" s="176"/>
    </row>
    <row r="163" spans="6:27" x14ac:dyDescent="0.2">
      <c r="F163" s="89">
        <v>162</v>
      </c>
      <c r="G16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3" s="4" t="str">
        <f>IF(COUNTIF(Calculations!DP:DP,Subgroup_number)=1,INDEX(Calculations!DP:EU,MATCH(Subgroup_number,Calculations!DP:DP,0),5),IF(Subgroup_number=Calculations!EY$25,Calculations!EY$17,""))</f>
        <v/>
      </c>
      <c r="M163" s="38" t="str">
        <f>IF(COUNTIF(Calculations!DP:DP,Subgroup_number)=1,INDEX(Calculations!DP:EU,MATCH(Subgroup_number,Calculations!DP:DP,0),6),IF(Subgroup_number=Calculations!EY$25,Calculations!EY$18,""))</f>
        <v/>
      </c>
      <c r="N163" s="30" t="str">
        <f>IF(COUNTIF(Calculations!DP:DP,Subgroup_number)=1,INDEX(Calculations!DP:EU,MATCH(Subgroup_number,Calculations!DP:DP,0),7),IF(Subgroup_number=Calculations!EY$25,Calculations!EY$19,""))</f>
        <v/>
      </c>
      <c r="O163" s="4" t="str">
        <f>IF(COUNTIF(Calculations!DP:DP,Subgroup_number)=1,INDEX(Calculations!DP:EU,MATCH(Subgroup_number,Calculations!DP:DP,0),9),IF(Subgroup_number=Calculations!EY$25,Calculations!EY$20,""))</f>
        <v/>
      </c>
      <c r="P163" s="4" t="str">
        <f>IF(COUNTIF(Calculations!DP:DP,Subgroup_number)=1,INDEX(Calculations!DP:EU,MATCH(Subgroup_number,Calculations!DP:DP,0),10),IF(Subgroup_number=Calculations!EY$25,Calculations!EY$21,""))</f>
        <v/>
      </c>
      <c r="Q16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3" s="182"/>
      <c r="U163" s="176"/>
      <c r="W163" s="176"/>
      <c r="Y163" s="176"/>
      <c r="AA163" s="176"/>
    </row>
    <row r="164" spans="6:27" x14ac:dyDescent="0.2">
      <c r="F164" s="89">
        <v>163</v>
      </c>
      <c r="G16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4" s="4" t="str">
        <f>IF(COUNTIF(Calculations!DP:DP,Subgroup_number)=1,INDEX(Calculations!DP:EU,MATCH(Subgroup_number,Calculations!DP:DP,0),5),IF(Subgroup_number=Calculations!EY$25,Calculations!EY$17,""))</f>
        <v/>
      </c>
      <c r="M164" s="38" t="str">
        <f>IF(COUNTIF(Calculations!DP:DP,Subgroup_number)=1,INDEX(Calculations!DP:EU,MATCH(Subgroup_number,Calculations!DP:DP,0),6),IF(Subgroup_number=Calculations!EY$25,Calculations!EY$18,""))</f>
        <v/>
      </c>
      <c r="N164" s="30" t="str">
        <f>IF(COUNTIF(Calculations!DP:DP,Subgroup_number)=1,INDEX(Calculations!DP:EU,MATCH(Subgroup_number,Calculations!DP:DP,0),7),IF(Subgroup_number=Calculations!EY$25,Calculations!EY$19,""))</f>
        <v/>
      </c>
      <c r="O164" s="4" t="str">
        <f>IF(COUNTIF(Calculations!DP:DP,Subgroup_number)=1,INDEX(Calculations!DP:EU,MATCH(Subgroup_number,Calculations!DP:DP,0),9),IF(Subgroup_number=Calculations!EY$25,Calculations!EY$20,""))</f>
        <v/>
      </c>
      <c r="P164" s="4" t="str">
        <f>IF(COUNTIF(Calculations!DP:DP,Subgroup_number)=1,INDEX(Calculations!DP:EU,MATCH(Subgroup_number,Calculations!DP:DP,0),10),IF(Subgroup_number=Calculations!EY$25,Calculations!EY$21,""))</f>
        <v/>
      </c>
      <c r="Q16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4" s="182"/>
      <c r="U164" s="176"/>
      <c r="W164" s="176"/>
      <c r="Y164" s="176"/>
      <c r="AA164" s="176"/>
    </row>
    <row r="165" spans="6:27" x14ac:dyDescent="0.2">
      <c r="F165" s="89">
        <v>164</v>
      </c>
      <c r="G16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5" s="4" t="str">
        <f>IF(COUNTIF(Calculations!DP:DP,Subgroup_number)=1,INDEX(Calculations!DP:EU,MATCH(Subgroup_number,Calculations!DP:DP,0),5),IF(Subgroup_number=Calculations!EY$25,Calculations!EY$17,""))</f>
        <v/>
      </c>
      <c r="M165" s="38" t="str">
        <f>IF(COUNTIF(Calculations!DP:DP,Subgroup_number)=1,INDEX(Calculations!DP:EU,MATCH(Subgroup_number,Calculations!DP:DP,0),6),IF(Subgroup_number=Calculations!EY$25,Calculations!EY$18,""))</f>
        <v/>
      </c>
      <c r="N165" s="30" t="str">
        <f>IF(COUNTIF(Calculations!DP:DP,Subgroup_number)=1,INDEX(Calculations!DP:EU,MATCH(Subgroup_number,Calculations!DP:DP,0),7),IF(Subgroup_number=Calculations!EY$25,Calculations!EY$19,""))</f>
        <v/>
      </c>
      <c r="O165" s="4" t="str">
        <f>IF(COUNTIF(Calculations!DP:DP,Subgroup_number)=1,INDEX(Calculations!DP:EU,MATCH(Subgroup_number,Calculations!DP:DP,0),9),IF(Subgroup_number=Calculations!EY$25,Calculations!EY$20,""))</f>
        <v/>
      </c>
      <c r="P165" s="4" t="str">
        <f>IF(COUNTIF(Calculations!DP:DP,Subgroup_number)=1,INDEX(Calculations!DP:EU,MATCH(Subgroup_number,Calculations!DP:DP,0),10),IF(Subgroup_number=Calculations!EY$25,Calculations!EY$21,""))</f>
        <v/>
      </c>
      <c r="Q16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5" s="182"/>
      <c r="U165" s="176"/>
      <c r="W165" s="176"/>
      <c r="Y165" s="176"/>
      <c r="AA165" s="176"/>
    </row>
    <row r="166" spans="6:27" x14ac:dyDescent="0.2">
      <c r="F166" s="89">
        <v>165</v>
      </c>
      <c r="G16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6" s="4" t="str">
        <f>IF(COUNTIF(Calculations!DP:DP,Subgroup_number)=1,INDEX(Calculations!DP:EU,MATCH(Subgroup_number,Calculations!DP:DP,0),5),IF(Subgroup_number=Calculations!EY$25,Calculations!EY$17,""))</f>
        <v/>
      </c>
      <c r="M166" s="38" t="str">
        <f>IF(COUNTIF(Calculations!DP:DP,Subgroup_number)=1,INDEX(Calculations!DP:EU,MATCH(Subgroup_number,Calculations!DP:DP,0),6),IF(Subgroup_number=Calculations!EY$25,Calculations!EY$18,""))</f>
        <v/>
      </c>
      <c r="N166" s="30" t="str">
        <f>IF(COUNTIF(Calculations!DP:DP,Subgroup_number)=1,INDEX(Calculations!DP:EU,MATCH(Subgroup_number,Calculations!DP:DP,0),7),IF(Subgroup_number=Calculations!EY$25,Calculations!EY$19,""))</f>
        <v/>
      </c>
      <c r="O166" s="4" t="str">
        <f>IF(COUNTIF(Calculations!DP:DP,Subgroup_number)=1,INDEX(Calculations!DP:EU,MATCH(Subgroup_number,Calculations!DP:DP,0),9),IF(Subgroup_number=Calculations!EY$25,Calculations!EY$20,""))</f>
        <v/>
      </c>
      <c r="P166" s="4" t="str">
        <f>IF(COUNTIF(Calculations!DP:DP,Subgroup_number)=1,INDEX(Calculations!DP:EU,MATCH(Subgroup_number,Calculations!DP:DP,0),10),IF(Subgroup_number=Calculations!EY$25,Calculations!EY$21,""))</f>
        <v/>
      </c>
      <c r="Q16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6" s="182"/>
      <c r="U166" s="176"/>
      <c r="W166" s="176"/>
      <c r="Y166" s="176"/>
      <c r="AA166" s="176"/>
    </row>
    <row r="167" spans="6:27" x14ac:dyDescent="0.2">
      <c r="F167" s="89">
        <v>166</v>
      </c>
      <c r="G16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7" s="4" t="str">
        <f>IF(COUNTIF(Calculations!DP:DP,Subgroup_number)=1,INDEX(Calculations!DP:EU,MATCH(Subgroup_number,Calculations!DP:DP,0),5),IF(Subgroup_number=Calculations!EY$25,Calculations!EY$17,""))</f>
        <v/>
      </c>
      <c r="M167" s="38" t="str">
        <f>IF(COUNTIF(Calculations!DP:DP,Subgroup_number)=1,INDEX(Calculations!DP:EU,MATCH(Subgroup_number,Calculations!DP:DP,0),6),IF(Subgroup_number=Calculations!EY$25,Calculations!EY$18,""))</f>
        <v/>
      </c>
      <c r="N167" s="30" t="str">
        <f>IF(COUNTIF(Calculations!DP:DP,Subgroup_number)=1,INDEX(Calculations!DP:EU,MATCH(Subgroup_number,Calculations!DP:DP,0),7),IF(Subgroup_number=Calculations!EY$25,Calculations!EY$19,""))</f>
        <v/>
      </c>
      <c r="O167" s="4" t="str">
        <f>IF(COUNTIF(Calculations!DP:DP,Subgroup_number)=1,INDEX(Calculations!DP:EU,MATCH(Subgroup_number,Calculations!DP:DP,0),9),IF(Subgroup_number=Calculations!EY$25,Calculations!EY$20,""))</f>
        <v/>
      </c>
      <c r="P167" s="4" t="str">
        <f>IF(COUNTIF(Calculations!DP:DP,Subgroup_number)=1,INDEX(Calculations!DP:EU,MATCH(Subgroup_number,Calculations!DP:DP,0),10),IF(Subgroup_number=Calculations!EY$25,Calculations!EY$21,""))</f>
        <v/>
      </c>
      <c r="Q16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7" s="182"/>
      <c r="U167" s="176"/>
      <c r="W167" s="176"/>
      <c r="Y167" s="176"/>
      <c r="AA167" s="176"/>
    </row>
    <row r="168" spans="6:27" x14ac:dyDescent="0.2">
      <c r="F168" s="89">
        <v>167</v>
      </c>
      <c r="G16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8" s="4" t="str">
        <f>IF(COUNTIF(Calculations!DP:DP,Subgroup_number)=1,INDEX(Calculations!DP:EU,MATCH(Subgroup_number,Calculations!DP:DP,0),5),IF(Subgroup_number=Calculations!EY$25,Calculations!EY$17,""))</f>
        <v/>
      </c>
      <c r="M168" s="38" t="str">
        <f>IF(COUNTIF(Calculations!DP:DP,Subgroup_number)=1,INDEX(Calculations!DP:EU,MATCH(Subgroup_number,Calculations!DP:DP,0),6),IF(Subgroup_number=Calculations!EY$25,Calculations!EY$18,""))</f>
        <v/>
      </c>
      <c r="N168" s="30" t="str">
        <f>IF(COUNTIF(Calculations!DP:DP,Subgroup_number)=1,INDEX(Calculations!DP:EU,MATCH(Subgroup_number,Calculations!DP:DP,0),7),IF(Subgroup_number=Calculations!EY$25,Calculations!EY$19,""))</f>
        <v/>
      </c>
      <c r="O168" s="4" t="str">
        <f>IF(COUNTIF(Calculations!DP:DP,Subgroup_number)=1,INDEX(Calculations!DP:EU,MATCH(Subgroup_number,Calculations!DP:DP,0),9),IF(Subgroup_number=Calculations!EY$25,Calculations!EY$20,""))</f>
        <v/>
      </c>
      <c r="P168" s="4" t="str">
        <f>IF(COUNTIF(Calculations!DP:DP,Subgroup_number)=1,INDEX(Calculations!DP:EU,MATCH(Subgroup_number,Calculations!DP:DP,0),10),IF(Subgroup_number=Calculations!EY$25,Calculations!EY$21,""))</f>
        <v/>
      </c>
      <c r="Q16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8" s="182"/>
      <c r="U168" s="176"/>
      <c r="W168" s="176"/>
      <c r="Y168" s="176"/>
      <c r="AA168" s="176"/>
    </row>
    <row r="169" spans="6:27" x14ac:dyDescent="0.2">
      <c r="F169" s="89">
        <v>168</v>
      </c>
      <c r="G16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6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6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6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6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69" s="4" t="str">
        <f>IF(COUNTIF(Calculations!DP:DP,Subgroup_number)=1,INDEX(Calculations!DP:EU,MATCH(Subgroup_number,Calculations!DP:DP,0),5),IF(Subgroup_number=Calculations!EY$25,Calculations!EY$17,""))</f>
        <v/>
      </c>
      <c r="M169" s="38" t="str">
        <f>IF(COUNTIF(Calculations!DP:DP,Subgroup_number)=1,INDEX(Calculations!DP:EU,MATCH(Subgroup_number,Calculations!DP:DP,0),6),IF(Subgroup_number=Calculations!EY$25,Calculations!EY$18,""))</f>
        <v/>
      </c>
      <c r="N169" s="30" t="str">
        <f>IF(COUNTIF(Calculations!DP:DP,Subgroup_number)=1,INDEX(Calculations!DP:EU,MATCH(Subgroup_number,Calculations!DP:DP,0),7),IF(Subgroup_number=Calculations!EY$25,Calculations!EY$19,""))</f>
        <v/>
      </c>
      <c r="O169" s="4" t="str">
        <f>IF(COUNTIF(Calculations!DP:DP,Subgroup_number)=1,INDEX(Calculations!DP:EU,MATCH(Subgroup_number,Calculations!DP:DP,0),9),IF(Subgroup_number=Calculations!EY$25,Calculations!EY$20,""))</f>
        <v/>
      </c>
      <c r="P169" s="4" t="str">
        <f>IF(COUNTIF(Calculations!DP:DP,Subgroup_number)=1,INDEX(Calculations!DP:EU,MATCH(Subgroup_number,Calculations!DP:DP,0),10),IF(Subgroup_number=Calculations!EY$25,Calculations!EY$21,""))</f>
        <v/>
      </c>
      <c r="Q16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6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69" s="182"/>
      <c r="U169" s="176"/>
      <c r="W169" s="176"/>
      <c r="Y169" s="176"/>
      <c r="AA169" s="176"/>
    </row>
    <row r="170" spans="6:27" x14ac:dyDescent="0.2">
      <c r="F170" s="89">
        <v>169</v>
      </c>
      <c r="G17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0" s="4" t="str">
        <f>IF(COUNTIF(Calculations!DP:DP,Subgroup_number)=1,INDEX(Calculations!DP:EU,MATCH(Subgroup_number,Calculations!DP:DP,0),5),IF(Subgroup_number=Calculations!EY$25,Calculations!EY$17,""))</f>
        <v/>
      </c>
      <c r="M170" s="38" t="str">
        <f>IF(COUNTIF(Calculations!DP:DP,Subgroup_number)=1,INDEX(Calculations!DP:EU,MATCH(Subgroup_number,Calculations!DP:DP,0),6),IF(Subgroup_number=Calculations!EY$25,Calculations!EY$18,""))</f>
        <v/>
      </c>
      <c r="N170" s="30" t="str">
        <f>IF(COUNTIF(Calculations!DP:DP,Subgroup_number)=1,INDEX(Calculations!DP:EU,MATCH(Subgroup_number,Calculations!DP:DP,0),7),IF(Subgroup_number=Calculations!EY$25,Calculations!EY$19,""))</f>
        <v/>
      </c>
      <c r="O170" s="4" t="str">
        <f>IF(COUNTIF(Calculations!DP:DP,Subgroup_number)=1,INDEX(Calculations!DP:EU,MATCH(Subgroup_number,Calculations!DP:DP,0),9),IF(Subgroup_number=Calculations!EY$25,Calculations!EY$20,""))</f>
        <v/>
      </c>
      <c r="P170" s="4" t="str">
        <f>IF(COUNTIF(Calculations!DP:DP,Subgroup_number)=1,INDEX(Calculations!DP:EU,MATCH(Subgroup_number,Calculations!DP:DP,0),10),IF(Subgroup_number=Calculations!EY$25,Calculations!EY$21,""))</f>
        <v/>
      </c>
      <c r="Q17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0" s="182"/>
      <c r="U170" s="176"/>
      <c r="W170" s="176"/>
      <c r="Y170" s="176"/>
      <c r="AA170" s="176"/>
    </row>
    <row r="171" spans="6:27" x14ac:dyDescent="0.2">
      <c r="F171" s="89">
        <v>170</v>
      </c>
      <c r="G17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1" s="4" t="str">
        <f>IF(COUNTIF(Calculations!DP:DP,Subgroup_number)=1,INDEX(Calculations!DP:EU,MATCH(Subgroup_number,Calculations!DP:DP,0),5),IF(Subgroup_number=Calculations!EY$25,Calculations!EY$17,""))</f>
        <v/>
      </c>
      <c r="M171" s="38" t="str">
        <f>IF(COUNTIF(Calculations!DP:DP,Subgroup_number)=1,INDEX(Calculations!DP:EU,MATCH(Subgroup_number,Calculations!DP:DP,0),6),IF(Subgroup_number=Calculations!EY$25,Calculations!EY$18,""))</f>
        <v/>
      </c>
      <c r="N171" s="30" t="str">
        <f>IF(COUNTIF(Calculations!DP:DP,Subgroup_number)=1,INDEX(Calculations!DP:EU,MATCH(Subgroup_number,Calculations!DP:DP,0),7),IF(Subgroup_number=Calculations!EY$25,Calculations!EY$19,""))</f>
        <v/>
      </c>
      <c r="O171" s="4" t="str">
        <f>IF(COUNTIF(Calculations!DP:DP,Subgroup_number)=1,INDEX(Calculations!DP:EU,MATCH(Subgroup_number,Calculations!DP:DP,0),9),IF(Subgroup_number=Calculations!EY$25,Calculations!EY$20,""))</f>
        <v/>
      </c>
      <c r="P171" s="4" t="str">
        <f>IF(COUNTIF(Calculations!DP:DP,Subgroup_number)=1,INDEX(Calculations!DP:EU,MATCH(Subgroup_number,Calculations!DP:DP,0),10),IF(Subgroup_number=Calculations!EY$25,Calculations!EY$21,""))</f>
        <v/>
      </c>
      <c r="Q17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1" s="182"/>
      <c r="U171" s="176"/>
      <c r="W171" s="176"/>
      <c r="Y171" s="176"/>
      <c r="AA171" s="176"/>
    </row>
    <row r="172" spans="6:27" x14ac:dyDescent="0.2">
      <c r="F172" s="89">
        <v>171</v>
      </c>
      <c r="G17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2" s="4" t="str">
        <f>IF(COUNTIF(Calculations!DP:DP,Subgroup_number)=1,INDEX(Calculations!DP:EU,MATCH(Subgroup_number,Calculations!DP:DP,0),5),IF(Subgroup_number=Calculations!EY$25,Calculations!EY$17,""))</f>
        <v/>
      </c>
      <c r="M172" s="38" t="str">
        <f>IF(COUNTIF(Calculations!DP:DP,Subgroup_number)=1,INDEX(Calculations!DP:EU,MATCH(Subgroup_number,Calculations!DP:DP,0),6),IF(Subgroup_number=Calculations!EY$25,Calculations!EY$18,""))</f>
        <v/>
      </c>
      <c r="N172" s="30" t="str">
        <f>IF(COUNTIF(Calculations!DP:DP,Subgroup_number)=1,INDEX(Calculations!DP:EU,MATCH(Subgroup_number,Calculations!DP:DP,0),7),IF(Subgroup_number=Calculations!EY$25,Calculations!EY$19,""))</f>
        <v/>
      </c>
      <c r="O172" s="4" t="str">
        <f>IF(COUNTIF(Calculations!DP:DP,Subgroup_number)=1,INDEX(Calculations!DP:EU,MATCH(Subgroup_number,Calculations!DP:DP,0),9),IF(Subgroup_number=Calculations!EY$25,Calculations!EY$20,""))</f>
        <v/>
      </c>
      <c r="P172" s="4" t="str">
        <f>IF(COUNTIF(Calculations!DP:DP,Subgroup_number)=1,INDEX(Calculations!DP:EU,MATCH(Subgroup_number,Calculations!DP:DP,0),10),IF(Subgroup_number=Calculations!EY$25,Calculations!EY$21,""))</f>
        <v/>
      </c>
      <c r="Q17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2" s="182"/>
      <c r="U172" s="176"/>
      <c r="W172" s="176"/>
      <c r="Y172" s="176"/>
      <c r="AA172" s="176"/>
    </row>
    <row r="173" spans="6:27" x14ac:dyDescent="0.2">
      <c r="F173" s="89">
        <v>172</v>
      </c>
      <c r="G17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3" s="4" t="str">
        <f>IF(COUNTIF(Calculations!DP:DP,Subgroup_number)=1,INDEX(Calculations!DP:EU,MATCH(Subgroup_number,Calculations!DP:DP,0),5),IF(Subgroup_number=Calculations!EY$25,Calculations!EY$17,""))</f>
        <v/>
      </c>
      <c r="M173" s="38" t="str">
        <f>IF(COUNTIF(Calculations!DP:DP,Subgroup_number)=1,INDEX(Calculations!DP:EU,MATCH(Subgroup_number,Calculations!DP:DP,0),6),IF(Subgroup_number=Calculations!EY$25,Calculations!EY$18,""))</f>
        <v/>
      </c>
      <c r="N173" s="30" t="str">
        <f>IF(COUNTIF(Calculations!DP:DP,Subgroup_number)=1,INDEX(Calculations!DP:EU,MATCH(Subgroup_number,Calculations!DP:DP,0),7),IF(Subgroup_number=Calculations!EY$25,Calculations!EY$19,""))</f>
        <v/>
      </c>
      <c r="O173" s="4" t="str">
        <f>IF(COUNTIF(Calculations!DP:DP,Subgroup_number)=1,INDEX(Calculations!DP:EU,MATCH(Subgroup_number,Calculations!DP:DP,0),9),IF(Subgroup_number=Calculations!EY$25,Calculations!EY$20,""))</f>
        <v/>
      </c>
      <c r="P173" s="4" t="str">
        <f>IF(COUNTIF(Calculations!DP:DP,Subgroup_number)=1,INDEX(Calculations!DP:EU,MATCH(Subgroup_number,Calculations!DP:DP,0),10),IF(Subgroup_number=Calculations!EY$25,Calculations!EY$21,""))</f>
        <v/>
      </c>
      <c r="Q17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3" s="182"/>
      <c r="U173" s="176"/>
      <c r="W173" s="176"/>
      <c r="Y173" s="176"/>
      <c r="AA173" s="176"/>
    </row>
    <row r="174" spans="6:27" x14ac:dyDescent="0.2">
      <c r="F174" s="89">
        <v>173</v>
      </c>
      <c r="G17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4" s="4" t="str">
        <f>IF(COUNTIF(Calculations!DP:DP,Subgroup_number)=1,INDEX(Calculations!DP:EU,MATCH(Subgroup_number,Calculations!DP:DP,0),5),IF(Subgroup_number=Calculations!EY$25,Calculations!EY$17,""))</f>
        <v/>
      </c>
      <c r="M174" s="38" t="str">
        <f>IF(COUNTIF(Calculations!DP:DP,Subgroup_number)=1,INDEX(Calculations!DP:EU,MATCH(Subgroup_number,Calculations!DP:DP,0),6),IF(Subgroup_number=Calculations!EY$25,Calculations!EY$18,""))</f>
        <v/>
      </c>
      <c r="N174" s="30" t="str">
        <f>IF(COUNTIF(Calculations!DP:DP,Subgroup_number)=1,INDEX(Calculations!DP:EU,MATCH(Subgroup_number,Calculations!DP:DP,0),7),IF(Subgroup_number=Calculations!EY$25,Calculations!EY$19,""))</f>
        <v/>
      </c>
      <c r="O174" s="4" t="str">
        <f>IF(COUNTIF(Calculations!DP:DP,Subgroup_number)=1,INDEX(Calculations!DP:EU,MATCH(Subgroup_number,Calculations!DP:DP,0),9),IF(Subgroup_number=Calculations!EY$25,Calculations!EY$20,""))</f>
        <v/>
      </c>
      <c r="P174" s="4" t="str">
        <f>IF(COUNTIF(Calculations!DP:DP,Subgroup_number)=1,INDEX(Calculations!DP:EU,MATCH(Subgroup_number,Calculations!DP:DP,0),10),IF(Subgroup_number=Calculations!EY$25,Calculations!EY$21,""))</f>
        <v/>
      </c>
      <c r="Q17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4" s="182"/>
      <c r="U174" s="176"/>
      <c r="W174" s="176"/>
      <c r="Y174" s="176"/>
      <c r="AA174" s="176"/>
    </row>
    <row r="175" spans="6:27" x14ac:dyDescent="0.2">
      <c r="F175" s="89">
        <v>174</v>
      </c>
      <c r="G17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5" s="4" t="str">
        <f>IF(COUNTIF(Calculations!DP:DP,Subgroup_number)=1,INDEX(Calculations!DP:EU,MATCH(Subgroup_number,Calculations!DP:DP,0),5),IF(Subgroup_number=Calculations!EY$25,Calculations!EY$17,""))</f>
        <v/>
      </c>
      <c r="M175" s="38" t="str">
        <f>IF(COUNTIF(Calculations!DP:DP,Subgroup_number)=1,INDEX(Calculations!DP:EU,MATCH(Subgroup_number,Calculations!DP:DP,0),6),IF(Subgroup_number=Calculations!EY$25,Calculations!EY$18,""))</f>
        <v/>
      </c>
      <c r="N175" s="30" t="str">
        <f>IF(COUNTIF(Calculations!DP:DP,Subgroup_number)=1,INDEX(Calculations!DP:EU,MATCH(Subgroup_number,Calculations!DP:DP,0),7),IF(Subgroup_number=Calculations!EY$25,Calculations!EY$19,""))</f>
        <v/>
      </c>
      <c r="O175" s="4" t="str">
        <f>IF(COUNTIF(Calculations!DP:DP,Subgroup_number)=1,INDEX(Calculations!DP:EU,MATCH(Subgroup_number,Calculations!DP:DP,0),9),IF(Subgroup_number=Calculations!EY$25,Calculations!EY$20,""))</f>
        <v/>
      </c>
      <c r="P175" s="4" t="str">
        <f>IF(COUNTIF(Calculations!DP:DP,Subgroup_number)=1,INDEX(Calculations!DP:EU,MATCH(Subgroup_number,Calculations!DP:DP,0),10),IF(Subgroup_number=Calculations!EY$25,Calculations!EY$21,""))</f>
        <v/>
      </c>
      <c r="Q17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5" s="182"/>
      <c r="U175" s="176"/>
      <c r="W175" s="176"/>
      <c r="Y175" s="176"/>
      <c r="AA175" s="176"/>
    </row>
    <row r="176" spans="6:27" x14ac:dyDescent="0.2">
      <c r="F176" s="89">
        <v>175</v>
      </c>
      <c r="G17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6" s="4" t="str">
        <f>IF(COUNTIF(Calculations!DP:DP,Subgroup_number)=1,INDEX(Calculations!DP:EU,MATCH(Subgroup_number,Calculations!DP:DP,0),5),IF(Subgroup_number=Calculations!EY$25,Calculations!EY$17,""))</f>
        <v/>
      </c>
      <c r="M176" s="38" t="str">
        <f>IF(COUNTIF(Calculations!DP:DP,Subgroup_number)=1,INDEX(Calculations!DP:EU,MATCH(Subgroup_number,Calculations!DP:DP,0),6),IF(Subgroup_number=Calculations!EY$25,Calculations!EY$18,""))</f>
        <v/>
      </c>
      <c r="N176" s="30" t="str">
        <f>IF(COUNTIF(Calculations!DP:DP,Subgroup_number)=1,INDEX(Calculations!DP:EU,MATCH(Subgroup_number,Calculations!DP:DP,0),7),IF(Subgroup_number=Calculations!EY$25,Calculations!EY$19,""))</f>
        <v/>
      </c>
      <c r="O176" s="4" t="str">
        <f>IF(COUNTIF(Calculations!DP:DP,Subgroup_number)=1,INDEX(Calculations!DP:EU,MATCH(Subgroup_number,Calculations!DP:DP,0),9),IF(Subgroup_number=Calculations!EY$25,Calculations!EY$20,""))</f>
        <v/>
      </c>
      <c r="P176" s="4" t="str">
        <f>IF(COUNTIF(Calculations!DP:DP,Subgroup_number)=1,INDEX(Calculations!DP:EU,MATCH(Subgroup_number,Calculations!DP:DP,0),10),IF(Subgroup_number=Calculations!EY$25,Calculations!EY$21,""))</f>
        <v/>
      </c>
      <c r="Q17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6" s="182"/>
      <c r="U176" s="176"/>
      <c r="W176" s="176"/>
      <c r="Y176" s="176"/>
      <c r="AA176" s="176"/>
    </row>
    <row r="177" spans="6:27" x14ac:dyDescent="0.2">
      <c r="F177" s="89">
        <v>176</v>
      </c>
      <c r="G17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7" s="4" t="str">
        <f>IF(COUNTIF(Calculations!DP:DP,Subgroup_number)=1,INDEX(Calculations!DP:EU,MATCH(Subgroup_number,Calculations!DP:DP,0),5),IF(Subgroup_number=Calculations!EY$25,Calculations!EY$17,""))</f>
        <v/>
      </c>
      <c r="M177" s="38" t="str">
        <f>IF(COUNTIF(Calculations!DP:DP,Subgroup_number)=1,INDEX(Calculations!DP:EU,MATCH(Subgroup_number,Calculations!DP:DP,0),6),IF(Subgroup_number=Calculations!EY$25,Calculations!EY$18,""))</f>
        <v/>
      </c>
      <c r="N177" s="30" t="str">
        <f>IF(COUNTIF(Calculations!DP:DP,Subgroup_number)=1,INDEX(Calculations!DP:EU,MATCH(Subgroup_number,Calculations!DP:DP,0),7),IF(Subgroup_number=Calculations!EY$25,Calculations!EY$19,""))</f>
        <v/>
      </c>
      <c r="O177" s="4" t="str">
        <f>IF(COUNTIF(Calculations!DP:DP,Subgroup_number)=1,INDEX(Calculations!DP:EU,MATCH(Subgroup_number,Calculations!DP:DP,0),9),IF(Subgroup_number=Calculations!EY$25,Calculations!EY$20,""))</f>
        <v/>
      </c>
      <c r="P177" s="4" t="str">
        <f>IF(COUNTIF(Calculations!DP:DP,Subgroup_number)=1,INDEX(Calculations!DP:EU,MATCH(Subgroup_number,Calculations!DP:DP,0),10),IF(Subgroup_number=Calculations!EY$25,Calculations!EY$21,""))</f>
        <v/>
      </c>
      <c r="Q17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7" s="182"/>
      <c r="U177" s="176"/>
      <c r="W177" s="176"/>
      <c r="Y177" s="176"/>
      <c r="AA177" s="176"/>
    </row>
    <row r="178" spans="6:27" x14ac:dyDescent="0.2">
      <c r="F178" s="89">
        <v>177</v>
      </c>
      <c r="G17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8" s="4" t="str">
        <f>IF(COUNTIF(Calculations!DP:DP,Subgroup_number)=1,INDEX(Calculations!DP:EU,MATCH(Subgroup_number,Calculations!DP:DP,0),5),IF(Subgroup_number=Calculations!EY$25,Calculations!EY$17,""))</f>
        <v/>
      </c>
      <c r="M178" s="38" t="str">
        <f>IF(COUNTIF(Calculations!DP:DP,Subgroup_number)=1,INDEX(Calculations!DP:EU,MATCH(Subgroup_number,Calculations!DP:DP,0),6),IF(Subgroup_number=Calculations!EY$25,Calculations!EY$18,""))</f>
        <v/>
      </c>
      <c r="N178" s="30" t="str">
        <f>IF(COUNTIF(Calculations!DP:DP,Subgroup_number)=1,INDEX(Calculations!DP:EU,MATCH(Subgroup_number,Calculations!DP:DP,0),7),IF(Subgroup_number=Calculations!EY$25,Calculations!EY$19,""))</f>
        <v/>
      </c>
      <c r="O178" s="4" t="str">
        <f>IF(COUNTIF(Calculations!DP:DP,Subgroup_number)=1,INDEX(Calculations!DP:EU,MATCH(Subgroup_number,Calculations!DP:DP,0),9),IF(Subgroup_number=Calculations!EY$25,Calculations!EY$20,""))</f>
        <v/>
      </c>
      <c r="P178" s="4" t="str">
        <f>IF(COUNTIF(Calculations!DP:DP,Subgroup_number)=1,INDEX(Calculations!DP:EU,MATCH(Subgroup_number,Calculations!DP:DP,0),10),IF(Subgroup_number=Calculations!EY$25,Calculations!EY$21,""))</f>
        <v/>
      </c>
      <c r="Q17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8" s="182"/>
      <c r="U178" s="176"/>
      <c r="W178" s="176"/>
      <c r="Y178" s="176"/>
      <c r="AA178" s="176"/>
    </row>
    <row r="179" spans="6:27" x14ac:dyDescent="0.2">
      <c r="F179" s="89">
        <v>178</v>
      </c>
      <c r="G17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7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7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7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7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79" s="4" t="str">
        <f>IF(COUNTIF(Calculations!DP:DP,Subgroup_number)=1,INDEX(Calculations!DP:EU,MATCH(Subgroup_number,Calculations!DP:DP,0),5),IF(Subgroup_number=Calculations!EY$25,Calculations!EY$17,""))</f>
        <v/>
      </c>
      <c r="M179" s="38" t="str">
        <f>IF(COUNTIF(Calculations!DP:DP,Subgroup_number)=1,INDEX(Calculations!DP:EU,MATCH(Subgroup_number,Calculations!DP:DP,0),6),IF(Subgroup_number=Calculations!EY$25,Calculations!EY$18,""))</f>
        <v/>
      </c>
      <c r="N179" s="30" t="str">
        <f>IF(COUNTIF(Calculations!DP:DP,Subgroup_number)=1,INDEX(Calculations!DP:EU,MATCH(Subgroup_number,Calculations!DP:DP,0),7),IF(Subgroup_number=Calculations!EY$25,Calculations!EY$19,""))</f>
        <v/>
      </c>
      <c r="O179" s="4" t="str">
        <f>IF(COUNTIF(Calculations!DP:DP,Subgroup_number)=1,INDEX(Calculations!DP:EU,MATCH(Subgroup_number,Calculations!DP:DP,0),9),IF(Subgroup_number=Calculations!EY$25,Calculations!EY$20,""))</f>
        <v/>
      </c>
      <c r="P179" s="4" t="str">
        <f>IF(COUNTIF(Calculations!DP:DP,Subgroup_number)=1,INDEX(Calculations!DP:EU,MATCH(Subgroup_number,Calculations!DP:DP,0),10),IF(Subgroup_number=Calculations!EY$25,Calculations!EY$21,""))</f>
        <v/>
      </c>
      <c r="Q17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7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79" s="182"/>
      <c r="U179" s="176"/>
      <c r="W179" s="176"/>
      <c r="Y179" s="176"/>
      <c r="AA179" s="176"/>
    </row>
    <row r="180" spans="6:27" x14ac:dyDescent="0.2">
      <c r="F180" s="89">
        <v>179</v>
      </c>
      <c r="G18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0" s="4" t="str">
        <f>IF(COUNTIF(Calculations!DP:DP,Subgroup_number)=1,INDEX(Calculations!DP:EU,MATCH(Subgroup_number,Calculations!DP:DP,0),5),IF(Subgroup_number=Calculations!EY$25,Calculations!EY$17,""))</f>
        <v/>
      </c>
      <c r="M180" s="38" t="str">
        <f>IF(COUNTIF(Calculations!DP:DP,Subgroup_number)=1,INDEX(Calculations!DP:EU,MATCH(Subgroup_number,Calculations!DP:DP,0),6),IF(Subgroup_number=Calculations!EY$25,Calculations!EY$18,""))</f>
        <v/>
      </c>
      <c r="N180" s="30" t="str">
        <f>IF(COUNTIF(Calculations!DP:DP,Subgroup_number)=1,INDEX(Calculations!DP:EU,MATCH(Subgroup_number,Calculations!DP:DP,0),7),IF(Subgroup_number=Calculations!EY$25,Calculations!EY$19,""))</f>
        <v/>
      </c>
      <c r="O180" s="4" t="str">
        <f>IF(COUNTIF(Calculations!DP:DP,Subgroup_number)=1,INDEX(Calculations!DP:EU,MATCH(Subgroup_number,Calculations!DP:DP,0),9),IF(Subgroup_number=Calculations!EY$25,Calculations!EY$20,""))</f>
        <v/>
      </c>
      <c r="P180" s="4" t="str">
        <f>IF(COUNTIF(Calculations!DP:DP,Subgroup_number)=1,INDEX(Calculations!DP:EU,MATCH(Subgroup_number,Calculations!DP:DP,0),10),IF(Subgroup_number=Calculations!EY$25,Calculations!EY$21,""))</f>
        <v/>
      </c>
      <c r="Q18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0" s="182"/>
      <c r="U180" s="176"/>
      <c r="W180" s="176"/>
      <c r="Y180" s="176"/>
      <c r="AA180" s="176"/>
    </row>
    <row r="181" spans="6:27" x14ac:dyDescent="0.2">
      <c r="F181" s="89">
        <v>180</v>
      </c>
      <c r="G18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1" s="4" t="str">
        <f>IF(COUNTIF(Calculations!DP:DP,Subgroup_number)=1,INDEX(Calculations!DP:EU,MATCH(Subgroup_number,Calculations!DP:DP,0),5),IF(Subgroup_number=Calculations!EY$25,Calculations!EY$17,""))</f>
        <v/>
      </c>
      <c r="M181" s="38" t="str">
        <f>IF(COUNTIF(Calculations!DP:DP,Subgroup_number)=1,INDEX(Calculations!DP:EU,MATCH(Subgroup_number,Calculations!DP:DP,0),6),IF(Subgroup_number=Calculations!EY$25,Calculations!EY$18,""))</f>
        <v/>
      </c>
      <c r="N181" s="30" t="str">
        <f>IF(COUNTIF(Calculations!DP:DP,Subgroup_number)=1,INDEX(Calculations!DP:EU,MATCH(Subgroup_number,Calculations!DP:DP,0),7),IF(Subgroup_number=Calculations!EY$25,Calculations!EY$19,""))</f>
        <v/>
      </c>
      <c r="O181" s="4" t="str">
        <f>IF(COUNTIF(Calculations!DP:DP,Subgroup_number)=1,INDEX(Calculations!DP:EU,MATCH(Subgroup_number,Calculations!DP:DP,0),9),IF(Subgroup_number=Calculations!EY$25,Calculations!EY$20,""))</f>
        <v/>
      </c>
      <c r="P181" s="4" t="str">
        <f>IF(COUNTIF(Calculations!DP:DP,Subgroup_number)=1,INDEX(Calculations!DP:EU,MATCH(Subgroup_number,Calculations!DP:DP,0),10),IF(Subgroup_number=Calculations!EY$25,Calculations!EY$21,""))</f>
        <v/>
      </c>
      <c r="Q18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1" s="182"/>
      <c r="U181" s="176"/>
      <c r="W181" s="176"/>
      <c r="Y181" s="176"/>
      <c r="AA181" s="176"/>
    </row>
    <row r="182" spans="6:27" x14ac:dyDescent="0.2">
      <c r="F182" s="89">
        <v>181</v>
      </c>
      <c r="G18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2" s="4" t="str">
        <f>IF(COUNTIF(Calculations!DP:DP,Subgroup_number)=1,INDEX(Calculations!DP:EU,MATCH(Subgroup_number,Calculations!DP:DP,0),5),IF(Subgroup_number=Calculations!EY$25,Calculations!EY$17,""))</f>
        <v/>
      </c>
      <c r="M182" s="38" t="str">
        <f>IF(COUNTIF(Calculations!DP:DP,Subgroup_number)=1,INDEX(Calculations!DP:EU,MATCH(Subgroup_number,Calculations!DP:DP,0),6),IF(Subgroup_number=Calculations!EY$25,Calculations!EY$18,""))</f>
        <v/>
      </c>
      <c r="N182" s="30" t="str">
        <f>IF(COUNTIF(Calculations!DP:DP,Subgroup_number)=1,INDEX(Calculations!DP:EU,MATCH(Subgroup_number,Calculations!DP:DP,0),7),IF(Subgroup_number=Calculations!EY$25,Calculations!EY$19,""))</f>
        <v/>
      </c>
      <c r="O182" s="4" t="str">
        <f>IF(COUNTIF(Calculations!DP:DP,Subgroup_number)=1,INDEX(Calculations!DP:EU,MATCH(Subgroup_number,Calculations!DP:DP,0),9),IF(Subgroup_number=Calculations!EY$25,Calculations!EY$20,""))</f>
        <v/>
      </c>
      <c r="P182" s="4" t="str">
        <f>IF(COUNTIF(Calculations!DP:DP,Subgroup_number)=1,INDEX(Calculations!DP:EU,MATCH(Subgroup_number,Calculations!DP:DP,0),10),IF(Subgroup_number=Calculations!EY$25,Calculations!EY$21,""))</f>
        <v/>
      </c>
      <c r="Q18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2" s="182"/>
      <c r="U182" s="176"/>
      <c r="W182" s="176"/>
      <c r="Y182" s="176"/>
      <c r="AA182" s="176"/>
    </row>
    <row r="183" spans="6:27" x14ac:dyDescent="0.2">
      <c r="F183" s="89">
        <v>182</v>
      </c>
      <c r="G18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3" s="4" t="str">
        <f>IF(COUNTIF(Calculations!DP:DP,Subgroup_number)=1,INDEX(Calculations!DP:EU,MATCH(Subgroup_number,Calculations!DP:DP,0),5),IF(Subgroup_number=Calculations!EY$25,Calculations!EY$17,""))</f>
        <v/>
      </c>
      <c r="M183" s="38" t="str">
        <f>IF(COUNTIF(Calculations!DP:DP,Subgroup_number)=1,INDEX(Calculations!DP:EU,MATCH(Subgroup_number,Calculations!DP:DP,0),6),IF(Subgroup_number=Calculations!EY$25,Calculations!EY$18,""))</f>
        <v/>
      </c>
      <c r="N183" s="30" t="str">
        <f>IF(COUNTIF(Calculations!DP:DP,Subgroup_number)=1,INDEX(Calculations!DP:EU,MATCH(Subgroup_number,Calculations!DP:DP,0),7),IF(Subgroup_number=Calculations!EY$25,Calculations!EY$19,""))</f>
        <v/>
      </c>
      <c r="O183" s="4" t="str">
        <f>IF(COUNTIF(Calculations!DP:DP,Subgroup_number)=1,INDEX(Calculations!DP:EU,MATCH(Subgroup_number,Calculations!DP:DP,0),9),IF(Subgroup_number=Calculations!EY$25,Calculations!EY$20,""))</f>
        <v/>
      </c>
      <c r="P183" s="4" t="str">
        <f>IF(COUNTIF(Calculations!DP:DP,Subgroup_number)=1,INDEX(Calculations!DP:EU,MATCH(Subgroup_number,Calculations!DP:DP,0),10),IF(Subgroup_number=Calculations!EY$25,Calculations!EY$21,""))</f>
        <v/>
      </c>
      <c r="Q18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3" s="182"/>
      <c r="U183" s="176"/>
      <c r="W183" s="176"/>
      <c r="Y183" s="176"/>
      <c r="AA183" s="176"/>
    </row>
    <row r="184" spans="6:27" x14ac:dyDescent="0.2">
      <c r="F184" s="89">
        <v>183</v>
      </c>
      <c r="G18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4" s="4" t="str">
        <f>IF(COUNTIF(Calculations!DP:DP,Subgroup_number)=1,INDEX(Calculations!DP:EU,MATCH(Subgroup_number,Calculations!DP:DP,0),5),IF(Subgroup_number=Calculations!EY$25,Calculations!EY$17,""))</f>
        <v/>
      </c>
      <c r="M184" s="38" t="str">
        <f>IF(COUNTIF(Calculations!DP:DP,Subgroup_number)=1,INDEX(Calculations!DP:EU,MATCH(Subgroup_number,Calculations!DP:DP,0),6),IF(Subgroup_number=Calculations!EY$25,Calculations!EY$18,""))</f>
        <v/>
      </c>
      <c r="N184" s="30" t="str">
        <f>IF(COUNTIF(Calculations!DP:DP,Subgroup_number)=1,INDEX(Calculations!DP:EU,MATCH(Subgroup_number,Calculations!DP:DP,0),7),IF(Subgroup_number=Calculations!EY$25,Calculations!EY$19,""))</f>
        <v/>
      </c>
      <c r="O184" s="4" t="str">
        <f>IF(COUNTIF(Calculations!DP:DP,Subgroup_number)=1,INDEX(Calculations!DP:EU,MATCH(Subgroup_number,Calculations!DP:DP,0),9),IF(Subgroup_number=Calculations!EY$25,Calculations!EY$20,""))</f>
        <v/>
      </c>
      <c r="P184" s="4" t="str">
        <f>IF(COUNTIF(Calculations!DP:DP,Subgroup_number)=1,INDEX(Calculations!DP:EU,MATCH(Subgroup_number,Calculations!DP:DP,0),10),IF(Subgroup_number=Calculations!EY$25,Calculations!EY$21,""))</f>
        <v/>
      </c>
      <c r="Q18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4" s="182"/>
      <c r="U184" s="176"/>
      <c r="W184" s="176"/>
      <c r="Y184" s="176"/>
      <c r="AA184" s="176"/>
    </row>
    <row r="185" spans="6:27" x14ac:dyDescent="0.2">
      <c r="F185" s="89">
        <v>184</v>
      </c>
      <c r="G18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5" s="4" t="str">
        <f>IF(COUNTIF(Calculations!DP:DP,Subgroup_number)=1,INDEX(Calculations!DP:EU,MATCH(Subgroup_number,Calculations!DP:DP,0),5),IF(Subgroup_number=Calculations!EY$25,Calculations!EY$17,""))</f>
        <v/>
      </c>
      <c r="M185" s="38" t="str">
        <f>IF(COUNTIF(Calculations!DP:DP,Subgroup_number)=1,INDEX(Calculations!DP:EU,MATCH(Subgroup_number,Calculations!DP:DP,0),6),IF(Subgroup_number=Calculations!EY$25,Calculations!EY$18,""))</f>
        <v/>
      </c>
      <c r="N185" s="30" t="str">
        <f>IF(COUNTIF(Calculations!DP:DP,Subgroup_number)=1,INDEX(Calculations!DP:EU,MATCH(Subgroup_number,Calculations!DP:DP,0),7),IF(Subgroup_number=Calculations!EY$25,Calculations!EY$19,""))</f>
        <v/>
      </c>
      <c r="O185" s="4" t="str">
        <f>IF(COUNTIF(Calculations!DP:DP,Subgroup_number)=1,INDEX(Calculations!DP:EU,MATCH(Subgroup_number,Calculations!DP:DP,0),9),IF(Subgroup_number=Calculations!EY$25,Calculations!EY$20,""))</f>
        <v/>
      </c>
      <c r="P185" s="4" t="str">
        <f>IF(COUNTIF(Calculations!DP:DP,Subgroup_number)=1,INDEX(Calculations!DP:EU,MATCH(Subgroup_number,Calculations!DP:DP,0),10),IF(Subgroup_number=Calculations!EY$25,Calculations!EY$21,""))</f>
        <v/>
      </c>
      <c r="Q18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5" s="182"/>
      <c r="U185" s="176"/>
      <c r="W185" s="176"/>
      <c r="Y185" s="176"/>
      <c r="AA185" s="176"/>
    </row>
    <row r="186" spans="6:27" x14ac:dyDescent="0.2">
      <c r="F186" s="89">
        <v>185</v>
      </c>
      <c r="G18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6" s="4" t="str">
        <f>IF(COUNTIF(Calculations!DP:DP,Subgroup_number)=1,INDEX(Calculations!DP:EU,MATCH(Subgroup_number,Calculations!DP:DP,0),5),IF(Subgroup_number=Calculations!EY$25,Calculations!EY$17,""))</f>
        <v/>
      </c>
      <c r="M186" s="38" t="str">
        <f>IF(COUNTIF(Calculations!DP:DP,Subgroup_number)=1,INDEX(Calculations!DP:EU,MATCH(Subgroup_number,Calculations!DP:DP,0),6),IF(Subgroup_number=Calculations!EY$25,Calculations!EY$18,""))</f>
        <v/>
      </c>
      <c r="N186" s="30" t="str">
        <f>IF(COUNTIF(Calculations!DP:DP,Subgroup_number)=1,INDEX(Calculations!DP:EU,MATCH(Subgroup_number,Calculations!DP:DP,0),7),IF(Subgroup_number=Calculations!EY$25,Calculations!EY$19,""))</f>
        <v/>
      </c>
      <c r="O186" s="4" t="str">
        <f>IF(COUNTIF(Calculations!DP:DP,Subgroup_number)=1,INDEX(Calculations!DP:EU,MATCH(Subgroup_number,Calculations!DP:DP,0),9),IF(Subgroup_number=Calculations!EY$25,Calculations!EY$20,""))</f>
        <v/>
      </c>
      <c r="P186" s="4" t="str">
        <f>IF(COUNTIF(Calculations!DP:DP,Subgroup_number)=1,INDEX(Calculations!DP:EU,MATCH(Subgroup_number,Calculations!DP:DP,0),10),IF(Subgroup_number=Calculations!EY$25,Calculations!EY$21,""))</f>
        <v/>
      </c>
      <c r="Q18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6" s="182"/>
      <c r="U186" s="176"/>
      <c r="W186" s="176"/>
      <c r="Y186" s="176"/>
      <c r="AA186" s="176"/>
    </row>
    <row r="187" spans="6:27" x14ac:dyDescent="0.2">
      <c r="F187" s="89">
        <v>186</v>
      </c>
      <c r="G18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7" s="4" t="str">
        <f>IF(COUNTIF(Calculations!DP:DP,Subgroup_number)=1,INDEX(Calculations!DP:EU,MATCH(Subgroup_number,Calculations!DP:DP,0),5),IF(Subgroup_number=Calculations!EY$25,Calculations!EY$17,""))</f>
        <v/>
      </c>
      <c r="M187" s="38" t="str">
        <f>IF(COUNTIF(Calculations!DP:DP,Subgroup_number)=1,INDEX(Calculations!DP:EU,MATCH(Subgroup_number,Calculations!DP:DP,0),6),IF(Subgroup_number=Calculations!EY$25,Calculations!EY$18,""))</f>
        <v/>
      </c>
      <c r="N187" s="30" t="str">
        <f>IF(COUNTIF(Calculations!DP:DP,Subgroup_number)=1,INDEX(Calculations!DP:EU,MATCH(Subgroup_number,Calculations!DP:DP,0),7),IF(Subgroup_number=Calculations!EY$25,Calculations!EY$19,""))</f>
        <v/>
      </c>
      <c r="O187" s="4" t="str">
        <f>IF(COUNTIF(Calculations!DP:DP,Subgroup_number)=1,INDEX(Calculations!DP:EU,MATCH(Subgroup_number,Calculations!DP:DP,0),9),IF(Subgroup_number=Calculations!EY$25,Calculations!EY$20,""))</f>
        <v/>
      </c>
      <c r="P187" s="4" t="str">
        <f>IF(COUNTIF(Calculations!DP:DP,Subgroup_number)=1,INDEX(Calculations!DP:EU,MATCH(Subgroup_number,Calculations!DP:DP,0),10),IF(Subgroup_number=Calculations!EY$25,Calculations!EY$21,""))</f>
        <v/>
      </c>
      <c r="Q18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7" s="182"/>
      <c r="U187" s="176"/>
      <c r="W187" s="176"/>
      <c r="Y187" s="176"/>
      <c r="AA187" s="176"/>
    </row>
    <row r="188" spans="6:27" x14ac:dyDescent="0.2">
      <c r="F188" s="89">
        <v>187</v>
      </c>
      <c r="G18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8" s="4" t="str">
        <f>IF(COUNTIF(Calculations!DP:DP,Subgroup_number)=1,INDEX(Calculations!DP:EU,MATCH(Subgroup_number,Calculations!DP:DP,0),5),IF(Subgroup_number=Calculations!EY$25,Calculations!EY$17,""))</f>
        <v/>
      </c>
      <c r="M188" s="38" t="str">
        <f>IF(COUNTIF(Calculations!DP:DP,Subgroup_number)=1,INDEX(Calculations!DP:EU,MATCH(Subgroup_number,Calculations!DP:DP,0),6),IF(Subgroup_number=Calculations!EY$25,Calculations!EY$18,""))</f>
        <v/>
      </c>
      <c r="N188" s="30" t="str">
        <f>IF(COUNTIF(Calculations!DP:DP,Subgroup_number)=1,INDEX(Calculations!DP:EU,MATCH(Subgroup_number,Calculations!DP:DP,0),7),IF(Subgroup_number=Calculations!EY$25,Calculations!EY$19,""))</f>
        <v/>
      </c>
      <c r="O188" s="4" t="str">
        <f>IF(COUNTIF(Calculations!DP:DP,Subgroup_number)=1,INDEX(Calculations!DP:EU,MATCH(Subgroup_number,Calculations!DP:DP,0),9),IF(Subgroup_number=Calculations!EY$25,Calculations!EY$20,""))</f>
        <v/>
      </c>
      <c r="P188" s="4" t="str">
        <f>IF(COUNTIF(Calculations!DP:DP,Subgroup_number)=1,INDEX(Calculations!DP:EU,MATCH(Subgroup_number,Calculations!DP:DP,0),10),IF(Subgroup_number=Calculations!EY$25,Calculations!EY$21,""))</f>
        <v/>
      </c>
      <c r="Q18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8" s="182"/>
      <c r="U188" s="176"/>
      <c r="W188" s="176"/>
      <c r="Y188" s="176"/>
      <c r="AA188" s="176"/>
    </row>
    <row r="189" spans="6:27" x14ac:dyDescent="0.2">
      <c r="F189" s="89">
        <v>188</v>
      </c>
      <c r="G18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8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8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8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8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89" s="4" t="str">
        <f>IF(COUNTIF(Calculations!DP:DP,Subgroup_number)=1,INDEX(Calculations!DP:EU,MATCH(Subgroup_number,Calculations!DP:DP,0),5),IF(Subgroup_number=Calculations!EY$25,Calculations!EY$17,""))</f>
        <v/>
      </c>
      <c r="M189" s="38" t="str">
        <f>IF(COUNTIF(Calculations!DP:DP,Subgroup_number)=1,INDEX(Calculations!DP:EU,MATCH(Subgroup_number,Calculations!DP:DP,0),6),IF(Subgroup_number=Calculations!EY$25,Calculations!EY$18,""))</f>
        <v/>
      </c>
      <c r="N189" s="30" t="str">
        <f>IF(COUNTIF(Calculations!DP:DP,Subgroup_number)=1,INDEX(Calculations!DP:EU,MATCH(Subgroup_number,Calculations!DP:DP,0),7),IF(Subgroup_number=Calculations!EY$25,Calculations!EY$19,""))</f>
        <v/>
      </c>
      <c r="O189" s="4" t="str">
        <f>IF(COUNTIF(Calculations!DP:DP,Subgroup_number)=1,INDEX(Calculations!DP:EU,MATCH(Subgroup_number,Calculations!DP:DP,0),9),IF(Subgroup_number=Calculations!EY$25,Calculations!EY$20,""))</f>
        <v/>
      </c>
      <c r="P189" s="4" t="str">
        <f>IF(COUNTIF(Calculations!DP:DP,Subgroup_number)=1,INDEX(Calculations!DP:EU,MATCH(Subgroup_number,Calculations!DP:DP,0),10),IF(Subgroup_number=Calculations!EY$25,Calculations!EY$21,""))</f>
        <v/>
      </c>
      <c r="Q18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8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89" s="182"/>
      <c r="U189" s="176"/>
      <c r="W189" s="176"/>
      <c r="Y189" s="176"/>
      <c r="AA189" s="176"/>
    </row>
    <row r="190" spans="6:27" x14ac:dyDescent="0.2">
      <c r="F190" s="89">
        <v>189</v>
      </c>
      <c r="G19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0" s="4" t="str">
        <f>IF(COUNTIF(Calculations!DP:DP,Subgroup_number)=1,INDEX(Calculations!DP:EU,MATCH(Subgroup_number,Calculations!DP:DP,0),5),IF(Subgroup_number=Calculations!EY$25,Calculations!EY$17,""))</f>
        <v/>
      </c>
      <c r="M190" s="38" t="str">
        <f>IF(COUNTIF(Calculations!DP:DP,Subgroup_number)=1,INDEX(Calculations!DP:EU,MATCH(Subgroup_number,Calculations!DP:DP,0),6),IF(Subgroup_number=Calculations!EY$25,Calculations!EY$18,""))</f>
        <v/>
      </c>
      <c r="N190" s="30" t="str">
        <f>IF(COUNTIF(Calculations!DP:DP,Subgroup_number)=1,INDEX(Calculations!DP:EU,MATCH(Subgroup_number,Calculations!DP:DP,0),7),IF(Subgroup_number=Calculations!EY$25,Calculations!EY$19,""))</f>
        <v/>
      </c>
      <c r="O190" s="4" t="str">
        <f>IF(COUNTIF(Calculations!DP:DP,Subgroup_number)=1,INDEX(Calculations!DP:EU,MATCH(Subgroup_number,Calculations!DP:DP,0),9),IF(Subgroup_number=Calculations!EY$25,Calculations!EY$20,""))</f>
        <v/>
      </c>
      <c r="P190" s="4" t="str">
        <f>IF(COUNTIF(Calculations!DP:DP,Subgroup_number)=1,INDEX(Calculations!DP:EU,MATCH(Subgroup_number,Calculations!DP:DP,0),10),IF(Subgroup_number=Calculations!EY$25,Calculations!EY$21,""))</f>
        <v/>
      </c>
      <c r="Q19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0" s="182"/>
      <c r="U190" s="176"/>
      <c r="W190" s="176"/>
      <c r="Y190" s="176"/>
      <c r="AA190" s="176"/>
    </row>
    <row r="191" spans="6:27" x14ac:dyDescent="0.2">
      <c r="F191" s="89">
        <v>190</v>
      </c>
      <c r="G191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1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1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1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1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1" s="4" t="str">
        <f>IF(COUNTIF(Calculations!DP:DP,Subgroup_number)=1,INDEX(Calculations!DP:EU,MATCH(Subgroup_number,Calculations!DP:DP,0),5),IF(Subgroup_number=Calculations!EY$25,Calculations!EY$17,""))</f>
        <v/>
      </c>
      <c r="M191" s="38" t="str">
        <f>IF(COUNTIF(Calculations!DP:DP,Subgroup_number)=1,INDEX(Calculations!DP:EU,MATCH(Subgroup_number,Calculations!DP:DP,0),6),IF(Subgroup_number=Calculations!EY$25,Calculations!EY$18,""))</f>
        <v/>
      </c>
      <c r="N191" s="30" t="str">
        <f>IF(COUNTIF(Calculations!DP:DP,Subgroup_number)=1,INDEX(Calculations!DP:EU,MATCH(Subgroup_number,Calculations!DP:DP,0),7),IF(Subgroup_number=Calculations!EY$25,Calculations!EY$19,""))</f>
        <v/>
      </c>
      <c r="O191" s="4" t="str">
        <f>IF(COUNTIF(Calculations!DP:DP,Subgroup_number)=1,INDEX(Calculations!DP:EU,MATCH(Subgroup_number,Calculations!DP:DP,0),9),IF(Subgroup_number=Calculations!EY$25,Calculations!EY$20,""))</f>
        <v/>
      </c>
      <c r="P191" s="4" t="str">
        <f>IF(COUNTIF(Calculations!DP:DP,Subgroup_number)=1,INDEX(Calculations!DP:EU,MATCH(Subgroup_number,Calculations!DP:DP,0),10),IF(Subgroup_number=Calculations!EY$25,Calculations!EY$21,""))</f>
        <v/>
      </c>
      <c r="Q191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1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1" s="182"/>
      <c r="U191" s="176"/>
      <c r="W191" s="176"/>
      <c r="Y191" s="176"/>
      <c r="AA191" s="176"/>
    </row>
    <row r="192" spans="6:27" x14ac:dyDescent="0.2">
      <c r="F192" s="89">
        <v>191</v>
      </c>
      <c r="G192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2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2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2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2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2" s="4" t="str">
        <f>IF(COUNTIF(Calculations!DP:DP,Subgroup_number)=1,INDEX(Calculations!DP:EU,MATCH(Subgroup_number,Calculations!DP:DP,0),5),IF(Subgroup_number=Calculations!EY$25,Calculations!EY$17,""))</f>
        <v/>
      </c>
      <c r="M192" s="38" t="str">
        <f>IF(COUNTIF(Calculations!DP:DP,Subgroup_number)=1,INDEX(Calculations!DP:EU,MATCH(Subgroup_number,Calculations!DP:DP,0),6),IF(Subgroup_number=Calculations!EY$25,Calculations!EY$18,""))</f>
        <v/>
      </c>
      <c r="N192" s="30" t="str">
        <f>IF(COUNTIF(Calculations!DP:DP,Subgroup_number)=1,INDEX(Calculations!DP:EU,MATCH(Subgroup_number,Calculations!DP:DP,0),7),IF(Subgroup_number=Calculations!EY$25,Calculations!EY$19,""))</f>
        <v/>
      </c>
      <c r="O192" s="4" t="str">
        <f>IF(COUNTIF(Calculations!DP:DP,Subgroup_number)=1,INDEX(Calculations!DP:EU,MATCH(Subgroup_number,Calculations!DP:DP,0),9),IF(Subgroup_number=Calculations!EY$25,Calculations!EY$20,""))</f>
        <v/>
      </c>
      <c r="P192" s="4" t="str">
        <f>IF(COUNTIF(Calculations!DP:DP,Subgroup_number)=1,INDEX(Calculations!DP:EU,MATCH(Subgroup_number,Calculations!DP:DP,0),10),IF(Subgroup_number=Calculations!EY$25,Calculations!EY$21,""))</f>
        <v/>
      </c>
      <c r="Q192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2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2" s="182"/>
      <c r="U192" s="176"/>
      <c r="W192" s="176"/>
      <c r="Y192" s="176"/>
      <c r="AA192" s="176"/>
    </row>
    <row r="193" spans="6:27" x14ac:dyDescent="0.2">
      <c r="F193" s="89">
        <v>192</v>
      </c>
      <c r="G193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3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3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3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3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3" s="4" t="str">
        <f>IF(COUNTIF(Calculations!DP:DP,Subgroup_number)=1,INDEX(Calculations!DP:EU,MATCH(Subgroup_number,Calculations!DP:DP,0),5),IF(Subgroup_number=Calculations!EY$25,Calculations!EY$17,""))</f>
        <v/>
      </c>
      <c r="M193" s="38" t="str">
        <f>IF(COUNTIF(Calculations!DP:DP,Subgroup_number)=1,INDEX(Calculations!DP:EU,MATCH(Subgroup_number,Calculations!DP:DP,0),6),IF(Subgroup_number=Calculations!EY$25,Calculations!EY$18,""))</f>
        <v/>
      </c>
      <c r="N193" s="30" t="str">
        <f>IF(COUNTIF(Calculations!DP:DP,Subgroup_number)=1,INDEX(Calculations!DP:EU,MATCH(Subgroup_number,Calculations!DP:DP,0),7),IF(Subgroup_number=Calculations!EY$25,Calculations!EY$19,""))</f>
        <v/>
      </c>
      <c r="O193" s="4" t="str">
        <f>IF(COUNTIF(Calculations!DP:DP,Subgroup_number)=1,INDEX(Calculations!DP:EU,MATCH(Subgroup_number,Calculations!DP:DP,0),9),IF(Subgroup_number=Calculations!EY$25,Calculations!EY$20,""))</f>
        <v/>
      </c>
      <c r="P193" s="4" t="str">
        <f>IF(COUNTIF(Calculations!DP:DP,Subgroup_number)=1,INDEX(Calculations!DP:EU,MATCH(Subgroup_number,Calculations!DP:DP,0),10),IF(Subgroup_number=Calculations!EY$25,Calculations!EY$21,""))</f>
        <v/>
      </c>
      <c r="Q193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3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3" s="182"/>
      <c r="U193" s="176"/>
      <c r="W193" s="176"/>
      <c r="Y193" s="176"/>
      <c r="AA193" s="176"/>
    </row>
    <row r="194" spans="6:27" x14ac:dyDescent="0.2">
      <c r="F194" s="89">
        <v>193</v>
      </c>
      <c r="G194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4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4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4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4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4" s="4" t="str">
        <f>IF(COUNTIF(Calculations!DP:DP,Subgroup_number)=1,INDEX(Calculations!DP:EU,MATCH(Subgroup_number,Calculations!DP:DP,0),5),IF(Subgroup_number=Calculations!EY$25,Calculations!EY$17,""))</f>
        <v/>
      </c>
      <c r="M194" s="38" t="str">
        <f>IF(COUNTIF(Calculations!DP:DP,Subgroup_number)=1,INDEX(Calculations!DP:EU,MATCH(Subgroup_number,Calculations!DP:DP,0),6),IF(Subgroup_number=Calculations!EY$25,Calculations!EY$18,""))</f>
        <v/>
      </c>
      <c r="N194" s="30" t="str">
        <f>IF(COUNTIF(Calculations!DP:DP,Subgroup_number)=1,INDEX(Calculations!DP:EU,MATCH(Subgroup_number,Calculations!DP:DP,0),7),IF(Subgroup_number=Calculations!EY$25,Calculations!EY$19,""))</f>
        <v/>
      </c>
      <c r="O194" s="4" t="str">
        <f>IF(COUNTIF(Calculations!DP:DP,Subgroup_number)=1,INDEX(Calculations!DP:EU,MATCH(Subgroup_number,Calculations!DP:DP,0),9),IF(Subgroup_number=Calculations!EY$25,Calculations!EY$20,""))</f>
        <v/>
      </c>
      <c r="P194" s="4" t="str">
        <f>IF(COUNTIF(Calculations!DP:DP,Subgroup_number)=1,INDEX(Calculations!DP:EU,MATCH(Subgroup_number,Calculations!DP:DP,0),10),IF(Subgroup_number=Calculations!EY$25,Calculations!EY$21,""))</f>
        <v/>
      </c>
      <c r="Q194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4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4" s="182"/>
      <c r="U194" s="176"/>
      <c r="W194" s="176"/>
      <c r="Y194" s="176"/>
      <c r="AA194" s="176"/>
    </row>
    <row r="195" spans="6:27" x14ac:dyDescent="0.2">
      <c r="F195" s="89">
        <v>194</v>
      </c>
      <c r="G195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5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5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5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5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5" s="4" t="str">
        <f>IF(COUNTIF(Calculations!DP:DP,Subgroup_number)=1,INDEX(Calculations!DP:EU,MATCH(Subgroup_number,Calculations!DP:DP,0),5),IF(Subgroup_number=Calculations!EY$25,Calculations!EY$17,""))</f>
        <v/>
      </c>
      <c r="M195" s="38" t="str">
        <f>IF(COUNTIF(Calculations!DP:DP,Subgroup_number)=1,INDEX(Calculations!DP:EU,MATCH(Subgroup_number,Calculations!DP:DP,0),6),IF(Subgroup_number=Calculations!EY$25,Calculations!EY$18,""))</f>
        <v/>
      </c>
      <c r="N195" s="30" t="str">
        <f>IF(COUNTIF(Calculations!DP:DP,Subgroup_number)=1,INDEX(Calculations!DP:EU,MATCH(Subgroup_number,Calculations!DP:DP,0),7),IF(Subgroup_number=Calculations!EY$25,Calculations!EY$19,""))</f>
        <v/>
      </c>
      <c r="O195" s="4" t="str">
        <f>IF(COUNTIF(Calculations!DP:DP,Subgroup_number)=1,INDEX(Calculations!DP:EU,MATCH(Subgroup_number,Calculations!DP:DP,0),9),IF(Subgroup_number=Calculations!EY$25,Calculations!EY$20,""))</f>
        <v/>
      </c>
      <c r="P195" s="4" t="str">
        <f>IF(COUNTIF(Calculations!DP:DP,Subgroup_number)=1,INDEX(Calculations!DP:EU,MATCH(Subgroup_number,Calculations!DP:DP,0),10),IF(Subgroup_number=Calculations!EY$25,Calculations!EY$21,""))</f>
        <v/>
      </c>
      <c r="Q195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5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5" s="182"/>
      <c r="U195" s="176"/>
      <c r="W195" s="176"/>
      <c r="Y195" s="176"/>
      <c r="AA195" s="176"/>
    </row>
    <row r="196" spans="6:27" x14ac:dyDescent="0.2">
      <c r="F196" s="89">
        <v>195</v>
      </c>
      <c r="G196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6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6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6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6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6" s="4" t="str">
        <f>IF(COUNTIF(Calculations!DP:DP,Subgroup_number)=1,INDEX(Calculations!DP:EU,MATCH(Subgroup_number,Calculations!DP:DP,0),5),IF(Subgroup_number=Calculations!EY$25,Calculations!EY$17,""))</f>
        <v/>
      </c>
      <c r="M196" s="38" t="str">
        <f>IF(COUNTIF(Calculations!DP:DP,Subgroup_number)=1,INDEX(Calculations!DP:EU,MATCH(Subgroup_number,Calculations!DP:DP,0),6),IF(Subgroup_number=Calculations!EY$25,Calculations!EY$18,""))</f>
        <v/>
      </c>
      <c r="N196" s="30" t="str">
        <f>IF(COUNTIF(Calculations!DP:DP,Subgroup_number)=1,INDEX(Calculations!DP:EU,MATCH(Subgroup_number,Calculations!DP:DP,0),7),IF(Subgroup_number=Calculations!EY$25,Calculations!EY$19,""))</f>
        <v/>
      </c>
      <c r="O196" s="4" t="str">
        <f>IF(COUNTIF(Calculations!DP:DP,Subgroup_number)=1,INDEX(Calculations!DP:EU,MATCH(Subgroup_number,Calculations!DP:DP,0),9),IF(Subgroup_number=Calculations!EY$25,Calculations!EY$20,""))</f>
        <v/>
      </c>
      <c r="P196" s="4" t="str">
        <f>IF(COUNTIF(Calculations!DP:DP,Subgroup_number)=1,INDEX(Calculations!DP:EU,MATCH(Subgroup_number,Calculations!DP:DP,0),10),IF(Subgroup_number=Calculations!EY$25,Calculations!EY$21,""))</f>
        <v/>
      </c>
      <c r="Q196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6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6" s="182"/>
      <c r="U196" s="176"/>
      <c r="W196" s="176"/>
      <c r="Y196" s="176"/>
      <c r="AA196" s="176"/>
    </row>
    <row r="197" spans="6:27" x14ac:dyDescent="0.2">
      <c r="F197" s="89">
        <v>196</v>
      </c>
      <c r="G197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7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7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7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7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7" s="4" t="str">
        <f>IF(COUNTIF(Calculations!DP:DP,Subgroup_number)=1,INDEX(Calculations!DP:EU,MATCH(Subgroup_number,Calculations!DP:DP,0),5),IF(Subgroup_number=Calculations!EY$25,Calculations!EY$17,""))</f>
        <v/>
      </c>
      <c r="M197" s="38" t="str">
        <f>IF(COUNTIF(Calculations!DP:DP,Subgroup_number)=1,INDEX(Calculations!DP:EU,MATCH(Subgroup_number,Calculations!DP:DP,0),6),IF(Subgroup_number=Calculations!EY$25,Calculations!EY$18,""))</f>
        <v/>
      </c>
      <c r="N197" s="30" t="str">
        <f>IF(COUNTIF(Calculations!DP:DP,Subgroup_number)=1,INDEX(Calculations!DP:EU,MATCH(Subgroup_number,Calculations!DP:DP,0),7),IF(Subgroup_number=Calculations!EY$25,Calculations!EY$19,""))</f>
        <v/>
      </c>
      <c r="O197" s="4" t="str">
        <f>IF(COUNTIF(Calculations!DP:DP,Subgroup_number)=1,INDEX(Calculations!DP:EU,MATCH(Subgroup_number,Calculations!DP:DP,0),9),IF(Subgroup_number=Calculations!EY$25,Calculations!EY$20,""))</f>
        <v/>
      </c>
      <c r="P197" s="4" t="str">
        <f>IF(COUNTIF(Calculations!DP:DP,Subgroup_number)=1,INDEX(Calculations!DP:EU,MATCH(Subgroup_number,Calculations!DP:DP,0),10),IF(Subgroup_number=Calculations!EY$25,Calculations!EY$21,""))</f>
        <v/>
      </c>
      <c r="Q197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7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7" s="182"/>
      <c r="U197" s="176"/>
      <c r="W197" s="176"/>
      <c r="Y197" s="176"/>
      <c r="AA197" s="176"/>
    </row>
    <row r="198" spans="6:27" x14ac:dyDescent="0.2">
      <c r="F198" s="89">
        <v>197</v>
      </c>
      <c r="G198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8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8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8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8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8" s="4" t="str">
        <f>IF(COUNTIF(Calculations!DP:DP,Subgroup_number)=1,INDEX(Calculations!DP:EU,MATCH(Subgroup_number,Calculations!DP:DP,0),5),IF(Subgroup_number=Calculations!EY$25,Calculations!EY$17,""))</f>
        <v/>
      </c>
      <c r="M198" s="38" t="str">
        <f>IF(COUNTIF(Calculations!DP:DP,Subgroup_number)=1,INDEX(Calculations!DP:EU,MATCH(Subgroup_number,Calculations!DP:DP,0),6),IF(Subgroup_number=Calculations!EY$25,Calculations!EY$18,""))</f>
        <v/>
      </c>
      <c r="N198" s="30" t="str">
        <f>IF(COUNTIF(Calculations!DP:DP,Subgroup_number)=1,INDEX(Calculations!DP:EU,MATCH(Subgroup_number,Calculations!DP:DP,0),7),IF(Subgroup_number=Calculations!EY$25,Calculations!EY$19,""))</f>
        <v/>
      </c>
      <c r="O198" s="4" t="str">
        <f>IF(COUNTIF(Calculations!DP:DP,Subgroup_number)=1,INDEX(Calculations!DP:EU,MATCH(Subgroup_number,Calculations!DP:DP,0),9),IF(Subgroup_number=Calculations!EY$25,Calculations!EY$20,""))</f>
        <v/>
      </c>
      <c r="P198" s="4" t="str">
        <f>IF(COUNTIF(Calculations!DP:DP,Subgroup_number)=1,INDEX(Calculations!DP:EU,MATCH(Subgroup_number,Calculations!DP:DP,0),10),IF(Subgroup_number=Calculations!EY$25,Calculations!EY$21,""))</f>
        <v/>
      </c>
      <c r="Q198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8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8" s="182"/>
      <c r="U198" s="176"/>
      <c r="W198" s="176"/>
      <c r="Y198" s="176"/>
      <c r="AA198" s="176"/>
    </row>
    <row r="199" spans="6:27" x14ac:dyDescent="0.2">
      <c r="F199" s="89">
        <v>198</v>
      </c>
      <c r="G199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199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199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199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199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199" s="4" t="str">
        <f>IF(COUNTIF(Calculations!DP:DP,Subgroup_number)=1,INDEX(Calculations!DP:EU,MATCH(Subgroup_number,Calculations!DP:DP,0),5),IF(Subgroup_number=Calculations!EY$25,Calculations!EY$17,""))</f>
        <v/>
      </c>
      <c r="M199" s="38" t="str">
        <f>IF(COUNTIF(Calculations!DP:DP,Subgroup_number)=1,INDEX(Calculations!DP:EU,MATCH(Subgroup_number,Calculations!DP:DP,0),6),IF(Subgroup_number=Calculations!EY$25,Calculations!EY$18,""))</f>
        <v/>
      </c>
      <c r="N199" s="30" t="str">
        <f>IF(COUNTIF(Calculations!DP:DP,Subgroup_number)=1,INDEX(Calculations!DP:EU,MATCH(Subgroup_number,Calculations!DP:DP,0),7),IF(Subgroup_number=Calculations!EY$25,Calculations!EY$19,""))</f>
        <v/>
      </c>
      <c r="O199" s="4" t="str">
        <f>IF(COUNTIF(Calculations!DP:DP,Subgroup_number)=1,INDEX(Calculations!DP:EU,MATCH(Subgroup_number,Calculations!DP:DP,0),9),IF(Subgroup_number=Calculations!EY$25,Calculations!EY$20,""))</f>
        <v/>
      </c>
      <c r="P199" s="4" t="str">
        <f>IF(COUNTIF(Calculations!DP:DP,Subgroup_number)=1,INDEX(Calculations!DP:EU,MATCH(Subgroup_number,Calculations!DP:DP,0),10),IF(Subgroup_number=Calculations!EY$25,Calculations!EY$21,""))</f>
        <v/>
      </c>
      <c r="Q199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199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199" s="182"/>
      <c r="U199" s="176"/>
      <c r="W199" s="176"/>
      <c r="Y199" s="176"/>
      <c r="AA199" s="176"/>
    </row>
    <row r="200" spans="6:27" x14ac:dyDescent="0.2">
      <c r="F200" s="89">
        <v>199</v>
      </c>
      <c r="G200" s="4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00" s="4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00" s="4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00" s="4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00" s="30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00" s="4" t="str">
        <f>IF(COUNTIF(Calculations!DP:DP,Subgroup_number)=1,INDEX(Calculations!DP:EU,MATCH(Subgroup_number,Calculations!DP:DP,0),5),IF(Subgroup_number=Calculations!EY$25,Calculations!EY$17,""))</f>
        <v/>
      </c>
      <c r="M200" s="38" t="str">
        <f>IF(COUNTIF(Calculations!DP:DP,Subgroup_number)=1,INDEX(Calculations!DP:EU,MATCH(Subgroup_number,Calculations!DP:DP,0),6),IF(Subgroup_number=Calculations!EY$25,Calculations!EY$18,""))</f>
        <v/>
      </c>
      <c r="N200" s="30" t="str">
        <f>IF(COUNTIF(Calculations!DP:DP,Subgroup_number)=1,INDEX(Calculations!DP:EU,MATCH(Subgroup_number,Calculations!DP:DP,0),7),IF(Subgroup_number=Calculations!EY$25,Calculations!EY$19,""))</f>
        <v/>
      </c>
      <c r="O200" s="4" t="str">
        <f>IF(COUNTIF(Calculations!DP:DP,Subgroup_number)=1,INDEX(Calculations!DP:EU,MATCH(Subgroup_number,Calculations!DP:DP,0),9),IF(Subgroup_number=Calculations!EY$25,Calculations!EY$20,""))</f>
        <v/>
      </c>
      <c r="P200" s="4" t="str">
        <f>IF(COUNTIF(Calculations!DP:DP,Subgroup_number)=1,INDEX(Calculations!DP:EU,MATCH(Subgroup_number,Calculations!DP:DP,0),10),IF(Subgroup_number=Calculations!EY$25,Calculations!EY$21,""))</f>
        <v/>
      </c>
      <c r="Q200" s="4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00" s="112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00" s="182"/>
      <c r="U200" s="176"/>
      <c r="W200" s="176"/>
      <c r="Y200" s="176"/>
      <c r="AA200" s="176"/>
    </row>
    <row r="201" spans="6:27" x14ac:dyDescent="0.2">
      <c r="F201" s="79">
        <v>200</v>
      </c>
      <c r="G201" s="116" t="str">
        <f>IF(Subgroup_number&lt;=MAX(Calculations!DP:DP),IF(COUNTIF(Calculations!CY:CY,Subgroup_number)=1,INDEX(Lookup_table_subgroup,MATCH(Subgroup_number,Calculations!CY:CY,0),2),INDEX(Calculations!DP:DQ,MATCH(Subgroup_number,Calculations!DP:DP,0),2)),IF(Subgroup_number=Calculations!EY$25,"Combined effect size",""))</f>
        <v/>
      </c>
      <c r="H201" s="116" t="str">
        <f>IF(Subgroup_effect_size_measure="Risk Difference",IF(Subgroup_number&lt;=MAX(Calculations!DP:DP),IF(COUNTIF(Calculations!CY:CY,Subgroup_number)=1,INDEX(Lookup_table_subgroup,MATCH(Subgroup_number,Calculations!CY:CY,0),4),INDEX(Calculations!DP:EU,MATCH(Subgroup_number,Calculations!DP:DP,0),11)),IF(Subgroup_number=Calculations!EY$25,Calculations!EY$9,"")),IF(Subgroup_number&lt;=MAX(Calculations!DP:DP),IF(COUNTIF(Calculations!CY:CY,Subgroup_number)=1,INDEX(Lookup_table_subgroup,MATCH(Subgroup_number,Calculations!CY:CY,0),9),INDEX(Calculations!DP:EU,MATCH(Subgroup_number,Calculations!DP:DP,0),16)),IF(Subgroup_number=Calculations!EY$25,Calculations!EY$9,"")))</f>
        <v/>
      </c>
      <c r="I201" s="116" t="str">
        <f>IF(Subgroup_number&lt;=MAX(Calculations!DP:DP),IF(COUNTIF(Calculations!CY:CY,Subgroup_number)=1,INDEX(Lookup_table_subgroup,MATCH(Subgroup_number,Calculations!CY:CY,0),10),IF(Subgroup_effect_size_measure="Risk Difference",INDEX(Calculations!DP:EU,MATCH(Subgroup_number,Calculations!DP:DP,0),14),INDEX(Calculations!DP:EU,MATCH(Subgroup_number,Calculations!DP:DP,0),17))),IF(Subgroup_number=Calculations!EY$25,Calculations!EY$11,""))</f>
        <v/>
      </c>
      <c r="J201" s="116" t="str">
        <f>IF(Subgroup_number&lt;=MAX(Calculations!DP:DP),IF(COUNTIF(Calculations!CY:CY,Subgroup_number)=1,INDEX(Lookup_table_subgroup,MATCH(Subgroup_number,Calculations!CY:CY,0),11),IF(Subgroup_effect_size_measure="Risk Difference",INDEX(Calculations!DP:EU,MATCH(Subgroup_number,Calculations!DP:DP,0),15),INDEX(Calculations!DP:EU,MATCH(Subgroup_number,Calculations!DP:DP,0),18))),IF(Subgroup_number=Calculations!EY$25,Calculations!EY$12,""))</f>
        <v/>
      </c>
      <c r="K201" s="119" t="str">
        <f>IF(Subgroup_number&lt;=MAX(Calculations!DP:DP),IF(COUNTIF(Calculations!CY:CY,Subgroup_number)=1,INDEX(Lookup_table_subgroup,MATCH(Subgroup_number,Calculations!CY:CY,0),8),INDEX(Calculations!DP:EU,MATCH(Subgroup_number,Calculations!DP:DP,0),29)),"")</f>
        <v/>
      </c>
      <c r="L201" s="116" t="str">
        <f>IF(COUNTIF(Calculations!DP:DP,Subgroup_number)=1,INDEX(Calculations!DP:EU,MATCH(Subgroup_number,Calculations!DP:DP,0),5),IF(Subgroup_number=Calculations!EY$25,Calculations!EY$17,""))</f>
        <v/>
      </c>
      <c r="M201" s="72" t="str">
        <f>IF(COUNTIF(Calculations!DP:DP,Subgroup_number)=1,INDEX(Calculations!DP:EU,MATCH(Subgroup_number,Calculations!DP:DP,0),6),IF(Subgroup_number=Calculations!EY$25,Calculations!EY$18,""))</f>
        <v/>
      </c>
      <c r="N201" s="119" t="str">
        <f>IF(COUNTIF(Calculations!DP:DP,Subgroup_number)=1,INDEX(Calculations!DP:EU,MATCH(Subgroup_number,Calculations!DP:DP,0),7),IF(Subgroup_number=Calculations!EY$25,Calculations!EY$19,""))</f>
        <v/>
      </c>
      <c r="O201" s="116" t="str">
        <f>IF(COUNTIF(Calculations!DP:DP,Subgroup_number)=1,INDEX(Calculations!DP:EU,MATCH(Subgroup_number,Calculations!DP:DP,0),9),IF(Subgroup_number=Calculations!EY$25,Calculations!EY$20,""))</f>
        <v/>
      </c>
      <c r="P201" s="116" t="str">
        <f>IF(COUNTIF(Calculations!DP:DP,Subgroup_number)=1,INDEX(Calculations!DP:EU,MATCH(Subgroup_number,Calculations!DP:DP,0),10),IF(Subgroup_number=Calculations!EY$25,Calculations!EY$21,""))</f>
        <v/>
      </c>
      <c r="Q201" s="116" t="str">
        <f>IF(COUNTIF(Calculations!DP:DP,Subgroup_number)=1,IF(Subgroup_effect_size_measure="Risk Difference",INDEX(Calculations!DP:EU,MATCH(Subgroup_number,Calculations!DP:DP,0),21),INDEX(Calculations!DP:EU,MATCH(Subgroup_number,Calculations!DP:DP,0),23)),IF(Subgroup_number=Calculations!EY$25,IF(Subgroup_effect_size_measure="Risk Difference",Calculations!EY$6,Calculations!EY$13),""))</f>
        <v/>
      </c>
      <c r="R201" s="120" t="str">
        <f>IF(COUNTIF(Calculations!DP:DP,Subgroup_number)=1,IF(Subgroup_effect_size_measure="Risk Difference",INDEX(Calculations!DP:EU,MATCH(Subgroup_number,Calculations!DP:DP,0),22),INDEX(Calculations!DP:EU,MATCH(Subgroup_number,Calculations!DP:DP,0),24)),IF(Subgroup_number=Calculations!EY$25,IF(Subgroup_effect_size_measure="Risk Difference",Calculations!EY$7,Calculations!EY$14),""))</f>
        <v/>
      </c>
      <c r="S201" s="183"/>
      <c r="U201" s="177"/>
      <c r="W201" s="177"/>
      <c r="Y201" s="177"/>
      <c r="AA201" s="177"/>
    </row>
  </sheetData>
  <mergeCells count="29">
    <mergeCell ref="B17:D17"/>
    <mergeCell ref="B18:D18"/>
    <mergeCell ref="B19:D19"/>
    <mergeCell ref="A34:D34"/>
    <mergeCell ref="A35:D35"/>
    <mergeCell ref="A30:D30"/>
    <mergeCell ref="A31:D31"/>
    <mergeCell ref="A33:D33"/>
    <mergeCell ref="A36:D36"/>
    <mergeCell ref="A10:D10"/>
    <mergeCell ref="A1:D1"/>
    <mergeCell ref="B2:D2"/>
    <mergeCell ref="B3:D3"/>
    <mergeCell ref="B4:D4"/>
    <mergeCell ref="B6:D6"/>
    <mergeCell ref="B7:D7"/>
    <mergeCell ref="B8:D8"/>
    <mergeCell ref="B11:D11"/>
    <mergeCell ref="B12:D12"/>
    <mergeCell ref="B13:D13"/>
    <mergeCell ref="B14:D14"/>
    <mergeCell ref="B15:D15"/>
    <mergeCell ref="A28:D28"/>
    <mergeCell ref="A29:D29"/>
    <mergeCell ref="Y2:Y201"/>
    <mergeCell ref="AA2:AA201"/>
    <mergeCell ref="S2:S201"/>
    <mergeCell ref="U2:U201"/>
    <mergeCell ref="W2:W201"/>
  </mergeCells>
  <dataValidations count="2">
    <dataValidation type="list" allowBlank="1" showInputMessage="1" showErrorMessage="1" prompt="If you choose a different weighting method after having defined the model effect size measure, you need to choose the latter again, because different options apply to different weighting methods." sqref="B2" xr:uid="{00000000-0002-0000-0200-000000000000}">
      <formula1>$A$29:$A$31</formula1>
    </dataValidation>
    <dataValidation type="list" allowBlank="1" showInputMessage="1" showErrorMessage="1" prompt="If you choose a different weighting method after having defined the model effect size measure, you need to choose the latter again, because different options apply to different weighting methods." sqref="B3" xr:uid="{00000000-0002-0000-0200-000001000000}">
      <formula1>$A$34:$A$36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D92A4D6-5D88-4514-B5A3-B778276D3BC0}">
            <xm:f>$F2=Calculations!$EY$25</xm:f>
            <x14:dxf>
              <font>
                <b/>
                <i val="0"/>
              </font>
            </x14:dxf>
          </x14:cfRule>
          <x14:cfRule type="expression" priority="14" id="{16ADC931-C907-4871-A98D-88C6C3D775F8}">
            <xm:f>COUNTIF(Calculations!$DP:$DP,"="&amp;$F2)=1</xm:f>
            <x14:dxf>
              <font>
                <b/>
                <i val="0"/>
                <u val="none"/>
              </font>
              <border>
                <bottom style="thin">
                  <color theme="9"/>
                </bottom>
              </border>
            </x14:dxf>
          </x14:cfRule>
          <xm:sqref>G2:R201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Calculations!$EX$42:$EX$44</xm:f>
          </x14:formula1>
          <xm:sqref>B7</xm:sqref>
        </x14:dataValidation>
        <x14:dataValidation type="list" allowBlank="1" showInputMessage="1" showErrorMessage="1" xr:uid="{00000000-0002-0000-0200-000003000000}">
          <x14:formula1>
            <xm:f>Calculations!$EX$38:$EX$39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01"/>
  <sheetViews>
    <sheetView showGridLines="0" workbookViewId="0">
      <pane ySplit="1" topLeftCell="A2" activePane="bottomLeft" state="frozen"/>
      <selection pane="bottomLeft" activeCell="B6" sqref="B6"/>
    </sheetView>
  </sheetViews>
  <sheetFormatPr defaultRowHeight="12" x14ac:dyDescent="0.2"/>
  <cols>
    <col min="1" max="1" width="20.83203125" bestFit="1" customWidth="1"/>
    <col min="2" max="2" width="19.5" bestFit="1" customWidth="1"/>
    <col min="3" max="3" width="3.33203125" customWidth="1"/>
    <col min="4" max="4" width="11" style="45" bestFit="1" customWidth="1"/>
    <col min="5" max="5" width="9.83203125" style="45" customWidth="1"/>
    <col min="6" max="6" width="12.83203125" style="45" bestFit="1" customWidth="1"/>
    <col min="7" max="7" width="7.1640625" style="45" bestFit="1" customWidth="1"/>
    <col min="8" max="8" width="3.33203125" customWidth="1"/>
    <col min="9" max="9" width="34.5" style="6" bestFit="1" customWidth="1"/>
    <col min="10" max="10" width="18.33203125" style="6" bestFit="1" customWidth="1"/>
    <col min="11" max="11" width="4.6640625" style="6" bestFit="1" customWidth="1"/>
    <col min="12" max="12" width="7.33203125" style="6" bestFit="1" customWidth="1"/>
    <col min="13" max="13" width="5.33203125" style="6" bestFit="1" customWidth="1"/>
    <col min="14" max="14" width="11.83203125" style="6" customWidth="1"/>
    <col min="15" max="15" width="7.5" style="6" bestFit="1" customWidth="1"/>
    <col min="16" max="16" width="7.33203125" style="6" bestFit="1" customWidth="1"/>
  </cols>
  <sheetData>
    <row r="1" spans="1:7" ht="34.5" customHeight="1" x14ac:dyDescent="0.2">
      <c r="A1" s="178" t="s">
        <v>201</v>
      </c>
      <c r="B1" s="178"/>
      <c r="D1" s="1" t="s">
        <v>22</v>
      </c>
      <c r="E1" s="1" t="s">
        <v>108</v>
      </c>
      <c r="F1" s="1" t="str">
        <f>Moderator_effect_size_measure</f>
        <v>Log Odds Ratio</v>
      </c>
      <c r="G1" s="1" t="s">
        <v>4</v>
      </c>
    </row>
    <row r="2" spans="1:7" x14ac:dyDescent="0.2">
      <c r="A2" s="158" t="s">
        <v>214</v>
      </c>
      <c r="B2" s="5" t="s">
        <v>295</v>
      </c>
      <c r="D2" s="83" t="str">
        <f t="shared" ref="D2:D33" si="0">IF(AND(Include_study?="Yes",Sufficient_data="Yes",Moderator&lt;&gt;""),Study_name,"")</f>
        <v>aaaa</v>
      </c>
      <c r="E2" s="127">
        <f t="shared" ref="E2:E33" si="1">IF(AND(Include_study?="Yes",Sufficient_data="Yes",Moderator&lt;&gt;""),Moderator,"")</f>
        <v>15</v>
      </c>
      <c r="F2" s="51">
        <f t="shared" ref="F2:F33" si="2">IF(AND(Sufficient_data="Yes",Moderator&lt;&gt;""),IF(Moderator_weighting_method="Peto",LogPetoOddsRatio,IF(Moderator_weighting_method="Inverse Variance",IF(Moderator_effect_size_measure="Log Risk Ratio",LogRiskRatio,IF(Model_effect_size_measure="Risk Difference",Risk_Difference,LogOddsRatio)),LogOddsRatio)),"")</f>
        <v>1.0560526742493137</v>
      </c>
      <c r="G2" s="108">
        <f>IF(Moderator_valid_options="Yes",IF(AND(Sufficient_data="Yes",Include_study?="Yes",Moderator&lt;&gt;""),IF(Moderator_model="Fixed effect",Calculations!FE:FE/SUM(Calculations!FE:FE),Calculations!FJ:FJ/SUM(Calculations!FJ:FJ)),""),"")</f>
        <v>4.8676636448938604E-2</v>
      </c>
    </row>
    <row r="3" spans="1:7" x14ac:dyDescent="0.2">
      <c r="A3" s="70" t="s">
        <v>204</v>
      </c>
      <c r="B3" s="42" t="s">
        <v>324</v>
      </c>
      <c r="D3" s="84" t="str">
        <f t="shared" si="0"/>
        <v>bbbb</v>
      </c>
      <c r="E3" s="39">
        <f t="shared" si="1"/>
        <v>16</v>
      </c>
      <c r="F3" s="67">
        <f t="shared" si="2"/>
        <v>0.67445504754779284</v>
      </c>
      <c r="G3" s="109">
        <f>IF(Moderator_valid_options="Yes",IF(AND(Sufficient_data="Yes",Include_study?="Yes",Moderator&lt;&gt;""),IF(Moderator_model="Fixed effect",Calculations!FE:FE/SUM(Calculations!FE:FE),Calculations!FJ:FJ/SUM(Calculations!FJ:FJ)),""),"")</f>
        <v>0.11071861659885102</v>
      </c>
    </row>
    <row r="4" spans="1:7" x14ac:dyDescent="0.2">
      <c r="A4" s="158" t="s">
        <v>300</v>
      </c>
      <c r="B4" s="170" t="str">
        <f>IF(OR(AND(Moderator_weighting_method="Inverse Variance",OR(Moderator_effect_size_measure="Log Odds Ratio",Moderator_effect_size_measure="Log Risk Ratio",Moderator_effect_size_measure="Risk Difference")),AND(Moderator_weighting_method="Mantel-Haenszel",Moderator_effect_size_measure="Log Odds Ratio"),AND(Moderator_weighting_method="Peto",Moderator_effect_size_measure="Log Peto Odds Ratio")),"Yes","No")</f>
        <v>Yes</v>
      </c>
      <c r="D4" s="84" t="str">
        <f t="shared" si="0"/>
        <v>cccc</v>
      </c>
      <c r="E4" s="39">
        <f t="shared" si="1"/>
        <v>13</v>
      </c>
      <c r="F4" s="67">
        <f t="shared" si="2"/>
        <v>-0.31015492830383962</v>
      </c>
      <c r="G4" s="109">
        <f>IF(Moderator_valid_options="Yes",IF(AND(Sufficient_data="Yes",Include_study?="Yes",Moderator&lt;&gt;""),IF(Moderator_model="Fixed effect",Calculations!FE:FE/SUM(Calculations!FE:FE),Calculations!FJ:FJ/SUM(Calculations!FJ:FJ)),""),"")</f>
        <v>9.2990307164735025E-2</v>
      </c>
    </row>
    <row r="5" spans="1:7" x14ac:dyDescent="0.2">
      <c r="D5" s="84" t="str">
        <f t="shared" si="0"/>
        <v>dddd</v>
      </c>
      <c r="E5" s="39">
        <f t="shared" si="1"/>
        <v>18</v>
      </c>
      <c r="F5" s="67">
        <f t="shared" si="2"/>
        <v>0.48550781578170082</v>
      </c>
      <c r="G5" s="109">
        <f>IF(Moderator_valid_options="Yes",IF(AND(Sufficient_data="Yes",Include_study?="Yes",Moderator&lt;&gt;""),IF(Moderator_model="Fixed effect",Calculations!FE:FE/SUM(Calculations!FE:FE),Calculations!FJ:FJ/SUM(Calculations!FJ:FJ)),""),"")</f>
        <v>0.19436519490901569</v>
      </c>
    </row>
    <row r="6" spans="1:7" x14ac:dyDescent="0.2">
      <c r="A6" s="70" t="s">
        <v>172</v>
      </c>
      <c r="B6" s="42" t="s">
        <v>332</v>
      </c>
      <c r="D6" s="84" t="str">
        <f t="shared" si="0"/>
        <v>eeee</v>
      </c>
      <c r="E6" s="39">
        <f t="shared" si="1"/>
        <v>20</v>
      </c>
      <c r="F6" s="67">
        <f t="shared" si="2"/>
        <v>0.67479804189174875</v>
      </c>
      <c r="G6" s="109">
        <f>IF(Moderator_valid_options="Yes",IF(AND(Sufficient_data="Yes",Include_study?="Yes",Moderator&lt;&gt;""),IF(Moderator_model="Fixed effect",Calculations!FE:FE/SUM(Calculations!FE:FE),Calculations!FJ:FJ/SUM(Calculations!FJ:FJ)),""),"")</f>
        <v>9.3035557922479431E-2</v>
      </c>
    </row>
    <row r="7" spans="1:7" ht="12" customHeight="1" x14ac:dyDescent="0.2">
      <c r="A7" s="70" t="s">
        <v>23</v>
      </c>
      <c r="B7" s="43">
        <v>0.95</v>
      </c>
      <c r="D7" s="84" t="str">
        <f t="shared" si="0"/>
        <v>ffff</v>
      </c>
      <c r="E7" s="39">
        <f t="shared" si="1"/>
        <v>14</v>
      </c>
      <c r="F7" s="67">
        <f t="shared" si="2"/>
        <v>0.7537718023763802</v>
      </c>
      <c r="G7" s="109">
        <f>IF(Moderator_valid_options="Yes",IF(AND(Sufficient_data="Yes",Include_study?="Yes",Moderator&lt;&gt;""),IF(Moderator_model="Fixed effect",Calculations!FE:FE/SUM(Calculations!FE:FE),Calculations!FJ:FJ/SUM(Calculations!FJ:FJ)),""),"")</f>
        <v>8.6558163602703991E-2</v>
      </c>
    </row>
    <row r="8" spans="1:7" x14ac:dyDescent="0.2">
      <c r="A8" s="45"/>
      <c r="B8" s="45"/>
      <c r="D8" s="84" t="str">
        <f t="shared" si="0"/>
        <v>gggg</v>
      </c>
      <c r="E8" s="39">
        <f t="shared" si="1"/>
        <v>19</v>
      </c>
      <c r="F8" s="67">
        <f t="shared" si="2"/>
        <v>-0.12516314295400605</v>
      </c>
      <c r="G8" s="109">
        <f>IF(Moderator_valid_options="Yes",IF(AND(Sufficient_data="Yes",Include_study?="Yes",Moderator&lt;&gt;""),IF(Moderator_model="Fixed effect",Calculations!FE:FE/SUM(Calculations!FE:FE),Calculations!FJ:FJ/SUM(Calculations!FJ:FJ)),""),"")</f>
        <v>7.7026192435819027E-2</v>
      </c>
    </row>
    <row r="9" spans="1:7" x14ac:dyDescent="0.2">
      <c r="A9" s="178" t="s">
        <v>296</v>
      </c>
      <c r="B9" s="178"/>
      <c r="D9" s="84" t="str">
        <f t="shared" si="0"/>
        <v>hhhh</v>
      </c>
      <c r="E9" s="39">
        <f t="shared" si="1"/>
        <v>13</v>
      </c>
      <c r="F9" s="67">
        <f t="shared" si="2"/>
        <v>1.0818051703517284</v>
      </c>
      <c r="G9" s="109">
        <f>IF(Moderator_valid_options="Yes",IF(AND(Sufficient_data="Yes",Include_study?="Yes",Moderator&lt;&gt;""),IF(Moderator_model="Fixed effect",Calculations!FE:FE/SUM(Calculations!FE:FE),Calculations!FJ:FJ/SUM(Calculations!FJ:FJ)),""),"")</f>
        <v>7.1450898324661893E-2</v>
      </c>
    </row>
    <row r="10" spans="1:7" x14ac:dyDescent="0.2">
      <c r="A10" s="180" t="s">
        <v>295</v>
      </c>
      <c r="B10" s="180"/>
      <c r="D10" s="84" t="str">
        <f t="shared" si="0"/>
        <v>iiii</v>
      </c>
      <c r="E10" s="39">
        <f t="shared" si="1"/>
        <v>19</v>
      </c>
      <c r="F10" s="67">
        <f t="shared" si="2"/>
        <v>0.25131442828090617</v>
      </c>
      <c r="G10" s="109">
        <f>IF(Moderator_valid_options="Yes",IF(AND(Sufficient_data="Yes",Include_study?="Yes",Moderator&lt;&gt;""),IF(Moderator_model="Fixed effect",Calculations!FE:FE/SUM(Calculations!FE:FE),Calculations!FJ:FJ/SUM(Calculations!FJ:FJ)),""),"")</f>
        <v>3.8139541200195685E-2</v>
      </c>
    </row>
    <row r="11" spans="1:7" x14ac:dyDescent="0.2">
      <c r="A11" s="181" t="s">
        <v>15</v>
      </c>
      <c r="B11" s="181"/>
      <c r="D11" s="84" t="str">
        <f t="shared" si="0"/>
        <v>jjjj</v>
      </c>
      <c r="E11" s="39">
        <f t="shared" si="1"/>
        <v>22</v>
      </c>
      <c r="F11" s="67">
        <f t="shared" si="2"/>
        <v>0.73759894313077912</v>
      </c>
      <c r="G11" s="109">
        <f>IF(Moderator_valid_options="Yes",IF(AND(Sufficient_data="Yes",Include_study?="Yes",Moderator&lt;&gt;""),IF(Moderator_model="Fixed effect",Calculations!FE:FE/SUM(Calculations!FE:FE),Calculations!FJ:FJ/SUM(Calculations!FJ:FJ)),""),"")</f>
        <v>6.077011671097278E-2</v>
      </c>
    </row>
    <row r="12" spans="1:7" ht="12" customHeight="1" x14ac:dyDescent="0.2">
      <c r="A12" s="181" t="s">
        <v>16</v>
      </c>
      <c r="B12" s="181"/>
      <c r="D12" s="84" t="str">
        <f t="shared" si="0"/>
        <v>kkkk</v>
      </c>
      <c r="E12" s="39">
        <f t="shared" si="1"/>
        <v>17</v>
      </c>
      <c r="F12" s="67">
        <f t="shared" si="2"/>
        <v>-0.63068982562619869</v>
      </c>
      <c r="G12" s="109">
        <f>IF(Moderator_valid_options="Yes",IF(AND(Sufficient_data="Yes",Include_study?="Yes",Moderator&lt;&gt;""),IF(Moderator_model="Fixed effect",Calculations!FE:FE/SUM(Calculations!FE:FE),Calculations!FJ:FJ/SUM(Calculations!FJ:FJ)),""),"")</f>
        <v>7.421951845547764E-2</v>
      </c>
    </row>
    <row r="13" spans="1:7" x14ac:dyDescent="0.2">
      <c r="A13" s="45"/>
      <c r="B13" s="45"/>
      <c r="D13" s="84" t="str">
        <f t="shared" si="0"/>
        <v>llll</v>
      </c>
      <c r="E13" s="39">
        <f t="shared" si="1"/>
        <v>18</v>
      </c>
      <c r="F13" s="67">
        <f t="shared" si="2"/>
        <v>0.5389965007326869</v>
      </c>
      <c r="G13" s="109">
        <f>IF(Moderator_valid_options="Yes",IF(AND(Sufficient_data="Yes",Include_study?="Yes",Moderator&lt;&gt;""),IF(Moderator_model="Fixed effect",Calculations!FE:FE/SUM(Calculations!FE:FE),Calculations!FJ:FJ/SUM(Calculations!FJ:FJ)),""),"")</f>
        <v>5.2049256226149421E-2</v>
      </c>
    </row>
    <row r="14" spans="1:7" x14ac:dyDescent="0.2">
      <c r="A14" s="178" t="s">
        <v>297</v>
      </c>
      <c r="B14" s="178"/>
      <c r="D14" s="84" t="str">
        <f t="shared" si="0"/>
        <v/>
      </c>
      <c r="E14" s="39" t="str">
        <f t="shared" si="1"/>
        <v/>
      </c>
      <c r="F14" s="67" t="str">
        <f t="shared" si="2"/>
        <v/>
      </c>
      <c r="G1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" spans="1:7" x14ac:dyDescent="0.2">
      <c r="A15" s="180" t="str">
        <f>IF(Moderator_weighting_method="Peto","Log Peto Odds Ratio","Log Odds Ratio")</f>
        <v>Log Odds Ratio</v>
      </c>
      <c r="B15" s="180"/>
      <c r="D15" s="84" t="str">
        <f t="shared" si="0"/>
        <v/>
      </c>
      <c r="E15" s="39" t="str">
        <f t="shared" si="1"/>
        <v/>
      </c>
      <c r="F15" s="67" t="str">
        <f t="shared" si="2"/>
        <v/>
      </c>
      <c r="G1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" spans="1:7" x14ac:dyDescent="0.2">
      <c r="A16" s="181" t="str">
        <f>IF(Moderator_weighting_method="Inverse variance","Log Risk Ratio","")</f>
        <v>Log Risk Ratio</v>
      </c>
      <c r="B16" s="181"/>
      <c r="D16" s="84" t="str">
        <f t="shared" si="0"/>
        <v/>
      </c>
      <c r="E16" s="39" t="str">
        <f t="shared" si="1"/>
        <v/>
      </c>
      <c r="F16" s="67" t="str">
        <f t="shared" si="2"/>
        <v/>
      </c>
      <c r="G1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" spans="1:16" x14ac:dyDescent="0.2">
      <c r="A17" s="181" t="str">
        <f>IF(Moderator_weighting_method="Inverse Variance","Risk Difference","")</f>
        <v>Risk Difference</v>
      </c>
      <c r="B17" s="181"/>
      <c r="D17" s="84" t="str">
        <f t="shared" si="0"/>
        <v/>
      </c>
      <c r="E17" s="39" t="str">
        <f t="shared" si="1"/>
        <v/>
      </c>
      <c r="F17" s="67" t="str">
        <f t="shared" si="2"/>
        <v/>
      </c>
      <c r="G1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" spans="1:16" x14ac:dyDescent="0.2">
      <c r="D18" s="84" t="str">
        <f t="shared" si="0"/>
        <v/>
      </c>
      <c r="E18" s="39" t="str">
        <f t="shared" si="1"/>
        <v/>
      </c>
      <c r="F18" s="67" t="str">
        <f t="shared" si="2"/>
        <v/>
      </c>
      <c r="G1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" spans="1:16" x14ac:dyDescent="0.2">
      <c r="D19" s="84" t="str">
        <f t="shared" si="0"/>
        <v/>
      </c>
      <c r="E19" s="39" t="str">
        <f t="shared" si="1"/>
        <v/>
      </c>
      <c r="F19" s="67" t="str">
        <f t="shared" si="2"/>
        <v/>
      </c>
      <c r="G1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0" spans="1:16" x14ac:dyDescent="0.2">
      <c r="D20" s="84" t="str">
        <f t="shared" si="0"/>
        <v/>
      </c>
      <c r="E20" s="39" t="str">
        <f t="shared" si="1"/>
        <v/>
      </c>
      <c r="F20" s="67" t="str">
        <f t="shared" si="2"/>
        <v/>
      </c>
      <c r="G2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1" spans="1:16" x14ac:dyDescent="0.2">
      <c r="D21" s="84" t="str">
        <f t="shared" si="0"/>
        <v/>
      </c>
      <c r="E21" s="39" t="str">
        <f t="shared" si="1"/>
        <v/>
      </c>
      <c r="F21" s="67" t="str">
        <f t="shared" si="2"/>
        <v/>
      </c>
      <c r="G2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2" spans="1:16" x14ac:dyDescent="0.2">
      <c r="D22" s="84" t="str">
        <f t="shared" si="0"/>
        <v/>
      </c>
      <c r="E22" s="39" t="str">
        <f t="shared" si="1"/>
        <v/>
      </c>
      <c r="F22" s="67" t="str">
        <f t="shared" si="2"/>
        <v/>
      </c>
      <c r="G2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3" spans="1:16" x14ac:dyDescent="0.2">
      <c r="D23" s="84" t="str">
        <f t="shared" si="0"/>
        <v/>
      </c>
      <c r="E23" s="39" t="str">
        <f t="shared" si="1"/>
        <v/>
      </c>
      <c r="F23" s="67" t="str">
        <f t="shared" si="2"/>
        <v/>
      </c>
      <c r="G2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4" spans="1:16" x14ac:dyDescent="0.2">
      <c r="D24" s="84" t="str">
        <f t="shared" si="0"/>
        <v/>
      </c>
      <c r="E24" s="39" t="str">
        <f t="shared" si="1"/>
        <v/>
      </c>
      <c r="F24" s="67" t="str">
        <f t="shared" si="2"/>
        <v/>
      </c>
      <c r="G2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5" spans="1:16" x14ac:dyDescent="0.2">
      <c r="D25" s="84" t="str">
        <f t="shared" si="0"/>
        <v/>
      </c>
      <c r="E25" s="39" t="str">
        <f t="shared" si="1"/>
        <v/>
      </c>
      <c r="F25" s="67" t="str">
        <f t="shared" si="2"/>
        <v/>
      </c>
      <c r="G2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6" spans="1:16" x14ac:dyDescent="0.2">
      <c r="D26" s="84" t="str">
        <f t="shared" si="0"/>
        <v/>
      </c>
      <c r="E26" s="39" t="str">
        <f t="shared" si="1"/>
        <v/>
      </c>
      <c r="F26" s="67" t="str">
        <f t="shared" si="2"/>
        <v/>
      </c>
      <c r="G2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7" spans="1:16" x14ac:dyDescent="0.2">
      <c r="D27" s="84" t="str">
        <f t="shared" si="0"/>
        <v/>
      </c>
      <c r="E27" s="39" t="str">
        <f t="shared" si="1"/>
        <v/>
      </c>
      <c r="F27" s="67" t="str">
        <f t="shared" si="2"/>
        <v/>
      </c>
      <c r="G2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8" spans="1:16" x14ac:dyDescent="0.2">
      <c r="D28" s="84" t="str">
        <f t="shared" si="0"/>
        <v/>
      </c>
      <c r="E28" s="39" t="str">
        <f t="shared" si="1"/>
        <v/>
      </c>
      <c r="F28" s="67" t="str">
        <f t="shared" si="2"/>
        <v/>
      </c>
      <c r="G2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28" s="1"/>
      <c r="J28" s="1" t="s">
        <v>166</v>
      </c>
      <c r="K28" s="1" t="s">
        <v>149</v>
      </c>
      <c r="L28" s="1" t="s">
        <v>43</v>
      </c>
      <c r="M28" s="1" t="s">
        <v>44</v>
      </c>
      <c r="N28" s="37" t="s">
        <v>167</v>
      </c>
      <c r="O28" s="1" t="s">
        <v>8</v>
      </c>
      <c r="P28" s="1" t="s">
        <v>168</v>
      </c>
    </row>
    <row r="29" spans="1:16" x14ac:dyDescent="0.2">
      <c r="D29" s="84" t="str">
        <f t="shared" si="0"/>
        <v/>
      </c>
      <c r="E29" s="39" t="str">
        <f t="shared" si="1"/>
        <v/>
      </c>
      <c r="F29" s="67" t="str">
        <f t="shared" si="2"/>
        <v/>
      </c>
      <c r="G2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29" s="69" t="s">
        <v>221</v>
      </c>
      <c r="J29" s="29">
        <f>IF(J30&lt;&gt;"",IF(Moderator_model="Fixed effect",SUMPRODUCT(Calculations!FE:FE,F:F)/SUM(Calculations!FE:FE)-J30*SUMPRODUCT(Calculations!FE:FE,E:E)/SUM(Calculations!FE:FE),SUMPRODUCT(Calculations!FJ:FJ,F:F)/SUM(Calculations!FJ:FJ)-J30*SUMPRODUCT(Calculations!FJ:FJ,E:E)/SUM(Calculations!FJ:FJ)),"")</f>
        <v>0.43402820084024574</v>
      </c>
      <c r="K29" s="29">
        <f>IF(J30&lt;&gt;"",IF(Moderator_model="Fixed effect",SQRT((SUM(Calculations!FE:FE)-SUMPRODUCT(Calculations!FE:FE,E:E)^2/SUMPRODUCT(Calculations!FE:FE,E:E,E:E))^-1),SQRT((SUM(Calculations!FJ:FJ)-SUMPRODUCT(Calculations!FJ:FJ,E:E)^2/SUMPRODUCT(Calculations!FJ:FJ,E:E,E:E))^-1)),"")</f>
        <v>0.91474189087642832</v>
      </c>
      <c r="L29" s="29">
        <f>IF(J30&lt;&gt;"",J29-K29*ABS(TINV((1-Moderator_confidence_level),Moderator_k-1)),"")</f>
        <v>-1.5793051262929376</v>
      </c>
      <c r="M29" s="29">
        <f>IF(J30&lt;&gt;"",J29+K29*ABS(TINV((1-Moderator_confidence_level),Moderator_k-1)),"")</f>
        <v>2.4473615279734293</v>
      </c>
      <c r="N29" s="29"/>
      <c r="O29" s="29">
        <f>IF(J30&lt;&gt;"",J29/K29,"")</f>
        <v>0.47448160532409489</v>
      </c>
      <c r="P29" s="38">
        <f>IF(J30&lt;&gt;"",2*(1-NORMSDIST(ABS(O29))),"")</f>
        <v>0.6351565122144156</v>
      </c>
    </row>
    <row r="30" spans="1:16" x14ac:dyDescent="0.2">
      <c r="D30" s="84" t="str">
        <f t="shared" si="0"/>
        <v/>
      </c>
      <c r="E30" s="39" t="str">
        <f t="shared" si="1"/>
        <v/>
      </c>
      <c r="F30" s="67" t="str">
        <f t="shared" si="2"/>
        <v/>
      </c>
      <c r="G3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0" s="69" t="s">
        <v>108</v>
      </c>
      <c r="J30" s="29">
        <f>IF(Moderator_valid_options="Yes",IF(Calculations!FP3&lt;&gt;"",IF(Moderator_model="Fixed effect",(SUMPRODUCT(Calculations!FE:FE,E:E,F:F)/SUM(Calculations!FE:FE)-SUMPRODUCT(Calculations!FE:FE,E:E)/SUM(Calculations!FE:FE)*SUMPRODUCT(Calculations!FE:FE,F:F)/SUM(Calculations!FE:FE))/(SUMPRODUCT(Calculations!FE:FE,E:E,E:E)/SUM(Calculations!FE:FE)-(SUMPRODUCT(Calculations!FE:FE,E:E)/SUM(Calculations!FE:FE))^2),(SUMPRODUCT(Calculations!FJ:FJ,E:E,F:F)/SUM(Calculations!FJ:FJ)-SUMPRODUCT(Calculations!FJ:FJ,E:E)/SUM(Calculations!FJ:FJ)*SUMPRODUCT(Calculations!FJ:FJ,F:F)/SUM(Calculations!FJ:FJ))/(SUMPRODUCT(Calculations!FJ:FJ,E:E,E:E)/SUM(Calculations!FJ:FJ)-(SUMPRODUCT(Calculations!FJ:FJ,E:E)/SUM(Calculations!FJ:FJ))^2)),""),"")</f>
        <v>-6.5486861588212001E-4</v>
      </c>
      <c r="K30" s="29">
        <f>IF(J30&lt;&gt;"",IF(Moderator_model="Fixed effect",SQRT((SUMPRODUCT(Calculations!FE:FE,E:E,E:E)-SUMPRODUCT(Calculations!FE:FE,E:E)^2/SUM(Calculations!FE:FE))^-1),SQRT((SUMPRODUCT(Calculations!FJ:FJ,E:E,E:E)-SUMPRODUCT(Calculations!FJ:FJ,E:E)^2/SUM(Calculations!FJ:FJ))^-1)),"")</f>
        <v>5.3390461702022926E-2</v>
      </c>
      <c r="L30" s="29">
        <f>IF(J30&lt;&gt;"",J30-K30*ABS(TINV((1-Moderator_confidence_level),Moderator_k-1)),"")</f>
        <v>-0.11816648251247554</v>
      </c>
      <c r="M30" s="29">
        <f>IF(J30&lt;&gt;"",J30+K30*ABS(TINV((1-Moderator_confidence_level),Moderator_k-1)),"")</f>
        <v>0.11685674528071129</v>
      </c>
      <c r="N30" s="29">
        <f>IF(J30&lt;&gt;"",IF(Moderator_model="Fixed effect",J30*SQRT((1/(Moderator_k-1))*SUMPRODUCT(Calculations!FE:FE,Calculations!FG:FG,Calculations!FG:FG)/SUM(Calculations!FE:FE))/(SQRT((1/(Moderator_k-1))*SUMPRODUCT(Calculations!FE:FE,Calculations!FF:FF,Calculations!FF:FF)/SUM(Calculations!FE:FE))),J30*SQRT((1/(Moderator_k-1))*SUMPRODUCT(Calculations!FJ:FJ,Calculations!FL:FL,Calculations!FL:FL)/SUM(Calculations!FJ:FJ))/(SQRT((1/(Moderator_k-1))*SUMPRODUCT(Calculations!FJ:FJ,Calculations!FK:FK,Calculations!FK:FK)/SUM(Calculations!FJ:FJ)))),"")</f>
        <v>-3.5011577244258205E-3</v>
      </c>
      <c r="O30" s="29">
        <f>IF(J30&lt;&gt;"",J30/K30,"")</f>
        <v>-1.2265648114020852E-2</v>
      </c>
      <c r="P30" s="38">
        <f>IF(J30&lt;&gt;"",2*(1-NORMSDIST(ABS(O30))),"")</f>
        <v>0.99021367412799588</v>
      </c>
    </row>
    <row r="31" spans="1:16" x14ac:dyDescent="0.2">
      <c r="D31" s="84" t="str">
        <f t="shared" si="0"/>
        <v/>
      </c>
      <c r="E31" s="39" t="str">
        <f t="shared" si="1"/>
        <v/>
      </c>
      <c r="F31" s="67" t="str">
        <f t="shared" si="2"/>
        <v/>
      </c>
      <c r="G3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32" spans="1:16" x14ac:dyDescent="0.2">
      <c r="D32" s="84" t="str">
        <f t="shared" si="0"/>
        <v/>
      </c>
      <c r="E32" s="39" t="str">
        <f t="shared" si="1"/>
        <v/>
      </c>
      <c r="F32" s="67" t="str">
        <f t="shared" si="2"/>
        <v/>
      </c>
      <c r="G3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2" s="1" t="s">
        <v>335</v>
      </c>
      <c r="J32" s="1" t="str">
        <f>IF(Moderator_model="Fixed effect","Sum of squares (Q)","Sum of squares (Q*)")</f>
        <v>Sum of squares (Q)</v>
      </c>
      <c r="K32" s="1" t="s">
        <v>169</v>
      </c>
      <c r="L32" s="1" t="s">
        <v>261</v>
      </c>
      <c r="N32" s="1" t="s">
        <v>170</v>
      </c>
      <c r="O32" s="1" t="s">
        <v>171</v>
      </c>
      <c r="P32" s="1" t="s">
        <v>168</v>
      </c>
    </row>
    <row r="33" spans="4:16" x14ac:dyDescent="0.2">
      <c r="D33" s="84" t="str">
        <f t="shared" si="0"/>
        <v/>
      </c>
      <c r="E33" s="39" t="str">
        <f t="shared" si="1"/>
        <v/>
      </c>
      <c r="F33" s="67" t="str">
        <f t="shared" si="2"/>
        <v/>
      </c>
      <c r="G3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3" s="158" t="s">
        <v>172</v>
      </c>
      <c r="J33" s="29">
        <f>IF(J30&lt;&gt;"",J35-J34,"")</f>
        <v>1.5044612365677779E-4</v>
      </c>
      <c r="K33" s="8">
        <f>IF(J30&lt;&gt;"",1,"")</f>
        <v>1</v>
      </c>
      <c r="L33" s="38">
        <f>IF(J30&lt;&gt;"",CHIDIST(J33,K33),"")</f>
        <v>0.99021367412800265</v>
      </c>
      <c r="N33" s="4">
        <f>IF(J30&lt;&gt;"",J33/K33,"")</f>
        <v>1.5044612365677779E-4</v>
      </c>
      <c r="O33" s="4">
        <f>IF(J30&lt;&gt;"",N33/N34,"")</f>
        <v>1.2258255674280056E-4</v>
      </c>
      <c r="P33" s="38">
        <f>IF(J30&lt;&gt;"",FDIST(ABS(O33),K33,K34),"")</f>
        <v>0.99138401048424329</v>
      </c>
    </row>
    <row r="34" spans="4:16" x14ac:dyDescent="0.2">
      <c r="D34" s="84" t="str">
        <f t="shared" ref="D34:D97" si="3">IF(AND(Include_study?="Yes",Sufficient_data="Yes",Moderator&lt;&gt;""),Study_name,"")</f>
        <v/>
      </c>
      <c r="E34" s="39" t="str">
        <f t="shared" ref="E34:E65" si="4">IF(AND(Include_study?="Yes",Sufficient_data="Yes",Moderator&lt;&gt;""),Moderator,"")</f>
        <v/>
      </c>
      <c r="F34" s="67" t="str">
        <f t="shared" ref="F34:F65" si="5">IF(AND(Sufficient_data="Yes",Moderator&lt;&gt;""),IF(Moderator_weighting_method="Peto",LogPetoOddsRatio,IF(Moderator_weighting_method="Inverse Variance",IF(Moderator_effect_size_measure="Log Risk Ratio",LogRiskRatio,IF(Model_effect_size_measure="Risk Difference",Risk_Difference,LogOddsRatio)),LogOddsRatio)),"")</f>
        <v/>
      </c>
      <c r="G3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4" s="158" t="s">
        <v>173</v>
      </c>
      <c r="J34" s="29">
        <f>IF(J30&lt;&gt;"",IF(Moderator_model="Fixed effect",SUM(Calculations!FH:FH),SUM(Calculations!FM:FM)),"")</f>
        <v>12.273045011815167</v>
      </c>
      <c r="K34" s="8">
        <f>IF(J30&lt;&gt;"",Moderator_k-2,"")</f>
        <v>10</v>
      </c>
      <c r="L34" s="38">
        <f>IF(J30&lt;&gt;"",CHIDIST(J34,K34),"")</f>
        <v>0.26719819480031132</v>
      </c>
      <c r="N34" s="4">
        <f>IF(J30&lt;&gt;"",J34/K34,"")</f>
        <v>1.2273045011815167</v>
      </c>
      <c r="O34" s="4"/>
      <c r="P34" s="4"/>
    </row>
    <row r="35" spans="4:16" x14ac:dyDescent="0.2">
      <c r="D35" s="84" t="str">
        <f t="shared" si="3"/>
        <v/>
      </c>
      <c r="E35" s="39" t="str">
        <f t="shared" si="4"/>
        <v/>
      </c>
      <c r="F35" s="67" t="str">
        <f t="shared" si="5"/>
        <v/>
      </c>
      <c r="G3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5" s="158" t="s">
        <v>174</v>
      </c>
      <c r="J35" s="29">
        <f>IF(J30&lt;&gt;"",IF(Moderator_model="Fixed effect",SUMPRODUCT(Calculations!FE:FE,Calculations!FF:FF,Calculations!FF:FF),SUMPRODUCT(Calculations!FJ:FJ,Calculations!FK:FK,Calculations!FK:FK)),"")</f>
        <v>12.273195457938824</v>
      </c>
      <c r="K35" s="8">
        <f>IF(J30&lt;&gt;"",Moderator_k-1,"")</f>
        <v>11</v>
      </c>
      <c r="L35" s="38">
        <f>IF(J30&lt;&gt;"",CHIDIST(J35,K35),"")</f>
        <v>0.34346231660877985</v>
      </c>
      <c r="N35" s="4"/>
      <c r="O35" s="4"/>
      <c r="P35" s="4"/>
    </row>
    <row r="36" spans="4:16" x14ac:dyDescent="0.2">
      <c r="D36" s="84" t="str">
        <f t="shared" si="3"/>
        <v/>
      </c>
      <c r="E36" s="39" t="str">
        <f t="shared" si="4"/>
        <v/>
      </c>
      <c r="F36" s="67" t="str">
        <f t="shared" si="5"/>
        <v/>
      </c>
      <c r="G3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37" spans="4:16" x14ac:dyDescent="0.2">
      <c r="D37" s="84" t="str">
        <f t="shared" si="3"/>
        <v/>
      </c>
      <c r="E37" s="39" t="str">
        <f t="shared" si="4"/>
        <v/>
      </c>
      <c r="F37" s="67" t="str">
        <f t="shared" si="5"/>
        <v/>
      </c>
      <c r="G3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7" s="69" t="s">
        <v>17</v>
      </c>
      <c r="J37" s="29">
        <f>IF(J30&lt;&gt;"",IF(Moderator_model="Fixed effect",SUMPRODUCT(F:F,Calculations!FE:FE)/SUM(Calculations!FE:FE),SUMPRODUCT(F:F,Calculations!FJ:FJ)/SUM(Calculations!FJ:FJ)),"")</f>
        <v>0.42293852998149922</v>
      </c>
    </row>
    <row r="38" spans="4:16" ht="14.25" x14ac:dyDescent="0.2">
      <c r="D38" s="84" t="str">
        <f t="shared" si="3"/>
        <v/>
      </c>
      <c r="E38" s="39" t="str">
        <f t="shared" si="4"/>
        <v/>
      </c>
      <c r="F38" s="67" t="str">
        <f t="shared" si="5"/>
        <v/>
      </c>
      <c r="G3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8" s="69" t="s">
        <v>165</v>
      </c>
      <c r="J38" s="29">
        <f>IF(J30&lt;&gt;"",Calculations!FP7,"")</f>
        <v>5.372114585911187E-2</v>
      </c>
    </row>
    <row r="39" spans="4:16" ht="14.25" x14ac:dyDescent="0.2">
      <c r="D39" s="84" t="str">
        <f t="shared" si="3"/>
        <v/>
      </c>
      <c r="E39" s="39" t="str">
        <f t="shared" si="4"/>
        <v/>
      </c>
      <c r="F39" s="67" t="str">
        <f t="shared" si="5"/>
        <v/>
      </c>
      <c r="G3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  <c r="I39" s="69" t="s">
        <v>119</v>
      </c>
      <c r="J39" s="9">
        <f>IF(J30&lt;&gt;"",J33/J35,"")</f>
        <v>1.225810541128984E-5</v>
      </c>
    </row>
    <row r="40" spans="4:16" x14ac:dyDescent="0.2">
      <c r="D40" s="84" t="str">
        <f t="shared" si="3"/>
        <v/>
      </c>
      <c r="E40" s="39" t="str">
        <f t="shared" si="4"/>
        <v/>
      </c>
      <c r="F40" s="67" t="str">
        <f t="shared" si="5"/>
        <v/>
      </c>
      <c r="G4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1" spans="4:16" x14ac:dyDescent="0.2">
      <c r="D41" s="84" t="str">
        <f t="shared" si="3"/>
        <v/>
      </c>
      <c r="E41" s="39" t="str">
        <f t="shared" si="4"/>
        <v/>
      </c>
      <c r="F41" s="67" t="str">
        <f t="shared" si="5"/>
        <v/>
      </c>
      <c r="G4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2" spans="4:16" x14ac:dyDescent="0.2">
      <c r="D42" s="84" t="str">
        <f t="shared" si="3"/>
        <v/>
      </c>
      <c r="E42" s="39" t="str">
        <f t="shared" si="4"/>
        <v/>
      </c>
      <c r="F42" s="67" t="str">
        <f t="shared" si="5"/>
        <v/>
      </c>
      <c r="G4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3" spans="4:16" x14ac:dyDescent="0.2">
      <c r="D43" s="84" t="str">
        <f t="shared" si="3"/>
        <v/>
      </c>
      <c r="E43" s="39" t="str">
        <f t="shared" si="4"/>
        <v/>
      </c>
      <c r="F43" s="67" t="str">
        <f t="shared" si="5"/>
        <v/>
      </c>
      <c r="G4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4" spans="4:16" x14ac:dyDescent="0.2">
      <c r="D44" s="84" t="str">
        <f t="shared" si="3"/>
        <v/>
      </c>
      <c r="E44" s="39" t="str">
        <f t="shared" si="4"/>
        <v/>
      </c>
      <c r="F44" s="67" t="str">
        <f t="shared" si="5"/>
        <v/>
      </c>
      <c r="G4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5" spans="4:16" x14ac:dyDescent="0.2">
      <c r="D45" s="84" t="str">
        <f t="shared" si="3"/>
        <v/>
      </c>
      <c r="E45" s="39" t="str">
        <f t="shared" si="4"/>
        <v/>
      </c>
      <c r="F45" s="67" t="str">
        <f t="shared" si="5"/>
        <v/>
      </c>
      <c r="G4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6" spans="4:16" x14ac:dyDescent="0.2">
      <c r="D46" s="84" t="str">
        <f t="shared" si="3"/>
        <v/>
      </c>
      <c r="E46" s="39" t="str">
        <f t="shared" si="4"/>
        <v/>
      </c>
      <c r="F46" s="67" t="str">
        <f t="shared" si="5"/>
        <v/>
      </c>
      <c r="G4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7" spans="4:16" x14ac:dyDescent="0.2">
      <c r="D47" s="84" t="str">
        <f t="shared" si="3"/>
        <v/>
      </c>
      <c r="E47" s="39" t="str">
        <f t="shared" si="4"/>
        <v/>
      </c>
      <c r="F47" s="67" t="str">
        <f t="shared" si="5"/>
        <v/>
      </c>
      <c r="G4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8" spans="4:16" x14ac:dyDescent="0.2">
      <c r="D48" s="84" t="str">
        <f t="shared" si="3"/>
        <v/>
      </c>
      <c r="E48" s="39" t="str">
        <f t="shared" si="4"/>
        <v/>
      </c>
      <c r="F48" s="67" t="str">
        <f t="shared" si="5"/>
        <v/>
      </c>
      <c r="G4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49" spans="4:7" x14ac:dyDescent="0.2">
      <c r="D49" s="84" t="str">
        <f t="shared" si="3"/>
        <v/>
      </c>
      <c r="E49" s="39" t="str">
        <f t="shared" si="4"/>
        <v/>
      </c>
      <c r="F49" s="67" t="str">
        <f t="shared" si="5"/>
        <v/>
      </c>
      <c r="G4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0" spans="4:7" x14ac:dyDescent="0.2">
      <c r="D50" s="84" t="str">
        <f t="shared" si="3"/>
        <v/>
      </c>
      <c r="E50" s="39" t="str">
        <f t="shared" si="4"/>
        <v/>
      </c>
      <c r="F50" s="67" t="str">
        <f t="shared" si="5"/>
        <v/>
      </c>
      <c r="G5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1" spans="4:7" x14ac:dyDescent="0.2">
      <c r="D51" s="84" t="str">
        <f t="shared" si="3"/>
        <v/>
      </c>
      <c r="E51" s="39" t="str">
        <f t="shared" si="4"/>
        <v/>
      </c>
      <c r="F51" s="67" t="str">
        <f t="shared" si="5"/>
        <v/>
      </c>
      <c r="G5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2" spans="4:7" x14ac:dyDescent="0.2">
      <c r="D52" s="84" t="str">
        <f t="shared" si="3"/>
        <v/>
      </c>
      <c r="E52" s="39" t="str">
        <f t="shared" si="4"/>
        <v/>
      </c>
      <c r="F52" s="69" t="str">
        <f t="shared" si="5"/>
        <v/>
      </c>
      <c r="G5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3" spans="4:7" x14ac:dyDescent="0.2">
      <c r="D53" s="84" t="str">
        <f t="shared" si="3"/>
        <v/>
      </c>
      <c r="E53" s="39" t="str">
        <f t="shared" si="4"/>
        <v/>
      </c>
      <c r="F53" s="69" t="str">
        <f t="shared" si="5"/>
        <v/>
      </c>
      <c r="G5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4" spans="4:7" x14ac:dyDescent="0.2">
      <c r="D54" s="84" t="str">
        <f t="shared" si="3"/>
        <v/>
      </c>
      <c r="E54" s="39" t="str">
        <f t="shared" si="4"/>
        <v/>
      </c>
      <c r="F54" s="69" t="str">
        <f t="shared" si="5"/>
        <v/>
      </c>
      <c r="G5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5" spans="4:7" x14ac:dyDescent="0.2">
      <c r="D55" s="84" t="str">
        <f t="shared" si="3"/>
        <v/>
      </c>
      <c r="E55" s="39" t="str">
        <f t="shared" si="4"/>
        <v/>
      </c>
      <c r="F55" s="69" t="str">
        <f t="shared" si="5"/>
        <v/>
      </c>
      <c r="G5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6" spans="4:7" x14ac:dyDescent="0.2">
      <c r="D56" s="84" t="str">
        <f t="shared" si="3"/>
        <v/>
      </c>
      <c r="E56" s="39" t="str">
        <f t="shared" si="4"/>
        <v/>
      </c>
      <c r="F56" s="69" t="str">
        <f t="shared" si="5"/>
        <v/>
      </c>
      <c r="G5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7" spans="4:7" x14ac:dyDescent="0.2">
      <c r="D57" s="84" t="str">
        <f t="shared" si="3"/>
        <v/>
      </c>
      <c r="E57" s="39" t="str">
        <f t="shared" si="4"/>
        <v/>
      </c>
      <c r="F57" s="69" t="str">
        <f t="shared" si="5"/>
        <v/>
      </c>
      <c r="G5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8" spans="4:7" x14ac:dyDescent="0.2">
      <c r="D58" s="84" t="str">
        <f t="shared" si="3"/>
        <v/>
      </c>
      <c r="E58" s="39" t="str">
        <f t="shared" si="4"/>
        <v/>
      </c>
      <c r="F58" s="69" t="str">
        <f t="shared" si="5"/>
        <v/>
      </c>
      <c r="G5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59" spans="4:7" x14ac:dyDescent="0.2">
      <c r="D59" s="84" t="str">
        <f t="shared" si="3"/>
        <v/>
      </c>
      <c r="E59" s="39" t="str">
        <f t="shared" si="4"/>
        <v/>
      </c>
      <c r="F59" s="69" t="str">
        <f t="shared" si="5"/>
        <v/>
      </c>
      <c r="G5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0" spans="4:7" x14ac:dyDescent="0.2">
      <c r="D60" s="84" t="str">
        <f t="shared" si="3"/>
        <v/>
      </c>
      <c r="E60" s="39" t="str">
        <f t="shared" si="4"/>
        <v/>
      </c>
      <c r="F60" s="69" t="str">
        <f t="shared" si="5"/>
        <v/>
      </c>
      <c r="G6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1" spans="4:7" x14ac:dyDescent="0.2">
      <c r="D61" s="84" t="str">
        <f t="shared" si="3"/>
        <v/>
      </c>
      <c r="E61" s="39" t="str">
        <f t="shared" si="4"/>
        <v/>
      </c>
      <c r="F61" s="69" t="str">
        <f t="shared" si="5"/>
        <v/>
      </c>
      <c r="G6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2" spans="4:7" x14ac:dyDescent="0.2">
      <c r="D62" s="84" t="str">
        <f t="shared" si="3"/>
        <v/>
      </c>
      <c r="E62" s="39" t="str">
        <f t="shared" si="4"/>
        <v/>
      </c>
      <c r="F62" s="69" t="str">
        <f t="shared" si="5"/>
        <v/>
      </c>
      <c r="G6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3" spans="4:7" x14ac:dyDescent="0.2">
      <c r="D63" s="84" t="str">
        <f t="shared" si="3"/>
        <v/>
      </c>
      <c r="E63" s="39" t="str">
        <f t="shared" si="4"/>
        <v/>
      </c>
      <c r="F63" s="69" t="str">
        <f t="shared" si="5"/>
        <v/>
      </c>
      <c r="G6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4" spans="4:7" x14ac:dyDescent="0.2">
      <c r="D64" s="84" t="str">
        <f t="shared" si="3"/>
        <v/>
      </c>
      <c r="E64" s="39" t="str">
        <f t="shared" si="4"/>
        <v/>
      </c>
      <c r="F64" s="69" t="str">
        <f t="shared" si="5"/>
        <v/>
      </c>
      <c r="G6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5" spans="4:7" x14ac:dyDescent="0.2">
      <c r="D65" s="84" t="str">
        <f t="shared" si="3"/>
        <v/>
      </c>
      <c r="E65" s="39" t="str">
        <f t="shared" si="4"/>
        <v/>
      </c>
      <c r="F65" s="69" t="str">
        <f t="shared" si="5"/>
        <v/>
      </c>
      <c r="G6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6" spans="4:7" x14ac:dyDescent="0.2">
      <c r="D66" s="84" t="str">
        <f t="shared" si="3"/>
        <v/>
      </c>
      <c r="E66" s="39" t="str">
        <f t="shared" ref="E66:E97" si="6">IF(AND(Include_study?="Yes",Sufficient_data="Yes",Moderator&lt;&gt;""),Moderator,"")</f>
        <v/>
      </c>
      <c r="F66" s="69" t="str">
        <f t="shared" ref="F66:F97" si="7">IF(AND(Sufficient_data="Yes",Moderator&lt;&gt;""),IF(Moderator_weighting_method="Peto",LogPetoOddsRatio,IF(Moderator_weighting_method="Inverse Variance",IF(Moderator_effect_size_measure="Log Risk Ratio",LogRiskRatio,IF(Model_effect_size_measure="Risk Difference",Risk_Difference,LogOddsRatio)),LogOddsRatio)),"")</f>
        <v/>
      </c>
      <c r="G6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7" spans="4:7" x14ac:dyDescent="0.2">
      <c r="D67" s="84" t="str">
        <f t="shared" si="3"/>
        <v/>
      </c>
      <c r="E67" s="39" t="str">
        <f t="shared" si="6"/>
        <v/>
      </c>
      <c r="F67" s="69" t="str">
        <f t="shared" si="7"/>
        <v/>
      </c>
      <c r="G6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8" spans="4:7" x14ac:dyDescent="0.2">
      <c r="D68" s="84" t="str">
        <f t="shared" si="3"/>
        <v/>
      </c>
      <c r="E68" s="39" t="str">
        <f t="shared" si="6"/>
        <v/>
      </c>
      <c r="F68" s="69" t="str">
        <f t="shared" si="7"/>
        <v/>
      </c>
      <c r="G6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69" spans="4:7" x14ac:dyDescent="0.2">
      <c r="D69" s="84" t="str">
        <f t="shared" si="3"/>
        <v/>
      </c>
      <c r="E69" s="39" t="str">
        <f t="shared" si="6"/>
        <v/>
      </c>
      <c r="F69" s="69" t="str">
        <f t="shared" si="7"/>
        <v/>
      </c>
      <c r="G6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0" spans="4:7" x14ac:dyDescent="0.2">
      <c r="D70" s="84" t="str">
        <f t="shared" si="3"/>
        <v/>
      </c>
      <c r="E70" s="39" t="str">
        <f t="shared" si="6"/>
        <v/>
      </c>
      <c r="F70" s="69" t="str">
        <f t="shared" si="7"/>
        <v/>
      </c>
      <c r="G7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1" spans="4:7" x14ac:dyDescent="0.2">
      <c r="D71" s="84" t="str">
        <f t="shared" si="3"/>
        <v/>
      </c>
      <c r="E71" s="39" t="str">
        <f t="shared" si="6"/>
        <v/>
      </c>
      <c r="F71" s="69" t="str">
        <f t="shared" si="7"/>
        <v/>
      </c>
      <c r="G7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2" spans="4:7" x14ac:dyDescent="0.2">
      <c r="D72" s="84" t="str">
        <f t="shared" si="3"/>
        <v/>
      </c>
      <c r="E72" s="39" t="str">
        <f t="shared" si="6"/>
        <v/>
      </c>
      <c r="F72" s="69" t="str">
        <f t="shared" si="7"/>
        <v/>
      </c>
      <c r="G7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3" spans="4:7" x14ac:dyDescent="0.2">
      <c r="D73" s="84" t="str">
        <f t="shared" si="3"/>
        <v/>
      </c>
      <c r="E73" s="39" t="str">
        <f t="shared" si="6"/>
        <v/>
      </c>
      <c r="F73" s="69" t="str">
        <f t="shared" si="7"/>
        <v/>
      </c>
      <c r="G7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4" spans="4:7" x14ac:dyDescent="0.2">
      <c r="D74" s="84" t="str">
        <f t="shared" si="3"/>
        <v/>
      </c>
      <c r="E74" s="39" t="str">
        <f t="shared" si="6"/>
        <v/>
      </c>
      <c r="F74" s="69" t="str">
        <f t="shared" si="7"/>
        <v/>
      </c>
      <c r="G7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5" spans="4:7" x14ac:dyDescent="0.2">
      <c r="D75" s="84" t="str">
        <f t="shared" si="3"/>
        <v/>
      </c>
      <c r="E75" s="39" t="str">
        <f t="shared" si="6"/>
        <v/>
      </c>
      <c r="F75" s="69" t="str">
        <f t="shared" si="7"/>
        <v/>
      </c>
      <c r="G7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6" spans="4:7" x14ac:dyDescent="0.2">
      <c r="D76" s="84" t="str">
        <f t="shared" si="3"/>
        <v/>
      </c>
      <c r="E76" s="39" t="str">
        <f t="shared" si="6"/>
        <v/>
      </c>
      <c r="F76" s="69" t="str">
        <f t="shared" si="7"/>
        <v/>
      </c>
      <c r="G7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7" spans="4:7" x14ac:dyDescent="0.2">
      <c r="D77" s="84" t="str">
        <f t="shared" si="3"/>
        <v/>
      </c>
      <c r="E77" s="39" t="str">
        <f t="shared" si="6"/>
        <v/>
      </c>
      <c r="F77" s="69" t="str">
        <f t="shared" si="7"/>
        <v/>
      </c>
      <c r="G7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8" spans="4:7" x14ac:dyDescent="0.2">
      <c r="D78" s="84" t="str">
        <f t="shared" si="3"/>
        <v/>
      </c>
      <c r="E78" s="39" t="str">
        <f t="shared" si="6"/>
        <v/>
      </c>
      <c r="F78" s="69" t="str">
        <f t="shared" si="7"/>
        <v/>
      </c>
      <c r="G7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79" spans="4:7" x14ac:dyDescent="0.2">
      <c r="D79" s="84" t="str">
        <f t="shared" si="3"/>
        <v/>
      </c>
      <c r="E79" s="39" t="str">
        <f t="shared" si="6"/>
        <v/>
      </c>
      <c r="F79" s="69" t="str">
        <f t="shared" si="7"/>
        <v/>
      </c>
      <c r="G7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0" spans="4:7" x14ac:dyDescent="0.2">
      <c r="D80" s="84" t="str">
        <f t="shared" si="3"/>
        <v/>
      </c>
      <c r="E80" s="39" t="str">
        <f t="shared" si="6"/>
        <v/>
      </c>
      <c r="F80" s="69" t="str">
        <f t="shared" si="7"/>
        <v/>
      </c>
      <c r="G8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1" spans="4:7" x14ac:dyDescent="0.2">
      <c r="D81" s="84" t="str">
        <f t="shared" si="3"/>
        <v/>
      </c>
      <c r="E81" s="39" t="str">
        <f t="shared" si="6"/>
        <v/>
      </c>
      <c r="F81" s="69" t="str">
        <f t="shared" si="7"/>
        <v/>
      </c>
      <c r="G8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2" spans="4:7" x14ac:dyDescent="0.2">
      <c r="D82" s="84" t="str">
        <f t="shared" si="3"/>
        <v/>
      </c>
      <c r="E82" s="39" t="str">
        <f t="shared" si="6"/>
        <v/>
      </c>
      <c r="F82" s="69" t="str">
        <f t="shared" si="7"/>
        <v/>
      </c>
      <c r="G8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3" spans="4:7" x14ac:dyDescent="0.2">
      <c r="D83" s="84" t="str">
        <f t="shared" si="3"/>
        <v/>
      </c>
      <c r="E83" s="39" t="str">
        <f t="shared" si="6"/>
        <v/>
      </c>
      <c r="F83" s="69" t="str">
        <f t="shared" si="7"/>
        <v/>
      </c>
      <c r="G8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4" spans="4:7" x14ac:dyDescent="0.2">
      <c r="D84" s="84" t="str">
        <f t="shared" si="3"/>
        <v/>
      </c>
      <c r="E84" s="39" t="str">
        <f t="shared" si="6"/>
        <v/>
      </c>
      <c r="F84" s="69" t="str">
        <f t="shared" si="7"/>
        <v/>
      </c>
      <c r="G8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5" spans="4:7" x14ac:dyDescent="0.2">
      <c r="D85" s="84" t="str">
        <f t="shared" si="3"/>
        <v/>
      </c>
      <c r="E85" s="39" t="str">
        <f t="shared" si="6"/>
        <v/>
      </c>
      <c r="F85" s="69" t="str">
        <f t="shared" si="7"/>
        <v/>
      </c>
      <c r="G8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6" spans="4:7" x14ac:dyDescent="0.2">
      <c r="D86" s="84" t="str">
        <f t="shared" si="3"/>
        <v/>
      </c>
      <c r="E86" s="39" t="str">
        <f t="shared" si="6"/>
        <v/>
      </c>
      <c r="F86" s="69" t="str">
        <f t="shared" si="7"/>
        <v/>
      </c>
      <c r="G8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7" spans="4:7" x14ac:dyDescent="0.2">
      <c r="D87" s="84" t="str">
        <f t="shared" si="3"/>
        <v/>
      </c>
      <c r="E87" s="39" t="str">
        <f t="shared" si="6"/>
        <v/>
      </c>
      <c r="F87" s="69" t="str">
        <f t="shared" si="7"/>
        <v/>
      </c>
      <c r="G8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8" spans="4:7" x14ac:dyDescent="0.2">
      <c r="D88" s="84" t="str">
        <f t="shared" si="3"/>
        <v/>
      </c>
      <c r="E88" s="39" t="str">
        <f t="shared" si="6"/>
        <v/>
      </c>
      <c r="F88" s="69" t="str">
        <f t="shared" si="7"/>
        <v/>
      </c>
      <c r="G8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89" spans="4:7" x14ac:dyDescent="0.2">
      <c r="D89" s="84" t="str">
        <f t="shared" si="3"/>
        <v/>
      </c>
      <c r="E89" s="39" t="str">
        <f t="shared" si="6"/>
        <v/>
      </c>
      <c r="F89" s="69" t="str">
        <f t="shared" si="7"/>
        <v/>
      </c>
      <c r="G8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0" spans="4:7" x14ac:dyDescent="0.2">
      <c r="D90" s="84" t="str">
        <f t="shared" si="3"/>
        <v/>
      </c>
      <c r="E90" s="39" t="str">
        <f t="shared" si="6"/>
        <v/>
      </c>
      <c r="F90" s="69" t="str">
        <f t="shared" si="7"/>
        <v/>
      </c>
      <c r="G9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1" spans="4:7" x14ac:dyDescent="0.2">
      <c r="D91" s="84" t="str">
        <f t="shared" si="3"/>
        <v/>
      </c>
      <c r="E91" s="39" t="str">
        <f t="shared" si="6"/>
        <v/>
      </c>
      <c r="F91" s="69" t="str">
        <f t="shared" si="7"/>
        <v/>
      </c>
      <c r="G9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2" spans="4:7" x14ac:dyDescent="0.2">
      <c r="D92" s="84" t="str">
        <f t="shared" si="3"/>
        <v/>
      </c>
      <c r="E92" s="39" t="str">
        <f t="shared" si="6"/>
        <v/>
      </c>
      <c r="F92" s="69" t="str">
        <f t="shared" si="7"/>
        <v/>
      </c>
      <c r="G9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3" spans="4:7" x14ac:dyDescent="0.2">
      <c r="D93" s="84" t="str">
        <f t="shared" si="3"/>
        <v/>
      </c>
      <c r="E93" s="39" t="str">
        <f t="shared" si="6"/>
        <v/>
      </c>
      <c r="F93" s="69" t="str">
        <f t="shared" si="7"/>
        <v/>
      </c>
      <c r="G9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4" spans="4:7" x14ac:dyDescent="0.2">
      <c r="D94" s="84" t="str">
        <f t="shared" si="3"/>
        <v/>
      </c>
      <c r="E94" s="39" t="str">
        <f t="shared" si="6"/>
        <v/>
      </c>
      <c r="F94" s="69" t="str">
        <f t="shared" si="7"/>
        <v/>
      </c>
      <c r="G9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5" spans="4:7" x14ac:dyDescent="0.2">
      <c r="D95" s="84" t="str">
        <f t="shared" si="3"/>
        <v/>
      </c>
      <c r="E95" s="39" t="str">
        <f t="shared" si="6"/>
        <v/>
      </c>
      <c r="F95" s="69" t="str">
        <f t="shared" si="7"/>
        <v/>
      </c>
      <c r="G9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6" spans="4:7" x14ac:dyDescent="0.2">
      <c r="D96" s="84" t="str">
        <f t="shared" si="3"/>
        <v/>
      </c>
      <c r="E96" s="39" t="str">
        <f t="shared" si="6"/>
        <v/>
      </c>
      <c r="F96" s="69" t="str">
        <f t="shared" si="7"/>
        <v/>
      </c>
      <c r="G9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7" spans="4:7" x14ac:dyDescent="0.2">
      <c r="D97" s="84" t="str">
        <f t="shared" si="3"/>
        <v/>
      </c>
      <c r="E97" s="39" t="str">
        <f t="shared" si="6"/>
        <v/>
      </c>
      <c r="F97" s="69" t="str">
        <f t="shared" si="7"/>
        <v/>
      </c>
      <c r="G9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8" spans="4:7" x14ac:dyDescent="0.2">
      <c r="D98" s="84" t="str">
        <f t="shared" ref="D98:D161" si="8">IF(AND(Include_study?="Yes",Sufficient_data="Yes",Moderator&lt;&gt;""),Study_name,"")</f>
        <v/>
      </c>
      <c r="E98" s="39" t="str">
        <f t="shared" ref="E98:E129" si="9">IF(AND(Include_study?="Yes",Sufficient_data="Yes",Moderator&lt;&gt;""),Moderator,"")</f>
        <v/>
      </c>
      <c r="F98" s="69" t="str">
        <f t="shared" ref="F98:F129" si="10">IF(AND(Sufficient_data="Yes",Moderator&lt;&gt;""),IF(Moderator_weighting_method="Peto",LogPetoOddsRatio,IF(Moderator_weighting_method="Inverse Variance",IF(Moderator_effect_size_measure="Log Risk Ratio",LogRiskRatio,IF(Model_effect_size_measure="Risk Difference",Risk_Difference,LogOddsRatio)),LogOddsRatio)),"")</f>
        <v/>
      </c>
      <c r="G9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99" spans="4:7" x14ac:dyDescent="0.2">
      <c r="D99" s="84" t="str">
        <f t="shared" si="8"/>
        <v/>
      </c>
      <c r="E99" s="39" t="str">
        <f t="shared" si="9"/>
        <v/>
      </c>
      <c r="F99" s="69" t="str">
        <f t="shared" si="10"/>
        <v/>
      </c>
      <c r="G9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0" spans="4:7" x14ac:dyDescent="0.2">
      <c r="D100" s="84" t="str">
        <f t="shared" si="8"/>
        <v/>
      </c>
      <c r="E100" s="39" t="str">
        <f t="shared" si="9"/>
        <v/>
      </c>
      <c r="F100" s="69" t="str">
        <f t="shared" si="10"/>
        <v/>
      </c>
      <c r="G10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1" spans="4:7" x14ac:dyDescent="0.2">
      <c r="D101" s="84" t="str">
        <f t="shared" si="8"/>
        <v/>
      </c>
      <c r="E101" s="39" t="str">
        <f t="shared" si="9"/>
        <v/>
      </c>
      <c r="F101" s="69" t="str">
        <f t="shared" si="10"/>
        <v/>
      </c>
      <c r="G10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2" spans="4:7" x14ac:dyDescent="0.2">
      <c r="D102" s="84" t="str">
        <f t="shared" si="8"/>
        <v/>
      </c>
      <c r="E102" s="39" t="str">
        <f t="shared" si="9"/>
        <v/>
      </c>
      <c r="F102" s="69" t="str">
        <f t="shared" si="10"/>
        <v/>
      </c>
      <c r="G10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3" spans="4:7" x14ac:dyDescent="0.2">
      <c r="D103" s="84" t="str">
        <f t="shared" si="8"/>
        <v/>
      </c>
      <c r="E103" s="39" t="str">
        <f t="shared" si="9"/>
        <v/>
      </c>
      <c r="F103" s="69" t="str">
        <f t="shared" si="10"/>
        <v/>
      </c>
      <c r="G10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4" spans="4:7" x14ac:dyDescent="0.2">
      <c r="D104" s="84" t="str">
        <f t="shared" si="8"/>
        <v/>
      </c>
      <c r="E104" s="39" t="str">
        <f t="shared" si="9"/>
        <v/>
      </c>
      <c r="F104" s="69" t="str">
        <f t="shared" si="10"/>
        <v/>
      </c>
      <c r="G10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5" spans="4:7" x14ac:dyDescent="0.2">
      <c r="D105" s="84" t="str">
        <f t="shared" si="8"/>
        <v/>
      </c>
      <c r="E105" s="39" t="str">
        <f t="shared" si="9"/>
        <v/>
      </c>
      <c r="F105" s="69" t="str">
        <f t="shared" si="10"/>
        <v/>
      </c>
      <c r="G10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6" spans="4:7" x14ac:dyDescent="0.2">
      <c r="D106" s="84" t="str">
        <f t="shared" si="8"/>
        <v/>
      </c>
      <c r="E106" s="39" t="str">
        <f t="shared" si="9"/>
        <v/>
      </c>
      <c r="F106" s="69" t="str">
        <f t="shared" si="10"/>
        <v/>
      </c>
      <c r="G10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7" spans="4:7" x14ac:dyDescent="0.2">
      <c r="D107" s="84" t="str">
        <f t="shared" si="8"/>
        <v/>
      </c>
      <c r="E107" s="39" t="str">
        <f t="shared" si="9"/>
        <v/>
      </c>
      <c r="F107" s="69" t="str">
        <f t="shared" si="10"/>
        <v/>
      </c>
      <c r="G10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8" spans="4:7" x14ac:dyDescent="0.2">
      <c r="D108" s="84" t="str">
        <f t="shared" si="8"/>
        <v/>
      </c>
      <c r="E108" s="39" t="str">
        <f t="shared" si="9"/>
        <v/>
      </c>
      <c r="F108" s="69" t="str">
        <f t="shared" si="10"/>
        <v/>
      </c>
      <c r="G10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09" spans="4:7" x14ac:dyDescent="0.2">
      <c r="D109" s="84" t="str">
        <f t="shared" si="8"/>
        <v/>
      </c>
      <c r="E109" s="39" t="str">
        <f t="shared" si="9"/>
        <v/>
      </c>
      <c r="F109" s="69" t="str">
        <f t="shared" si="10"/>
        <v/>
      </c>
      <c r="G10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0" spans="4:7" x14ac:dyDescent="0.2">
      <c r="D110" s="84" t="str">
        <f t="shared" si="8"/>
        <v/>
      </c>
      <c r="E110" s="39" t="str">
        <f t="shared" si="9"/>
        <v/>
      </c>
      <c r="F110" s="69" t="str">
        <f t="shared" si="10"/>
        <v/>
      </c>
      <c r="G11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1" spans="4:7" x14ac:dyDescent="0.2">
      <c r="D111" s="84" t="str">
        <f t="shared" si="8"/>
        <v/>
      </c>
      <c r="E111" s="39" t="str">
        <f t="shared" si="9"/>
        <v/>
      </c>
      <c r="F111" s="69" t="str">
        <f t="shared" si="10"/>
        <v/>
      </c>
      <c r="G11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2" spans="4:7" x14ac:dyDescent="0.2">
      <c r="D112" s="84" t="str">
        <f t="shared" si="8"/>
        <v/>
      </c>
      <c r="E112" s="39" t="str">
        <f t="shared" si="9"/>
        <v/>
      </c>
      <c r="F112" s="69" t="str">
        <f t="shared" si="10"/>
        <v/>
      </c>
      <c r="G11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3" spans="4:7" x14ac:dyDescent="0.2">
      <c r="D113" s="84" t="str">
        <f t="shared" si="8"/>
        <v/>
      </c>
      <c r="E113" s="39" t="str">
        <f t="shared" si="9"/>
        <v/>
      </c>
      <c r="F113" s="69" t="str">
        <f t="shared" si="10"/>
        <v/>
      </c>
      <c r="G11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4" spans="4:7" x14ac:dyDescent="0.2">
      <c r="D114" s="84" t="str">
        <f t="shared" si="8"/>
        <v/>
      </c>
      <c r="E114" s="39" t="str">
        <f t="shared" si="9"/>
        <v/>
      </c>
      <c r="F114" s="69" t="str">
        <f t="shared" si="10"/>
        <v/>
      </c>
      <c r="G11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5" spans="4:7" x14ac:dyDescent="0.2">
      <c r="D115" s="84" t="str">
        <f t="shared" si="8"/>
        <v/>
      </c>
      <c r="E115" s="39" t="str">
        <f t="shared" si="9"/>
        <v/>
      </c>
      <c r="F115" s="69" t="str">
        <f t="shared" si="10"/>
        <v/>
      </c>
      <c r="G11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6" spans="4:7" x14ac:dyDescent="0.2">
      <c r="D116" s="84" t="str">
        <f t="shared" si="8"/>
        <v/>
      </c>
      <c r="E116" s="39" t="str">
        <f t="shared" si="9"/>
        <v/>
      </c>
      <c r="F116" s="69" t="str">
        <f t="shared" si="10"/>
        <v/>
      </c>
      <c r="G11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7" spans="4:7" x14ac:dyDescent="0.2">
      <c r="D117" s="84" t="str">
        <f t="shared" si="8"/>
        <v/>
      </c>
      <c r="E117" s="39" t="str">
        <f t="shared" si="9"/>
        <v/>
      </c>
      <c r="F117" s="69" t="str">
        <f t="shared" si="10"/>
        <v/>
      </c>
      <c r="G11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8" spans="4:7" x14ac:dyDescent="0.2">
      <c r="D118" s="84" t="str">
        <f t="shared" si="8"/>
        <v/>
      </c>
      <c r="E118" s="39" t="str">
        <f t="shared" si="9"/>
        <v/>
      </c>
      <c r="F118" s="69" t="str">
        <f t="shared" si="10"/>
        <v/>
      </c>
      <c r="G11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19" spans="4:7" x14ac:dyDescent="0.2">
      <c r="D119" s="84" t="str">
        <f t="shared" si="8"/>
        <v/>
      </c>
      <c r="E119" s="39" t="str">
        <f t="shared" si="9"/>
        <v/>
      </c>
      <c r="F119" s="69" t="str">
        <f t="shared" si="10"/>
        <v/>
      </c>
      <c r="G11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0" spans="4:7" x14ac:dyDescent="0.2">
      <c r="D120" s="84" t="str">
        <f t="shared" si="8"/>
        <v/>
      </c>
      <c r="E120" s="39" t="str">
        <f t="shared" si="9"/>
        <v/>
      </c>
      <c r="F120" s="69" t="str">
        <f t="shared" si="10"/>
        <v/>
      </c>
      <c r="G12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1" spans="4:7" x14ac:dyDescent="0.2">
      <c r="D121" s="84" t="str">
        <f t="shared" si="8"/>
        <v/>
      </c>
      <c r="E121" s="39" t="str">
        <f t="shared" si="9"/>
        <v/>
      </c>
      <c r="F121" s="69" t="str">
        <f t="shared" si="10"/>
        <v/>
      </c>
      <c r="G12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2" spans="4:7" x14ac:dyDescent="0.2">
      <c r="D122" s="84" t="str">
        <f t="shared" si="8"/>
        <v/>
      </c>
      <c r="E122" s="39" t="str">
        <f t="shared" si="9"/>
        <v/>
      </c>
      <c r="F122" s="69" t="str">
        <f t="shared" si="10"/>
        <v/>
      </c>
      <c r="G12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3" spans="4:7" x14ac:dyDescent="0.2">
      <c r="D123" s="84" t="str">
        <f t="shared" si="8"/>
        <v/>
      </c>
      <c r="E123" s="39" t="str">
        <f t="shared" si="9"/>
        <v/>
      </c>
      <c r="F123" s="69" t="str">
        <f t="shared" si="10"/>
        <v/>
      </c>
      <c r="G12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4" spans="4:7" x14ac:dyDescent="0.2">
      <c r="D124" s="84" t="str">
        <f t="shared" si="8"/>
        <v/>
      </c>
      <c r="E124" s="39" t="str">
        <f t="shared" si="9"/>
        <v/>
      </c>
      <c r="F124" s="69" t="str">
        <f t="shared" si="10"/>
        <v/>
      </c>
      <c r="G12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5" spans="4:7" x14ac:dyDescent="0.2">
      <c r="D125" s="84" t="str">
        <f t="shared" si="8"/>
        <v/>
      </c>
      <c r="E125" s="39" t="str">
        <f t="shared" si="9"/>
        <v/>
      </c>
      <c r="F125" s="69" t="str">
        <f t="shared" si="10"/>
        <v/>
      </c>
      <c r="G12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6" spans="4:7" x14ac:dyDescent="0.2">
      <c r="D126" s="84" t="str">
        <f t="shared" si="8"/>
        <v/>
      </c>
      <c r="E126" s="39" t="str">
        <f t="shared" si="9"/>
        <v/>
      </c>
      <c r="F126" s="69" t="str">
        <f t="shared" si="10"/>
        <v/>
      </c>
      <c r="G12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7" spans="4:7" x14ac:dyDescent="0.2">
      <c r="D127" s="84" t="str">
        <f t="shared" si="8"/>
        <v/>
      </c>
      <c r="E127" s="39" t="str">
        <f t="shared" si="9"/>
        <v/>
      </c>
      <c r="F127" s="69" t="str">
        <f t="shared" si="10"/>
        <v/>
      </c>
      <c r="G12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8" spans="4:7" x14ac:dyDescent="0.2">
      <c r="D128" s="84" t="str">
        <f t="shared" si="8"/>
        <v/>
      </c>
      <c r="E128" s="39" t="str">
        <f t="shared" si="9"/>
        <v/>
      </c>
      <c r="F128" s="69" t="str">
        <f t="shared" si="10"/>
        <v/>
      </c>
      <c r="G12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29" spans="4:7" x14ac:dyDescent="0.2">
      <c r="D129" s="84" t="str">
        <f t="shared" si="8"/>
        <v/>
      </c>
      <c r="E129" s="39" t="str">
        <f t="shared" si="9"/>
        <v/>
      </c>
      <c r="F129" s="69" t="str">
        <f t="shared" si="10"/>
        <v/>
      </c>
      <c r="G12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0" spans="4:7" x14ac:dyDescent="0.2">
      <c r="D130" s="84" t="str">
        <f t="shared" si="8"/>
        <v/>
      </c>
      <c r="E130" s="39" t="str">
        <f t="shared" ref="E130:E161" si="11">IF(AND(Include_study?="Yes",Sufficient_data="Yes",Moderator&lt;&gt;""),Moderator,"")</f>
        <v/>
      </c>
      <c r="F130" s="69" t="str">
        <f t="shared" ref="F130:F161" si="12">IF(AND(Sufficient_data="Yes",Moderator&lt;&gt;""),IF(Moderator_weighting_method="Peto",LogPetoOddsRatio,IF(Moderator_weighting_method="Inverse Variance",IF(Moderator_effect_size_measure="Log Risk Ratio",LogRiskRatio,IF(Model_effect_size_measure="Risk Difference",Risk_Difference,LogOddsRatio)),LogOddsRatio)),"")</f>
        <v/>
      </c>
      <c r="G13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1" spans="4:7" x14ac:dyDescent="0.2">
      <c r="D131" s="84" t="str">
        <f t="shared" si="8"/>
        <v/>
      </c>
      <c r="E131" s="39" t="str">
        <f t="shared" si="11"/>
        <v/>
      </c>
      <c r="F131" s="69" t="str">
        <f t="shared" si="12"/>
        <v/>
      </c>
      <c r="G13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2" spans="4:7" x14ac:dyDescent="0.2">
      <c r="D132" s="84" t="str">
        <f t="shared" si="8"/>
        <v/>
      </c>
      <c r="E132" s="39" t="str">
        <f t="shared" si="11"/>
        <v/>
      </c>
      <c r="F132" s="69" t="str">
        <f t="shared" si="12"/>
        <v/>
      </c>
      <c r="G13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3" spans="4:7" x14ac:dyDescent="0.2">
      <c r="D133" s="84" t="str">
        <f t="shared" si="8"/>
        <v/>
      </c>
      <c r="E133" s="39" t="str">
        <f t="shared" si="11"/>
        <v/>
      </c>
      <c r="F133" s="69" t="str">
        <f t="shared" si="12"/>
        <v/>
      </c>
      <c r="G13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4" spans="4:7" x14ac:dyDescent="0.2">
      <c r="D134" s="84" t="str">
        <f t="shared" si="8"/>
        <v/>
      </c>
      <c r="E134" s="39" t="str">
        <f t="shared" si="11"/>
        <v/>
      </c>
      <c r="F134" s="69" t="str">
        <f t="shared" si="12"/>
        <v/>
      </c>
      <c r="G13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5" spans="4:7" x14ac:dyDescent="0.2">
      <c r="D135" s="84" t="str">
        <f t="shared" si="8"/>
        <v/>
      </c>
      <c r="E135" s="39" t="str">
        <f t="shared" si="11"/>
        <v/>
      </c>
      <c r="F135" s="69" t="str">
        <f t="shared" si="12"/>
        <v/>
      </c>
      <c r="G13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6" spans="4:7" x14ac:dyDescent="0.2">
      <c r="D136" s="84" t="str">
        <f t="shared" si="8"/>
        <v/>
      </c>
      <c r="E136" s="39" t="str">
        <f t="shared" si="11"/>
        <v/>
      </c>
      <c r="F136" s="69" t="str">
        <f t="shared" si="12"/>
        <v/>
      </c>
      <c r="G13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7" spans="4:7" x14ac:dyDescent="0.2">
      <c r="D137" s="84" t="str">
        <f t="shared" si="8"/>
        <v/>
      </c>
      <c r="E137" s="39" t="str">
        <f t="shared" si="11"/>
        <v/>
      </c>
      <c r="F137" s="69" t="str">
        <f t="shared" si="12"/>
        <v/>
      </c>
      <c r="G13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8" spans="4:7" x14ac:dyDescent="0.2">
      <c r="D138" s="84" t="str">
        <f t="shared" si="8"/>
        <v/>
      </c>
      <c r="E138" s="39" t="str">
        <f t="shared" si="11"/>
        <v/>
      </c>
      <c r="F138" s="69" t="str">
        <f t="shared" si="12"/>
        <v/>
      </c>
      <c r="G13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39" spans="4:7" x14ac:dyDescent="0.2">
      <c r="D139" s="84" t="str">
        <f t="shared" si="8"/>
        <v/>
      </c>
      <c r="E139" s="39" t="str">
        <f t="shared" si="11"/>
        <v/>
      </c>
      <c r="F139" s="69" t="str">
        <f t="shared" si="12"/>
        <v/>
      </c>
      <c r="G13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0" spans="4:7" x14ac:dyDescent="0.2">
      <c r="D140" s="84" t="str">
        <f t="shared" si="8"/>
        <v/>
      </c>
      <c r="E140" s="39" t="str">
        <f t="shared" si="11"/>
        <v/>
      </c>
      <c r="F140" s="69" t="str">
        <f t="shared" si="12"/>
        <v/>
      </c>
      <c r="G14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1" spans="4:7" x14ac:dyDescent="0.2">
      <c r="D141" s="84" t="str">
        <f t="shared" si="8"/>
        <v/>
      </c>
      <c r="E141" s="39" t="str">
        <f t="shared" si="11"/>
        <v/>
      </c>
      <c r="F141" s="69" t="str">
        <f t="shared" si="12"/>
        <v/>
      </c>
      <c r="G14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2" spans="4:7" x14ac:dyDescent="0.2">
      <c r="D142" s="84" t="str">
        <f t="shared" si="8"/>
        <v/>
      </c>
      <c r="E142" s="39" t="str">
        <f t="shared" si="11"/>
        <v/>
      </c>
      <c r="F142" s="69" t="str">
        <f t="shared" si="12"/>
        <v/>
      </c>
      <c r="G14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3" spans="4:7" x14ac:dyDescent="0.2">
      <c r="D143" s="84" t="str">
        <f t="shared" si="8"/>
        <v/>
      </c>
      <c r="E143" s="39" t="str">
        <f t="shared" si="11"/>
        <v/>
      </c>
      <c r="F143" s="69" t="str">
        <f t="shared" si="12"/>
        <v/>
      </c>
      <c r="G14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4" spans="4:7" x14ac:dyDescent="0.2">
      <c r="D144" s="84" t="str">
        <f t="shared" si="8"/>
        <v/>
      </c>
      <c r="E144" s="39" t="str">
        <f t="shared" si="11"/>
        <v/>
      </c>
      <c r="F144" s="69" t="str">
        <f t="shared" si="12"/>
        <v/>
      </c>
      <c r="G14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5" spans="4:7" x14ac:dyDescent="0.2">
      <c r="D145" s="84" t="str">
        <f t="shared" si="8"/>
        <v/>
      </c>
      <c r="E145" s="39" t="str">
        <f t="shared" si="11"/>
        <v/>
      </c>
      <c r="F145" s="69" t="str">
        <f t="shared" si="12"/>
        <v/>
      </c>
      <c r="G14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6" spans="4:7" x14ac:dyDescent="0.2">
      <c r="D146" s="84" t="str">
        <f t="shared" si="8"/>
        <v/>
      </c>
      <c r="E146" s="39" t="str">
        <f t="shared" si="11"/>
        <v/>
      </c>
      <c r="F146" s="69" t="str">
        <f t="shared" si="12"/>
        <v/>
      </c>
      <c r="G14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7" spans="4:7" x14ac:dyDescent="0.2">
      <c r="D147" s="84" t="str">
        <f t="shared" si="8"/>
        <v/>
      </c>
      <c r="E147" s="39" t="str">
        <f t="shared" si="11"/>
        <v/>
      </c>
      <c r="F147" s="69" t="str">
        <f t="shared" si="12"/>
        <v/>
      </c>
      <c r="G14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8" spans="4:7" x14ac:dyDescent="0.2">
      <c r="D148" s="84" t="str">
        <f t="shared" si="8"/>
        <v/>
      </c>
      <c r="E148" s="39" t="str">
        <f t="shared" si="11"/>
        <v/>
      </c>
      <c r="F148" s="69" t="str">
        <f t="shared" si="12"/>
        <v/>
      </c>
      <c r="G14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49" spans="4:7" x14ac:dyDescent="0.2">
      <c r="D149" s="84" t="str">
        <f t="shared" si="8"/>
        <v/>
      </c>
      <c r="E149" s="39" t="str">
        <f t="shared" si="11"/>
        <v/>
      </c>
      <c r="F149" s="69" t="str">
        <f t="shared" si="12"/>
        <v/>
      </c>
      <c r="G14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0" spans="4:7" x14ac:dyDescent="0.2">
      <c r="D150" s="84" t="str">
        <f t="shared" si="8"/>
        <v/>
      </c>
      <c r="E150" s="39" t="str">
        <f t="shared" si="11"/>
        <v/>
      </c>
      <c r="F150" s="69" t="str">
        <f t="shared" si="12"/>
        <v/>
      </c>
      <c r="G15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1" spans="4:7" x14ac:dyDescent="0.2">
      <c r="D151" s="84" t="str">
        <f t="shared" si="8"/>
        <v/>
      </c>
      <c r="E151" s="39" t="str">
        <f t="shared" si="11"/>
        <v/>
      </c>
      <c r="F151" s="69" t="str">
        <f t="shared" si="12"/>
        <v/>
      </c>
      <c r="G15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2" spans="4:7" x14ac:dyDescent="0.2">
      <c r="D152" s="84" t="str">
        <f t="shared" si="8"/>
        <v/>
      </c>
      <c r="E152" s="39" t="str">
        <f t="shared" si="11"/>
        <v/>
      </c>
      <c r="F152" s="69" t="str">
        <f t="shared" si="12"/>
        <v/>
      </c>
      <c r="G15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3" spans="4:7" x14ac:dyDescent="0.2">
      <c r="D153" s="84" t="str">
        <f t="shared" si="8"/>
        <v/>
      </c>
      <c r="E153" s="39" t="str">
        <f t="shared" si="11"/>
        <v/>
      </c>
      <c r="F153" s="69" t="str">
        <f t="shared" si="12"/>
        <v/>
      </c>
      <c r="G15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4" spans="4:7" x14ac:dyDescent="0.2">
      <c r="D154" s="84" t="str">
        <f t="shared" si="8"/>
        <v/>
      </c>
      <c r="E154" s="39" t="str">
        <f t="shared" si="11"/>
        <v/>
      </c>
      <c r="F154" s="69" t="str">
        <f t="shared" si="12"/>
        <v/>
      </c>
      <c r="G15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5" spans="4:7" x14ac:dyDescent="0.2">
      <c r="D155" s="84" t="str">
        <f t="shared" si="8"/>
        <v/>
      </c>
      <c r="E155" s="39" t="str">
        <f t="shared" si="11"/>
        <v/>
      </c>
      <c r="F155" s="69" t="str">
        <f t="shared" si="12"/>
        <v/>
      </c>
      <c r="G15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6" spans="4:7" x14ac:dyDescent="0.2">
      <c r="D156" s="84" t="str">
        <f t="shared" si="8"/>
        <v/>
      </c>
      <c r="E156" s="39" t="str">
        <f t="shared" si="11"/>
        <v/>
      </c>
      <c r="F156" s="69" t="str">
        <f t="shared" si="12"/>
        <v/>
      </c>
      <c r="G15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7" spans="4:7" x14ac:dyDescent="0.2">
      <c r="D157" s="84" t="str">
        <f t="shared" si="8"/>
        <v/>
      </c>
      <c r="E157" s="39" t="str">
        <f t="shared" si="11"/>
        <v/>
      </c>
      <c r="F157" s="69" t="str">
        <f t="shared" si="12"/>
        <v/>
      </c>
      <c r="G15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8" spans="4:7" x14ac:dyDescent="0.2">
      <c r="D158" s="84" t="str">
        <f t="shared" si="8"/>
        <v/>
      </c>
      <c r="E158" s="39" t="str">
        <f t="shared" si="11"/>
        <v/>
      </c>
      <c r="F158" s="69" t="str">
        <f t="shared" si="12"/>
        <v/>
      </c>
      <c r="G15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59" spans="4:7" x14ac:dyDescent="0.2">
      <c r="D159" s="84" t="str">
        <f t="shared" si="8"/>
        <v/>
      </c>
      <c r="E159" s="39" t="str">
        <f t="shared" si="11"/>
        <v/>
      </c>
      <c r="F159" s="69" t="str">
        <f t="shared" si="12"/>
        <v/>
      </c>
      <c r="G15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0" spans="4:7" x14ac:dyDescent="0.2">
      <c r="D160" s="84" t="str">
        <f t="shared" si="8"/>
        <v/>
      </c>
      <c r="E160" s="39" t="str">
        <f t="shared" si="11"/>
        <v/>
      </c>
      <c r="F160" s="69" t="str">
        <f t="shared" si="12"/>
        <v/>
      </c>
      <c r="G16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1" spans="4:7" x14ac:dyDescent="0.2">
      <c r="D161" s="84" t="str">
        <f t="shared" si="8"/>
        <v/>
      </c>
      <c r="E161" s="39" t="str">
        <f t="shared" si="11"/>
        <v/>
      </c>
      <c r="F161" s="69" t="str">
        <f t="shared" si="12"/>
        <v/>
      </c>
      <c r="G16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2" spans="4:7" x14ac:dyDescent="0.2">
      <c r="D162" s="84" t="str">
        <f t="shared" ref="D162:D201" si="13">IF(AND(Include_study?="Yes",Sufficient_data="Yes",Moderator&lt;&gt;""),Study_name,"")</f>
        <v/>
      </c>
      <c r="E162" s="39" t="str">
        <f t="shared" ref="E162:E193" si="14">IF(AND(Include_study?="Yes",Sufficient_data="Yes",Moderator&lt;&gt;""),Moderator,"")</f>
        <v/>
      </c>
      <c r="F162" s="69" t="str">
        <f t="shared" ref="F162:F193" si="15">IF(AND(Sufficient_data="Yes",Moderator&lt;&gt;""),IF(Moderator_weighting_method="Peto",LogPetoOddsRatio,IF(Moderator_weighting_method="Inverse Variance",IF(Moderator_effect_size_measure="Log Risk Ratio",LogRiskRatio,IF(Model_effect_size_measure="Risk Difference",Risk_Difference,LogOddsRatio)),LogOddsRatio)),"")</f>
        <v/>
      </c>
      <c r="G16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3" spans="4:7" x14ac:dyDescent="0.2">
      <c r="D163" s="84" t="str">
        <f t="shared" si="13"/>
        <v/>
      </c>
      <c r="E163" s="39" t="str">
        <f t="shared" si="14"/>
        <v/>
      </c>
      <c r="F163" s="69" t="str">
        <f t="shared" si="15"/>
        <v/>
      </c>
      <c r="G16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4" spans="4:7" x14ac:dyDescent="0.2">
      <c r="D164" s="84" t="str">
        <f t="shared" si="13"/>
        <v/>
      </c>
      <c r="E164" s="39" t="str">
        <f t="shared" si="14"/>
        <v/>
      </c>
      <c r="F164" s="69" t="str">
        <f t="shared" si="15"/>
        <v/>
      </c>
      <c r="G16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5" spans="4:7" x14ac:dyDescent="0.2">
      <c r="D165" s="84" t="str">
        <f t="shared" si="13"/>
        <v/>
      </c>
      <c r="E165" s="39" t="str">
        <f t="shared" si="14"/>
        <v/>
      </c>
      <c r="F165" s="69" t="str">
        <f t="shared" si="15"/>
        <v/>
      </c>
      <c r="G16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6" spans="4:7" x14ac:dyDescent="0.2">
      <c r="D166" s="84" t="str">
        <f t="shared" si="13"/>
        <v/>
      </c>
      <c r="E166" s="39" t="str">
        <f t="shared" si="14"/>
        <v/>
      </c>
      <c r="F166" s="69" t="str">
        <f t="shared" si="15"/>
        <v/>
      </c>
      <c r="G16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7" spans="4:7" x14ac:dyDescent="0.2">
      <c r="D167" s="84" t="str">
        <f t="shared" si="13"/>
        <v/>
      </c>
      <c r="E167" s="39" t="str">
        <f t="shared" si="14"/>
        <v/>
      </c>
      <c r="F167" s="69" t="str">
        <f t="shared" si="15"/>
        <v/>
      </c>
      <c r="G16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8" spans="4:7" x14ac:dyDescent="0.2">
      <c r="D168" s="84" t="str">
        <f t="shared" si="13"/>
        <v/>
      </c>
      <c r="E168" s="39" t="str">
        <f t="shared" si="14"/>
        <v/>
      </c>
      <c r="F168" s="69" t="str">
        <f t="shared" si="15"/>
        <v/>
      </c>
      <c r="G16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69" spans="4:7" x14ac:dyDescent="0.2">
      <c r="D169" s="84" t="str">
        <f t="shared" si="13"/>
        <v/>
      </c>
      <c r="E169" s="39" t="str">
        <f t="shared" si="14"/>
        <v/>
      </c>
      <c r="F169" s="69" t="str">
        <f t="shared" si="15"/>
        <v/>
      </c>
      <c r="G16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0" spans="4:7" x14ac:dyDescent="0.2">
      <c r="D170" s="84" t="str">
        <f t="shared" si="13"/>
        <v/>
      </c>
      <c r="E170" s="39" t="str">
        <f t="shared" si="14"/>
        <v/>
      </c>
      <c r="F170" s="69" t="str">
        <f t="shared" si="15"/>
        <v/>
      </c>
      <c r="G17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1" spans="4:7" x14ac:dyDescent="0.2">
      <c r="D171" s="84" t="str">
        <f t="shared" si="13"/>
        <v/>
      </c>
      <c r="E171" s="39" t="str">
        <f t="shared" si="14"/>
        <v/>
      </c>
      <c r="F171" s="69" t="str">
        <f t="shared" si="15"/>
        <v/>
      </c>
      <c r="G17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2" spans="4:7" x14ac:dyDescent="0.2">
      <c r="D172" s="84" t="str">
        <f t="shared" si="13"/>
        <v/>
      </c>
      <c r="E172" s="39" t="str">
        <f t="shared" si="14"/>
        <v/>
      </c>
      <c r="F172" s="69" t="str">
        <f t="shared" si="15"/>
        <v/>
      </c>
      <c r="G17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3" spans="4:7" x14ac:dyDescent="0.2">
      <c r="D173" s="84" t="str">
        <f t="shared" si="13"/>
        <v/>
      </c>
      <c r="E173" s="39" t="str">
        <f t="shared" si="14"/>
        <v/>
      </c>
      <c r="F173" s="69" t="str">
        <f t="shared" si="15"/>
        <v/>
      </c>
      <c r="G17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4" spans="4:7" x14ac:dyDescent="0.2">
      <c r="D174" s="84" t="str">
        <f t="shared" si="13"/>
        <v/>
      </c>
      <c r="E174" s="39" t="str">
        <f t="shared" si="14"/>
        <v/>
      </c>
      <c r="F174" s="69" t="str">
        <f t="shared" si="15"/>
        <v/>
      </c>
      <c r="G17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5" spans="4:7" x14ac:dyDescent="0.2">
      <c r="D175" s="84" t="str">
        <f t="shared" si="13"/>
        <v/>
      </c>
      <c r="E175" s="39" t="str">
        <f t="shared" si="14"/>
        <v/>
      </c>
      <c r="F175" s="69" t="str">
        <f t="shared" si="15"/>
        <v/>
      </c>
      <c r="G17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6" spans="4:7" x14ac:dyDescent="0.2">
      <c r="D176" s="84" t="str">
        <f t="shared" si="13"/>
        <v/>
      </c>
      <c r="E176" s="39" t="str">
        <f t="shared" si="14"/>
        <v/>
      </c>
      <c r="F176" s="69" t="str">
        <f t="shared" si="15"/>
        <v/>
      </c>
      <c r="G17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7" spans="4:7" x14ac:dyDescent="0.2">
      <c r="D177" s="84" t="str">
        <f t="shared" si="13"/>
        <v/>
      </c>
      <c r="E177" s="39" t="str">
        <f t="shared" si="14"/>
        <v/>
      </c>
      <c r="F177" s="69" t="str">
        <f t="shared" si="15"/>
        <v/>
      </c>
      <c r="G17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8" spans="4:7" x14ac:dyDescent="0.2">
      <c r="D178" s="84" t="str">
        <f t="shared" si="13"/>
        <v/>
      </c>
      <c r="E178" s="39" t="str">
        <f t="shared" si="14"/>
        <v/>
      </c>
      <c r="F178" s="69" t="str">
        <f t="shared" si="15"/>
        <v/>
      </c>
      <c r="G17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79" spans="4:7" x14ac:dyDescent="0.2">
      <c r="D179" s="84" t="str">
        <f t="shared" si="13"/>
        <v/>
      </c>
      <c r="E179" s="39" t="str">
        <f t="shared" si="14"/>
        <v/>
      </c>
      <c r="F179" s="69" t="str">
        <f t="shared" si="15"/>
        <v/>
      </c>
      <c r="G17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0" spans="4:7" x14ac:dyDescent="0.2">
      <c r="D180" s="84" t="str">
        <f t="shared" si="13"/>
        <v/>
      </c>
      <c r="E180" s="39" t="str">
        <f t="shared" si="14"/>
        <v/>
      </c>
      <c r="F180" s="69" t="str">
        <f t="shared" si="15"/>
        <v/>
      </c>
      <c r="G18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1" spans="4:7" x14ac:dyDescent="0.2">
      <c r="D181" s="84" t="str">
        <f t="shared" si="13"/>
        <v/>
      </c>
      <c r="E181" s="39" t="str">
        <f t="shared" si="14"/>
        <v/>
      </c>
      <c r="F181" s="69" t="str">
        <f t="shared" si="15"/>
        <v/>
      </c>
      <c r="G18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2" spans="4:7" x14ac:dyDescent="0.2">
      <c r="D182" s="84" t="str">
        <f t="shared" si="13"/>
        <v/>
      </c>
      <c r="E182" s="39" t="str">
        <f t="shared" si="14"/>
        <v/>
      </c>
      <c r="F182" s="69" t="str">
        <f t="shared" si="15"/>
        <v/>
      </c>
      <c r="G18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3" spans="4:7" x14ac:dyDescent="0.2">
      <c r="D183" s="84" t="str">
        <f t="shared" si="13"/>
        <v/>
      </c>
      <c r="E183" s="39" t="str">
        <f t="shared" si="14"/>
        <v/>
      </c>
      <c r="F183" s="69" t="str">
        <f t="shared" si="15"/>
        <v/>
      </c>
      <c r="G18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4" spans="4:7" x14ac:dyDescent="0.2">
      <c r="D184" s="84" t="str">
        <f t="shared" si="13"/>
        <v/>
      </c>
      <c r="E184" s="39" t="str">
        <f t="shared" si="14"/>
        <v/>
      </c>
      <c r="F184" s="69" t="str">
        <f t="shared" si="15"/>
        <v/>
      </c>
      <c r="G18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5" spans="4:7" x14ac:dyDescent="0.2">
      <c r="D185" s="84" t="str">
        <f t="shared" si="13"/>
        <v/>
      </c>
      <c r="E185" s="39" t="str">
        <f t="shared" si="14"/>
        <v/>
      </c>
      <c r="F185" s="69" t="str">
        <f t="shared" si="15"/>
        <v/>
      </c>
      <c r="G18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6" spans="4:7" x14ac:dyDescent="0.2">
      <c r="D186" s="84" t="str">
        <f t="shared" si="13"/>
        <v/>
      </c>
      <c r="E186" s="39" t="str">
        <f t="shared" si="14"/>
        <v/>
      </c>
      <c r="F186" s="69" t="str">
        <f t="shared" si="15"/>
        <v/>
      </c>
      <c r="G18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7" spans="4:7" x14ac:dyDescent="0.2">
      <c r="D187" s="84" t="str">
        <f t="shared" si="13"/>
        <v/>
      </c>
      <c r="E187" s="39" t="str">
        <f t="shared" si="14"/>
        <v/>
      </c>
      <c r="F187" s="69" t="str">
        <f t="shared" si="15"/>
        <v/>
      </c>
      <c r="G18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8" spans="4:7" x14ac:dyDescent="0.2">
      <c r="D188" s="84" t="str">
        <f t="shared" si="13"/>
        <v/>
      </c>
      <c r="E188" s="39" t="str">
        <f t="shared" si="14"/>
        <v/>
      </c>
      <c r="F188" s="69" t="str">
        <f t="shared" si="15"/>
        <v/>
      </c>
      <c r="G18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89" spans="4:7" x14ac:dyDescent="0.2">
      <c r="D189" s="84" t="str">
        <f t="shared" si="13"/>
        <v/>
      </c>
      <c r="E189" s="39" t="str">
        <f t="shared" si="14"/>
        <v/>
      </c>
      <c r="F189" s="69" t="str">
        <f t="shared" si="15"/>
        <v/>
      </c>
      <c r="G18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0" spans="4:7" x14ac:dyDescent="0.2">
      <c r="D190" s="84" t="str">
        <f t="shared" si="13"/>
        <v/>
      </c>
      <c r="E190" s="39" t="str">
        <f t="shared" si="14"/>
        <v/>
      </c>
      <c r="F190" s="69" t="str">
        <f t="shared" si="15"/>
        <v/>
      </c>
      <c r="G19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1" spans="4:7" x14ac:dyDescent="0.2">
      <c r="D191" s="84" t="str">
        <f t="shared" si="13"/>
        <v/>
      </c>
      <c r="E191" s="39" t="str">
        <f t="shared" si="14"/>
        <v/>
      </c>
      <c r="F191" s="69" t="str">
        <f t="shared" si="15"/>
        <v/>
      </c>
      <c r="G191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2" spans="4:7" x14ac:dyDescent="0.2">
      <c r="D192" s="84" t="str">
        <f t="shared" si="13"/>
        <v/>
      </c>
      <c r="E192" s="39" t="str">
        <f t="shared" si="14"/>
        <v/>
      </c>
      <c r="F192" s="69" t="str">
        <f t="shared" si="15"/>
        <v/>
      </c>
      <c r="G192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3" spans="4:7" x14ac:dyDescent="0.2">
      <c r="D193" s="84" t="str">
        <f t="shared" si="13"/>
        <v/>
      </c>
      <c r="E193" s="39" t="str">
        <f t="shared" si="14"/>
        <v/>
      </c>
      <c r="F193" s="69" t="str">
        <f t="shared" si="15"/>
        <v/>
      </c>
      <c r="G193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4" spans="4:7" x14ac:dyDescent="0.2">
      <c r="D194" s="84" t="str">
        <f t="shared" si="13"/>
        <v/>
      </c>
      <c r="E194" s="39" t="str">
        <f t="shared" ref="E194:E201" si="16">IF(AND(Include_study?="Yes",Sufficient_data="Yes",Moderator&lt;&gt;""),Moderator,"")</f>
        <v/>
      </c>
      <c r="F194" s="69" t="str">
        <f t="shared" ref="F194:F201" si="17">IF(AND(Sufficient_data="Yes",Moderator&lt;&gt;""),IF(Moderator_weighting_method="Peto",LogPetoOddsRatio,IF(Moderator_weighting_method="Inverse Variance",IF(Moderator_effect_size_measure="Log Risk Ratio",LogRiskRatio,IF(Model_effect_size_measure="Risk Difference",Risk_Difference,LogOddsRatio)),LogOddsRatio)),"")</f>
        <v/>
      </c>
      <c r="G194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5" spans="4:7" x14ac:dyDescent="0.2">
      <c r="D195" s="84" t="str">
        <f t="shared" si="13"/>
        <v/>
      </c>
      <c r="E195" s="39" t="str">
        <f t="shared" si="16"/>
        <v/>
      </c>
      <c r="F195" s="69" t="str">
        <f t="shared" si="17"/>
        <v/>
      </c>
      <c r="G195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6" spans="4:7" x14ac:dyDescent="0.2">
      <c r="D196" s="84" t="str">
        <f t="shared" si="13"/>
        <v/>
      </c>
      <c r="E196" s="39" t="str">
        <f t="shared" si="16"/>
        <v/>
      </c>
      <c r="F196" s="69" t="str">
        <f t="shared" si="17"/>
        <v/>
      </c>
      <c r="G196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7" spans="4:7" x14ac:dyDescent="0.2">
      <c r="D197" s="84" t="str">
        <f t="shared" si="13"/>
        <v/>
      </c>
      <c r="E197" s="39" t="str">
        <f t="shared" si="16"/>
        <v/>
      </c>
      <c r="F197" s="69" t="str">
        <f t="shared" si="17"/>
        <v/>
      </c>
      <c r="G197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8" spans="4:7" x14ac:dyDescent="0.2">
      <c r="D198" s="84" t="str">
        <f t="shared" si="13"/>
        <v/>
      </c>
      <c r="E198" s="39" t="str">
        <f t="shared" si="16"/>
        <v/>
      </c>
      <c r="F198" s="69" t="str">
        <f t="shared" si="17"/>
        <v/>
      </c>
      <c r="G198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199" spans="4:7" x14ac:dyDescent="0.2">
      <c r="D199" s="84" t="str">
        <f t="shared" si="13"/>
        <v/>
      </c>
      <c r="E199" s="39" t="str">
        <f t="shared" si="16"/>
        <v/>
      </c>
      <c r="F199" s="69" t="str">
        <f t="shared" si="17"/>
        <v/>
      </c>
      <c r="G199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00" spans="4:7" x14ac:dyDescent="0.2">
      <c r="D200" s="84" t="str">
        <f t="shared" si="13"/>
        <v/>
      </c>
      <c r="E200" s="39" t="str">
        <f t="shared" si="16"/>
        <v/>
      </c>
      <c r="F200" s="69" t="str">
        <f t="shared" si="17"/>
        <v/>
      </c>
      <c r="G200" s="109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  <row r="201" spans="4:7" x14ac:dyDescent="0.2">
      <c r="D201" s="85" t="str">
        <f t="shared" si="13"/>
        <v/>
      </c>
      <c r="E201" s="71" t="str">
        <f t="shared" si="16"/>
        <v/>
      </c>
      <c r="F201" s="71" t="str">
        <f t="shared" si="17"/>
        <v/>
      </c>
      <c r="G201" s="110" t="str">
        <f>IF(Moderator_valid_options="Yes",IF(AND(Sufficient_data="Yes",Include_study?="Yes",Moderator&lt;&gt;""),IF(Moderator_model="Fixed effect",Calculations!FE:FE/SUM(Calculations!FE:FE),Calculations!FJ:FJ/SUM(Calculations!FJ:FJ)),""),"")</f>
        <v/>
      </c>
    </row>
  </sheetData>
  <mergeCells count="9">
    <mergeCell ref="A15:B15"/>
    <mergeCell ref="A16:B16"/>
    <mergeCell ref="A17:B17"/>
    <mergeCell ref="A1:B1"/>
    <mergeCell ref="A9:B9"/>
    <mergeCell ref="A14:B14"/>
    <mergeCell ref="A10:B10"/>
    <mergeCell ref="A11:B11"/>
    <mergeCell ref="A12:B12"/>
  </mergeCells>
  <dataValidations count="3">
    <dataValidation type="list" allowBlank="1" showInputMessage="1" showErrorMessage="1" sqref="B6" xr:uid="{00000000-0002-0000-0300-000000000000}">
      <formula1>"Fixed effect,Random effects"</formula1>
    </dataValidation>
    <dataValidation type="list" allowBlank="1" showInputMessage="1" showErrorMessage="1" prompt="If you choose a different weighting method after having defined the model effect size measure, you need to choose the latter again, because different options apply to different weighting methods." sqref="B2" xr:uid="{00000000-0002-0000-0300-000001000000}">
      <formula1>$A$10:$A$12</formula1>
    </dataValidation>
    <dataValidation type="list" allowBlank="1" showInputMessage="1" showErrorMessage="1" prompt="If you choose a different weighting method after having defined the model effect size measure, you need to choose the latter again, because different options apply to different weighting methods." sqref="B3" xr:uid="{00000000-0002-0000-0300-000002000000}">
      <formula1>$A$15:$A$17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T201"/>
  <sheetViews>
    <sheetView showGridLines="0" zoomScaleNormal="100" workbookViewId="0">
      <pane ySplit="1" topLeftCell="A2" activePane="bottomLeft" state="frozen"/>
      <selection pane="bottomLeft" activeCell="I39" sqref="I39"/>
    </sheetView>
  </sheetViews>
  <sheetFormatPr defaultRowHeight="12" outlineLevelCol="1" x14ac:dyDescent="0.2"/>
  <cols>
    <col min="1" max="1" width="32.5" style="44" bestFit="1" customWidth="1"/>
    <col min="2" max="2" width="19.5" style="44" bestFit="1" customWidth="1"/>
    <col min="3" max="3" width="3.33203125" style="44" customWidth="1"/>
    <col min="4" max="4" width="11" style="44" customWidth="1" outlineLevel="1"/>
    <col min="5" max="5" width="12.5" style="44" customWidth="1" outlineLevel="1"/>
    <col min="6" max="6" width="8.6640625" style="6" customWidth="1" outlineLevel="1"/>
    <col min="7" max="7" width="3.33203125" style="44" customWidth="1" outlineLevel="1"/>
    <col min="8" max="8" width="18.6640625" customWidth="1" outlineLevel="1"/>
    <col min="9" max="9" width="14.1640625" customWidth="1" outlineLevel="1"/>
    <col min="10" max="10" width="3.33203125" style="45" customWidth="1" outlineLevel="1"/>
    <col min="11" max="11" width="28.5" customWidth="1" outlineLevel="1"/>
    <col min="12" max="12" width="27.6640625" bestFit="1" customWidth="1" outlineLevel="1"/>
    <col min="13" max="13" width="6.33203125" customWidth="1"/>
    <col min="14" max="14" width="3.33203125" style="45" customWidth="1"/>
    <col min="15" max="15" width="15.33203125" style="45" customWidth="1" outlineLevel="1"/>
    <col min="16" max="16" width="13.83203125" style="45" customWidth="1" outlineLevel="1"/>
    <col min="17" max="17" width="5.5" style="45" customWidth="1" outlineLevel="1"/>
    <col min="18" max="19" width="11.6640625" style="45" customWidth="1" outlineLevel="1"/>
    <col min="20" max="20" width="6.33203125" style="45" customWidth="1"/>
    <col min="21" max="21" width="3.33203125" style="45" customWidth="1"/>
    <col min="22" max="22" width="5.83203125" style="6" customWidth="1" outlineLevel="1"/>
    <col min="23" max="23" width="15.5" style="6" customWidth="1" outlineLevel="1"/>
    <col min="24" max="24" width="3.33203125" style="44" customWidth="1" outlineLevel="1"/>
    <col min="25" max="25" width="9.5" style="6" bestFit="1" customWidth="1" outlineLevel="1"/>
    <col min="26" max="26" width="9.6640625" style="6" customWidth="1" outlineLevel="1"/>
    <col min="27" max="27" width="10" style="6" customWidth="1" outlineLevel="1"/>
    <col min="28" max="28" width="9.83203125" style="6" customWidth="1" outlineLevel="1"/>
    <col min="29" max="29" width="39.1640625" style="6" customWidth="1" outlineLevel="1"/>
    <col min="30" max="30" width="22" style="6" customWidth="1" outlineLevel="1"/>
    <col min="31" max="31" width="6.33203125" style="6" customWidth="1"/>
    <col min="32" max="32" width="3.33203125" style="45" customWidth="1"/>
    <col min="33" max="33" width="11" style="45" customWidth="1" outlineLevel="1"/>
    <col min="34" max="35" width="7.33203125" style="45" customWidth="1" outlineLevel="1"/>
    <col min="36" max="36" width="3.33203125" style="45" customWidth="1" outlineLevel="1"/>
    <col min="37" max="43" width="14" customWidth="1" outlineLevel="1"/>
    <col min="44" max="44" width="6.33203125" customWidth="1"/>
    <col min="45" max="45" width="3.33203125" style="45" customWidth="1"/>
    <col min="46" max="46" width="17.83203125" style="44" customWidth="1" outlineLevel="1"/>
    <col min="47" max="47" width="13.33203125" customWidth="1" outlineLevel="1"/>
    <col min="48" max="48" width="9.33203125" customWidth="1" outlineLevel="1"/>
    <col min="49" max="49" width="3.33203125" style="44" customWidth="1" outlineLevel="1"/>
    <col min="50" max="54" width="19.33203125" customWidth="1" outlineLevel="1"/>
    <col min="55" max="55" width="6.33203125" customWidth="1"/>
    <col min="56" max="56" width="3.33203125" style="45" customWidth="1"/>
    <col min="57" max="57" width="17.83203125" style="45" customWidth="1" outlineLevel="1"/>
    <col min="58" max="58" width="9.5" style="128" customWidth="1" outlineLevel="1"/>
    <col min="59" max="59" width="7.83203125" style="128" customWidth="1" outlineLevel="1"/>
    <col min="60" max="60" width="3.33203125" customWidth="1" outlineLevel="1"/>
    <col min="61" max="61" width="25.83203125" customWidth="1" outlineLevel="1"/>
    <col min="62" max="62" width="22.83203125" customWidth="1" outlineLevel="1"/>
    <col min="63" max="63" width="9.33203125" customWidth="1" outlineLevel="1"/>
    <col min="64" max="64" width="12.33203125" customWidth="1" outlineLevel="1"/>
    <col min="65" max="66" width="9.33203125" customWidth="1" outlineLevel="1"/>
    <col min="67" max="67" width="8.83203125" customWidth="1" outlineLevel="1"/>
    <col min="68" max="68" width="6.33203125" customWidth="1"/>
    <col min="69" max="69" width="3.33203125" style="45" customWidth="1"/>
    <col min="70" max="70" width="31" style="6" bestFit="1" customWidth="1" outlineLevel="1"/>
    <col min="71" max="71" width="14.83203125" style="6" customWidth="1" outlineLevel="1"/>
    <col min="72" max="72" width="6.33203125" customWidth="1"/>
  </cols>
  <sheetData>
    <row r="1" spans="1:72" ht="32.25" customHeight="1" x14ac:dyDescent="0.2">
      <c r="A1" s="1" t="s">
        <v>201</v>
      </c>
      <c r="B1" s="1"/>
      <c r="D1" s="1" t="s">
        <v>22</v>
      </c>
      <c r="E1" s="1" t="str">
        <f>Additional_effect_size_measure</f>
        <v>Log Odds Ratio</v>
      </c>
      <c r="F1" s="1" t="s">
        <v>93</v>
      </c>
      <c r="M1" s="150"/>
      <c r="O1" s="178" t="s">
        <v>229</v>
      </c>
      <c r="P1" s="178"/>
      <c r="Q1" s="178"/>
      <c r="R1" s="178"/>
      <c r="S1" s="173"/>
      <c r="T1" s="150"/>
      <c r="V1" s="1" t="s">
        <v>22</v>
      </c>
      <c r="W1" s="1" t="s">
        <v>130</v>
      </c>
      <c r="AE1" s="150"/>
      <c r="AG1" s="1" t="s">
        <v>22</v>
      </c>
      <c r="AH1" s="1" t="s">
        <v>67</v>
      </c>
      <c r="AI1" s="1" t="s">
        <v>66</v>
      </c>
      <c r="AR1" s="150"/>
      <c r="AT1" s="1" t="s">
        <v>22</v>
      </c>
      <c r="AU1" s="1" t="s">
        <v>275</v>
      </c>
      <c r="AV1" s="1" t="s">
        <v>142</v>
      </c>
      <c r="BC1" s="150"/>
      <c r="BE1" s="1" t="s">
        <v>22</v>
      </c>
      <c r="BF1" s="129" t="s">
        <v>271</v>
      </c>
      <c r="BG1" s="126" t="s">
        <v>270</v>
      </c>
      <c r="BP1" s="150"/>
      <c r="BR1" s="1" t="s">
        <v>184</v>
      </c>
      <c r="BS1" s="1"/>
      <c r="BT1" s="150"/>
    </row>
    <row r="2" spans="1:72" x14ac:dyDescent="0.2">
      <c r="A2" s="158" t="s">
        <v>214</v>
      </c>
      <c r="B2" s="5" t="s">
        <v>295</v>
      </c>
      <c r="D2" s="83" t="str">
        <f t="shared" ref="D2:D33" si="0">IF(AND(Include_study?="Yes",Sufficient_data="Yes"),Study_name,"")</f>
        <v>aaaa</v>
      </c>
      <c r="E2" s="19">
        <f t="shared" ref="E2:E33" si="1"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>1.0560526742493137</v>
      </c>
      <c r="F2" s="127">
        <f t="shared" ref="F2:F33" si="2">IF(AND(Include_study?="Yes",Sufficient_data="Yes"),IF(Additional_effect_size_measure="Log Peto Odds Ratio",SELogPetoOddsRatio,IF(Additional_effect_size_measure="Log Risk Ratio",SELogRiskRatio,IF(Additional_effect_size_measure="Risk Difference",SERiskDifference,SELogOddsRatio))),"")</f>
        <v>0.62987231280219214</v>
      </c>
      <c r="M2" s="176" t="s">
        <v>148</v>
      </c>
      <c r="O2" s="66"/>
      <c r="P2" s="62" t="s">
        <v>248</v>
      </c>
      <c r="Q2" s="62" t="s">
        <v>149</v>
      </c>
      <c r="R2" s="62" t="s">
        <v>43</v>
      </c>
      <c r="S2" s="158" t="s">
        <v>44</v>
      </c>
      <c r="T2" s="176" t="s">
        <v>264</v>
      </c>
      <c r="V2" s="131" t="str">
        <f t="shared" ref="V2:V33" si="3">IF(AND(Include_study?="Yes",Sufficient_data="Yes"),Study_name,"")</f>
        <v>aaaa</v>
      </c>
      <c r="W2" s="94">
        <f>IF(AND(Include_study?="Yes",Sufficient_data="Yes"),((E:E-I$29)*SQRT(Calculations!FU:FU))/SQRT(1-Calculations!FU:FU/SUM(Calculations!FU:FU)),"")</f>
        <v>1.0305413354407145</v>
      </c>
      <c r="AE2" s="176" t="s">
        <v>132</v>
      </c>
      <c r="AG2" s="131" t="str">
        <f t="shared" ref="AG2:AG33" si="4">IF(AND(Include_study?="Yes",Sufficient_data="Yes"),Study_name,"")</f>
        <v>aaaa</v>
      </c>
      <c r="AH2" s="127">
        <f t="shared" ref="AH2:AH65" si="5">IF(AND(Sufficient_data="Yes",Include_study?="Yes"),c_/(c_+d_),"")</f>
        <v>0.08</v>
      </c>
      <c r="AI2" s="73">
        <f t="shared" ref="AI2:AI65" si="6">IF(AND(Sufficient_data="Yes",Include_study?="Yes"),a_/(a_+b_),"")</f>
        <v>0.2</v>
      </c>
      <c r="AR2" s="176" t="s">
        <v>242</v>
      </c>
      <c r="AT2" s="131" t="str">
        <f t="shared" ref="AT2:AT33" si="7">IF(AND(Include_study?="Yes",Sufficient_data="Yes"),Study_name,"")</f>
        <v>aaaa</v>
      </c>
      <c r="AU2" s="127">
        <f t="shared" ref="AU2:AU33" si="8">IF(AND(Include_study?="Yes",Sufficient_data="Yes"),IF(AND(Additional_valid_options="No",Additional_model="Random effects"),NA(),Inverse_standard_error),"")</f>
        <v>1.5876233637753885</v>
      </c>
      <c r="AV2" s="73">
        <f t="shared" ref="AV2:AV33" si="9">IF(AND(Include_study?="Yes",Sufficient_data="Yes"),IF(AND(Additional_valid_options="No",Additional_model="Random effects"),NA(),Z_score),"")</f>
        <v>1.67661389901569</v>
      </c>
      <c r="BC2" s="176" t="s">
        <v>141</v>
      </c>
      <c r="BE2" s="127" t="str">
        <f t="shared" ref="BE2:BE33" si="10">IF(AND(Include_study?="Yes",Sufficient_data="Yes"),Study_name,"")</f>
        <v>aaaa</v>
      </c>
      <c r="BF2" s="127">
        <f>IF(AND(Include_study?="Yes",Sufficient_data="Yes"),NORMSINV(Calculations!IW2),"")</f>
        <v>1.1024403670151643</v>
      </c>
      <c r="BG2" s="73">
        <f t="shared" ref="BG2:BG33" si="11">IF(AND(Include_study?="Yes",Sufficient_data="Yes"),IF(AND(Additional_valid_options="No",Additional_model="Random effects"),NA(),IF(BJ$33="Standardized residuals",Standardized_residual,Z_score)),"")</f>
        <v>1.67661389901569</v>
      </c>
      <c r="BP2" s="176" t="s">
        <v>157</v>
      </c>
      <c r="BR2" s="192" t="s">
        <v>238</v>
      </c>
      <c r="BS2" s="192"/>
      <c r="BT2" s="176" t="s">
        <v>329</v>
      </c>
    </row>
    <row r="3" spans="1:72" x14ac:dyDescent="0.2">
      <c r="A3" s="68" t="s">
        <v>204</v>
      </c>
      <c r="B3" s="42" t="s">
        <v>324</v>
      </c>
      <c r="D3" s="84" t="str">
        <f t="shared" si="0"/>
        <v>bbbb</v>
      </c>
      <c r="E3" s="132">
        <f t="shared" si="1"/>
        <v>0.67445504754779284</v>
      </c>
      <c r="F3" s="39">
        <f t="shared" si="2"/>
        <v>0.41764037171214358</v>
      </c>
      <c r="M3" s="176"/>
      <c r="O3" s="52" t="s">
        <v>221</v>
      </c>
      <c r="P3" s="4">
        <f>IF(Additional_valid_options="Yes",INTERCEPT(Z_score,Inverse_standard_error),NA())</f>
        <v>0.12112727538180368</v>
      </c>
      <c r="Q3" s="4">
        <f>IF(Additional_valid_options="Yes",Q4*SQRT(1/k_*SUMPRODUCT(Inverse_standard_error,Inverse_standard_error)),NA())</f>
        <v>1.5106143838818615</v>
      </c>
      <c r="R3" s="4">
        <f>P3-ABS(TINV((1-Additional_confidence_level),k_-1))*Q3</f>
        <v>-3.2037125661631469</v>
      </c>
      <c r="S3" s="4">
        <f>P3+ABS(TINV((1-Additional_confidence_level),k_-1))*Q3</f>
        <v>3.4459671169267541</v>
      </c>
      <c r="T3" s="176"/>
      <c r="V3" s="130" t="str">
        <f t="shared" si="3"/>
        <v>bbbb</v>
      </c>
      <c r="W3" s="95">
        <f>IF(AND(Include_study?="Yes",Sufficient_data="Yes"),((E:E-I$29)*SQRT(Calculations!FU:FU))/SQRT(1-Calculations!FU:FU/SUM(Calculations!FU:FU)),"")</f>
        <v>0.63862282603764042</v>
      </c>
      <c r="AE3" s="176"/>
      <c r="AG3" s="130" t="str">
        <f t="shared" si="4"/>
        <v>bbbb</v>
      </c>
      <c r="AH3" s="39">
        <f t="shared" si="5"/>
        <v>0.18461538461538463</v>
      </c>
      <c r="AI3" s="74">
        <f t="shared" si="6"/>
        <v>0.30769230769230771</v>
      </c>
      <c r="AR3" s="176"/>
      <c r="AT3" s="130" t="str">
        <f t="shared" si="7"/>
        <v>bbbb</v>
      </c>
      <c r="AU3" s="39">
        <f t="shared" si="8"/>
        <v>2.3944045349362075</v>
      </c>
      <c r="AV3" s="74">
        <f t="shared" si="9"/>
        <v>1.6149182244590508</v>
      </c>
      <c r="BC3" s="176"/>
      <c r="BE3" s="130" t="str">
        <f t="shared" si="10"/>
        <v>bbbb</v>
      </c>
      <c r="BF3" s="39">
        <f>IF(AND(Include_study?="Yes",Sufficient_data="Yes"),NORMSINV(Calculations!IW3),"")</f>
        <v>0.78503604987689113</v>
      </c>
      <c r="BG3" s="74">
        <f t="shared" si="11"/>
        <v>1.6149182244590508</v>
      </c>
      <c r="BP3" s="176"/>
      <c r="BR3" s="55" t="s">
        <v>188</v>
      </c>
      <c r="BS3" s="4">
        <f>SUM(Calculations!JH:JH)/SQRT(k_)</f>
        <v>2.9932920852953986</v>
      </c>
      <c r="BT3" s="176"/>
    </row>
    <row r="4" spans="1:72" x14ac:dyDescent="0.2">
      <c r="A4" s="158" t="s">
        <v>300</v>
      </c>
      <c r="B4" s="170" t="str">
        <f>IF(OR(AND(Additional_weighting_method="Inverse Variance",OR(Additional_effect_size_measure="Log Odds Ratio",Additional_effect_size_measure="Log Risk Ratio",Additional_effect_size_measure="Risk Difference")),AND(Additional_weighting_method="Mantel-Haenszel",Additional_effect_size_measure="Log Odds Ratio"),AND(Additional_weighting_method="Peto",Additional_effect_size_measure="Log Peto Odds Ratio")),"Yes","No")</f>
        <v>Yes</v>
      </c>
      <c r="D4" s="84" t="str">
        <f t="shared" si="0"/>
        <v>cccc</v>
      </c>
      <c r="E4" s="132">
        <f t="shared" si="1"/>
        <v>-0.31015492830383962</v>
      </c>
      <c r="F4" s="39">
        <f t="shared" si="2"/>
        <v>0.45571566538442332</v>
      </c>
      <c r="M4" s="176"/>
      <c r="O4" s="52" t="s">
        <v>144</v>
      </c>
      <c r="P4" s="4">
        <f>IF(Additional_valid_options="Yes",SLOPE(Z_score,Inverse_standard_error),NA())</f>
        <v>0.36594906363018359</v>
      </c>
      <c r="Q4" s="4">
        <f>IF(Additional_valid_options="Yes",SQRT(((1/(k_-2))*SUMPRODUCT(Calculations!HM:HM,Calculations!HM:HM))/SUMPRODUCT(Calculations!HL:HL,Calculations!HL:HL)),NA())</f>
        <v>0.72720530378643988</v>
      </c>
      <c r="R4" s="4">
        <f>P4-ABS(TINV((1-Additional_confidence_level),k_-1))*Q4</f>
        <v>-1.2346190183437022</v>
      </c>
      <c r="S4" s="4">
        <f>P4+ABS(TINV((1-Additional_confidence_level),k_-1))*Q4</f>
        <v>1.9665171456040695</v>
      </c>
      <c r="T4" s="176"/>
      <c r="V4" s="130" t="str">
        <f t="shared" si="3"/>
        <v>cccc</v>
      </c>
      <c r="W4" s="95">
        <f>IF(AND(Include_study?="Yes",Sufficient_data="Yes"),((E:E-I$29)*SQRT(Calculations!FU:FU))/SQRT(1-Calculations!FU:FU/SUM(Calculations!FU:FU)),"")</f>
        <v>-1.6891157915219961</v>
      </c>
      <c r="AE4" s="176"/>
      <c r="AG4" s="130" t="str">
        <f t="shared" si="4"/>
        <v>cccc</v>
      </c>
      <c r="AH4" s="39">
        <f t="shared" si="5"/>
        <v>0.45</v>
      </c>
      <c r="AI4" s="74">
        <f t="shared" si="6"/>
        <v>0.375</v>
      </c>
      <c r="AR4" s="176"/>
      <c r="AT4" s="130" t="str">
        <f t="shared" si="7"/>
        <v>cccc</v>
      </c>
      <c r="AU4" s="39">
        <f t="shared" si="8"/>
        <v>2.1943507233977582</v>
      </c>
      <c r="AV4" s="74">
        <f t="shared" si="9"/>
        <v>-0.68058869128891031</v>
      </c>
      <c r="BC4" s="176"/>
      <c r="BE4" s="130" t="str">
        <f t="shared" si="10"/>
        <v>cccc</v>
      </c>
      <c r="BF4" s="39">
        <f>IF(AND(Include_study?="Yes",Sufficient_data="Yes"),NORMSINV(Calculations!IW4),"")</f>
        <v>-1.1024403670151643</v>
      </c>
      <c r="BG4" s="74">
        <f t="shared" si="11"/>
        <v>-0.68058869128891031</v>
      </c>
      <c r="BP4" s="176"/>
      <c r="BR4" s="55" t="s">
        <v>328</v>
      </c>
      <c r="BS4" s="8">
        <f>MAX(0,ROUNDUP(k_*(BS3/NORMSINV((1-Additional_confidence_level)))^2-k_,0))</f>
        <v>28</v>
      </c>
      <c r="BT4" s="176"/>
    </row>
    <row r="5" spans="1:72" x14ac:dyDescent="0.2">
      <c r="D5" s="84" t="str">
        <f t="shared" si="0"/>
        <v>dddd</v>
      </c>
      <c r="E5" s="132">
        <f t="shared" si="1"/>
        <v>0.48550781578170082</v>
      </c>
      <c r="F5" s="39">
        <f t="shared" si="2"/>
        <v>0.31521258597805762</v>
      </c>
      <c r="M5" s="176"/>
      <c r="O5"/>
      <c r="P5"/>
      <c r="Q5"/>
      <c r="R5"/>
      <c r="T5" s="176"/>
      <c r="V5" s="130" t="str">
        <f t="shared" si="3"/>
        <v>dddd</v>
      </c>
      <c r="W5" s="95">
        <f>IF(AND(Include_study?="Yes",Sufficient_data="Yes"),((E:E-I$29)*SQRT(Calculations!FU:FU))/SQRT(1-Calculations!FU:FU/SUM(Calculations!FU:FU)),"")</f>
        <v>0.22115081165909015</v>
      </c>
      <c r="AE5" s="176"/>
      <c r="AG5" s="130" t="str">
        <f t="shared" si="4"/>
        <v>dddd</v>
      </c>
      <c r="AH5" s="39">
        <f t="shared" si="5"/>
        <v>0.13333333333333333</v>
      </c>
      <c r="AI5" s="74">
        <f t="shared" si="6"/>
        <v>0.2</v>
      </c>
      <c r="AR5" s="176"/>
      <c r="AT5" s="130" t="str">
        <f t="shared" si="7"/>
        <v>dddd</v>
      </c>
      <c r="AU5" s="39">
        <f t="shared" si="8"/>
        <v>3.1724621556501278</v>
      </c>
      <c r="AV5" s="74">
        <f t="shared" si="9"/>
        <v>1.5402551718397999</v>
      </c>
      <c r="BC5" s="176"/>
      <c r="BE5" s="130" t="str">
        <f t="shared" si="10"/>
        <v>dddd</v>
      </c>
      <c r="BF5" s="39">
        <f>IF(AND(Include_study?="Yes",Sufficient_data="Yes"),NORMSINV(Calculations!IW5),"")</f>
        <v>0.30974253153853021</v>
      </c>
      <c r="BG5" s="74">
        <f t="shared" si="11"/>
        <v>1.5402551718397999</v>
      </c>
      <c r="BP5" s="176"/>
      <c r="BR5" s="55" t="s">
        <v>189</v>
      </c>
      <c r="BS5" s="4" t="b">
        <f>BS4&lt;5*k_+10</f>
        <v>1</v>
      </c>
      <c r="BT5" s="176"/>
    </row>
    <row r="6" spans="1:72" x14ac:dyDescent="0.2">
      <c r="A6" s="68" t="s">
        <v>172</v>
      </c>
      <c r="B6" s="42" t="s">
        <v>332</v>
      </c>
      <c r="D6" s="84" t="str">
        <f t="shared" si="0"/>
        <v>eeee</v>
      </c>
      <c r="E6" s="132">
        <f t="shared" si="1"/>
        <v>0.67479804189174875</v>
      </c>
      <c r="F6" s="39">
        <f t="shared" si="2"/>
        <v>0.45560482611113501</v>
      </c>
      <c r="M6" s="176"/>
      <c r="O6" s="133" t="s">
        <v>274</v>
      </c>
      <c r="P6" s="29">
        <f>P3/Q3</f>
        <v>8.0184113612462804E-2</v>
      </c>
      <c r="Q6"/>
      <c r="R6"/>
      <c r="T6" s="176"/>
      <c r="V6" s="130" t="str">
        <f t="shared" si="3"/>
        <v>eeee</v>
      </c>
      <c r="W6" s="95">
        <f>IF(AND(Include_study?="Yes",Sufficient_data="Yes"),((E:E-I$29)*SQRT(Calculations!FU:FU))/SQRT(1-Calculations!FU:FU/SUM(Calculations!FU:FU)),"")</f>
        <v>0.58046349341757431</v>
      </c>
      <c r="AE6" s="176"/>
      <c r="AG6" s="130" t="str">
        <f t="shared" si="4"/>
        <v>eeee</v>
      </c>
      <c r="AH6" s="39">
        <f t="shared" si="5"/>
        <v>0.23404255319148937</v>
      </c>
      <c r="AI6" s="74">
        <f t="shared" si="6"/>
        <v>0.375</v>
      </c>
      <c r="AR6" s="176"/>
      <c r="AT6" s="130" t="str">
        <f t="shared" si="7"/>
        <v>eeee</v>
      </c>
      <c r="AU6" s="39">
        <f t="shared" si="8"/>
        <v>2.194884563747074</v>
      </c>
      <c r="AV6" s="74">
        <f t="shared" si="9"/>
        <v>1.4811038057949506</v>
      </c>
      <c r="BC6" s="176"/>
      <c r="BE6" s="130" t="str">
        <f t="shared" si="10"/>
        <v>eeee</v>
      </c>
      <c r="BF6" s="39">
        <f>IF(AND(Include_study?="Yes",Sufficient_data="Yes"),NORMSINV(Calculations!IW6),"")</f>
        <v>0.10179559909470504</v>
      </c>
      <c r="BG6" s="74">
        <f t="shared" si="11"/>
        <v>1.4811038057949506</v>
      </c>
      <c r="BP6" s="176"/>
      <c r="BR6" s="45"/>
      <c r="BS6" s="45"/>
      <c r="BT6" s="176"/>
    </row>
    <row r="7" spans="1:72" x14ac:dyDescent="0.2">
      <c r="A7" s="68" t="s">
        <v>23</v>
      </c>
      <c r="B7" s="43">
        <v>0.95</v>
      </c>
      <c r="D7" s="84" t="str">
        <f t="shared" si="0"/>
        <v>ffff</v>
      </c>
      <c r="E7" s="132">
        <f t="shared" si="1"/>
        <v>0.7537718023763802</v>
      </c>
      <c r="F7" s="39">
        <f t="shared" si="2"/>
        <v>0.4723444121586271</v>
      </c>
      <c r="M7" s="176"/>
      <c r="O7" s="133" t="s">
        <v>168</v>
      </c>
      <c r="P7" s="38">
        <f>TDIST(ABS(P6),k_-2,2)</f>
        <v>0.9376728402744382</v>
      </c>
      <c r="Q7"/>
      <c r="R7"/>
      <c r="T7" s="176"/>
      <c r="V7" s="130" t="str">
        <f t="shared" si="3"/>
        <v>ffff</v>
      </c>
      <c r="W7" s="95">
        <f>IF(AND(Include_study?="Yes",Sufficient_data="Yes"),((E:E-I$29)*SQRT(Calculations!FU:FU))/SQRT(1-Calculations!FU:FU/SUM(Calculations!FU:FU)),"")</f>
        <v>0.73284132172184335</v>
      </c>
      <c r="AE7" s="176"/>
      <c r="AG7" s="130" t="str">
        <f t="shared" si="4"/>
        <v>ffff</v>
      </c>
      <c r="AH7" s="39">
        <f t="shared" si="5"/>
        <v>0.22222222222222221</v>
      </c>
      <c r="AI7" s="74">
        <f t="shared" si="6"/>
        <v>0.37777777777777777</v>
      </c>
      <c r="AR7" s="176"/>
      <c r="AT7" s="130" t="str">
        <f t="shared" si="7"/>
        <v>ffff</v>
      </c>
      <c r="AU7" s="39">
        <f t="shared" si="8"/>
        <v>2.1170992484699291</v>
      </c>
      <c r="AV7" s="74">
        <f t="shared" si="9"/>
        <v>1.5958097163288587</v>
      </c>
      <c r="BC7" s="176"/>
      <c r="BE7" s="130" t="str">
        <f t="shared" si="10"/>
        <v>ffff</v>
      </c>
      <c r="BF7" s="39">
        <f>IF(AND(Include_study?="Yes",Sufficient_data="Yes"),NORMSINV(Calculations!IW7),"")</f>
        <v>0.53218973091930399</v>
      </c>
      <c r="BG7" s="74">
        <f t="shared" si="11"/>
        <v>1.5958097163288587</v>
      </c>
      <c r="BP7" s="176"/>
      <c r="BR7" s="178" t="s">
        <v>239</v>
      </c>
      <c r="BS7" s="178"/>
      <c r="BT7" s="176"/>
    </row>
    <row r="8" spans="1:72" x14ac:dyDescent="0.2">
      <c r="A8" s="45"/>
      <c r="B8" s="45"/>
      <c r="D8" s="84" t="str">
        <f t="shared" si="0"/>
        <v>gggg</v>
      </c>
      <c r="E8" s="132">
        <f t="shared" si="1"/>
        <v>-0.12516314295400605</v>
      </c>
      <c r="F8" s="39">
        <f t="shared" si="2"/>
        <v>0.50071843809506955</v>
      </c>
      <c r="M8" s="176"/>
      <c r="Q8"/>
      <c r="R8"/>
      <c r="T8" s="176"/>
      <c r="V8" s="130" t="str">
        <f t="shared" si="3"/>
        <v>gggg</v>
      </c>
      <c r="W8" s="95">
        <f>IF(AND(Include_study?="Yes",Sufficient_data="Yes"),((E:E-I$29)*SQRT(Calculations!FU:FU))/SQRT(1-Calculations!FU:FU/SUM(Calculations!FU:FU)),"")</f>
        <v>-1.1393911857809884</v>
      </c>
      <c r="AE8" s="176"/>
      <c r="AG8" s="130" t="str">
        <f t="shared" si="4"/>
        <v>gggg</v>
      </c>
      <c r="AH8" s="39">
        <f t="shared" si="5"/>
        <v>0.16666666666666666</v>
      </c>
      <c r="AI8" s="74">
        <f t="shared" si="6"/>
        <v>0.15</v>
      </c>
      <c r="AR8" s="176"/>
      <c r="AT8" s="130" t="str">
        <f t="shared" si="7"/>
        <v>gggg</v>
      </c>
      <c r="AU8" s="39">
        <f t="shared" si="8"/>
        <v>1.9971303709214194</v>
      </c>
      <c r="AV8" s="74">
        <f t="shared" si="9"/>
        <v>-0.24996711411342473</v>
      </c>
      <c r="BC8" s="176"/>
      <c r="BE8" s="130" t="str">
        <f t="shared" si="10"/>
        <v>gggg</v>
      </c>
      <c r="BF8" s="39">
        <f>IF(AND(Include_study?="Yes",Sufficient_data="Yes"),NORMSINV(Calculations!IW8),"")</f>
        <v>-0.78503604987689179</v>
      </c>
      <c r="BG8" s="74">
        <f t="shared" si="11"/>
        <v>-0.24996711411342473</v>
      </c>
      <c r="BP8" s="176"/>
      <c r="BR8" s="158" t="s">
        <v>340</v>
      </c>
      <c r="BS8" s="8">
        <f>MAX(0,ROUNDUP((k_*(1-MAX(Calculations!JI:JI))-1)/MAX(Calculations!JI:JI),0))</f>
        <v>16</v>
      </c>
      <c r="BT8" s="176"/>
    </row>
    <row r="9" spans="1:72" x14ac:dyDescent="0.2">
      <c r="A9" s="178" t="s">
        <v>296</v>
      </c>
      <c r="B9" s="178"/>
      <c r="D9" s="84" t="str">
        <f t="shared" si="0"/>
        <v>hhhh</v>
      </c>
      <c r="E9" s="132">
        <f t="shared" si="1"/>
        <v>1.0818051703517284</v>
      </c>
      <c r="F9" s="39">
        <f t="shared" si="2"/>
        <v>0.51988699337039213</v>
      </c>
      <c r="M9" s="176"/>
      <c r="O9" s="178" t="s">
        <v>257</v>
      </c>
      <c r="P9" s="178"/>
      <c r="Q9"/>
      <c r="R9"/>
      <c r="T9" s="176"/>
      <c r="V9" s="130" t="str">
        <f t="shared" si="3"/>
        <v>hhhh</v>
      </c>
      <c r="W9" s="95">
        <f>IF(AND(Include_study?="Yes",Sufficient_data="Yes"),((E:E-I$29)*SQRT(Calculations!FU:FU))/SQRT(1-Calculations!FU:FU/SUM(Calculations!FU:FU)),"")</f>
        <v>1.3151828274436206</v>
      </c>
      <c r="AE9" s="176"/>
      <c r="AG9" s="130" t="str">
        <f t="shared" si="4"/>
        <v>hhhh</v>
      </c>
      <c r="AH9" s="39">
        <f t="shared" si="5"/>
        <v>9.2307692307692313E-2</v>
      </c>
      <c r="AI9" s="74">
        <f t="shared" si="6"/>
        <v>0.23076923076923078</v>
      </c>
      <c r="AR9" s="176"/>
      <c r="AT9" s="130" t="str">
        <f t="shared" si="7"/>
        <v>hhhh</v>
      </c>
      <c r="AU9" s="39">
        <f t="shared" si="8"/>
        <v>1.9234949378461419</v>
      </c>
      <c r="AV9" s="74">
        <f t="shared" si="9"/>
        <v>2.0808467689073327</v>
      </c>
      <c r="BC9" s="176"/>
      <c r="BE9" s="130" t="str">
        <f t="shared" si="10"/>
        <v>hhhh</v>
      </c>
      <c r="BF9" s="39">
        <f>IF(AND(Include_study?="Yes",Sufficient_data="Yes"),NORMSINV(Calculations!IW9),"")</f>
        <v>1.6067550689692418</v>
      </c>
      <c r="BG9" s="74">
        <f t="shared" si="11"/>
        <v>2.0808467689073327</v>
      </c>
      <c r="BP9" s="176"/>
      <c r="BR9" s="45"/>
      <c r="BS9" s="45"/>
      <c r="BT9" s="176"/>
    </row>
    <row r="10" spans="1:72" ht="13.5" x14ac:dyDescent="0.25">
      <c r="A10" s="180" t="s">
        <v>295</v>
      </c>
      <c r="B10" s="180"/>
      <c r="D10" s="84" t="str">
        <f t="shared" si="0"/>
        <v>iiii</v>
      </c>
      <c r="E10" s="132">
        <f t="shared" si="1"/>
        <v>0.25131442828090617</v>
      </c>
      <c r="F10" s="39">
        <f t="shared" si="2"/>
        <v>0.71158218523878625</v>
      </c>
      <c r="M10" s="176"/>
      <c r="O10" s="66" t="s">
        <v>262</v>
      </c>
      <c r="P10" s="4">
        <f>IF(Additional_valid_options="Yes",SUM(Calculations!HT:HT)/2-SUM(Calculations!HU:HU)/2,NA())</f>
        <v>0</v>
      </c>
      <c r="Q10"/>
      <c r="R10"/>
      <c r="T10" s="176"/>
      <c r="V10" s="130" t="str">
        <f t="shared" si="3"/>
        <v>iiii</v>
      </c>
      <c r="W10" s="95">
        <f>IF(AND(Include_study?="Yes",Sufficient_data="Yes"),((E:E-I$29)*SQRT(Calculations!FU:FU))/SQRT(1-Calculations!FU:FU/SUM(Calculations!FU:FU)),"")</f>
        <v>-0.24592188240976123</v>
      </c>
      <c r="AE10" s="176"/>
      <c r="AG10" s="130" t="str">
        <f t="shared" si="4"/>
        <v>iiii</v>
      </c>
      <c r="AH10" s="39">
        <f t="shared" si="5"/>
        <v>0.1</v>
      </c>
      <c r="AI10" s="74">
        <f t="shared" si="6"/>
        <v>0.125</v>
      </c>
      <c r="AR10" s="176"/>
      <c r="AT10" s="130" t="str">
        <f t="shared" si="7"/>
        <v>iiii</v>
      </c>
      <c r="AU10" s="39">
        <f t="shared" si="8"/>
        <v>1.4053190492176657</v>
      </c>
      <c r="AV10" s="74">
        <f t="shared" si="9"/>
        <v>0.35317695340640431</v>
      </c>
      <c r="BC10" s="176"/>
      <c r="BE10" s="130" t="str">
        <f t="shared" si="10"/>
        <v>iiii</v>
      </c>
      <c r="BF10" s="39">
        <f>IF(AND(Include_study?="Yes",Sufficient_data="Yes"),NORMSINV(Calculations!IW10),"")</f>
        <v>-0.53218973091930433</v>
      </c>
      <c r="BG10" s="74">
        <f t="shared" si="11"/>
        <v>0.35317695340640431</v>
      </c>
      <c r="BP10" s="176"/>
      <c r="BR10" s="178" t="s">
        <v>240</v>
      </c>
      <c r="BS10" s="178"/>
      <c r="BT10" s="176"/>
    </row>
    <row r="11" spans="1:72" x14ac:dyDescent="0.2">
      <c r="A11" s="181" t="s">
        <v>15</v>
      </c>
      <c r="B11" s="181"/>
      <c r="D11" s="84" t="str">
        <f t="shared" si="0"/>
        <v>jjjj</v>
      </c>
      <c r="E11" s="132">
        <f t="shared" si="1"/>
        <v>0.73759894313077912</v>
      </c>
      <c r="F11" s="39">
        <f t="shared" si="2"/>
        <v>0.56372560813291261</v>
      </c>
      <c r="M11" s="176"/>
      <c r="O11" s="66" t="s">
        <v>265</v>
      </c>
      <c r="P11" s="29">
        <f>IF(Additional_valid_options="Yes",(SUM(Calculations!HT:HT)/2-SUM(Calculations!HU:HU)/2)/(1/2*k_*(k_-1)),NA())</f>
        <v>0</v>
      </c>
      <c r="Q11"/>
      <c r="R11"/>
      <c r="T11" s="176"/>
      <c r="V11" s="130" t="str">
        <f t="shared" si="3"/>
        <v>jjjj</v>
      </c>
      <c r="W11" s="95">
        <f>IF(AND(Include_study?="Yes",Sufficient_data="Yes"),((E:E-I$29)*SQRT(Calculations!FU:FU))/SQRT(1-Calculations!FU:FU/SUM(Calculations!FU:FU)),"")</f>
        <v>0.57595478905203146</v>
      </c>
      <c r="AE11" s="176"/>
      <c r="AG11" s="130" t="str">
        <f t="shared" si="4"/>
        <v>jjjj</v>
      </c>
      <c r="AH11" s="39">
        <f t="shared" si="5"/>
        <v>4.1666666666666664E-2</v>
      </c>
      <c r="AI11" s="74">
        <f t="shared" si="6"/>
        <v>8.3333333333333329E-2</v>
      </c>
      <c r="AR11" s="176"/>
      <c r="AT11" s="130" t="str">
        <f t="shared" si="7"/>
        <v>jjjj</v>
      </c>
      <c r="AU11" s="39">
        <f t="shared" si="8"/>
        <v>1.7739126723585432</v>
      </c>
      <c r="AV11" s="74">
        <f t="shared" si="9"/>
        <v>1.3084361123379575</v>
      </c>
      <c r="BC11" s="176"/>
      <c r="BE11" s="130" t="str">
        <f t="shared" si="10"/>
        <v>jjjj</v>
      </c>
      <c r="BF11" s="39">
        <f>IF(AND(Include_study?="Yes",Sufficient_data="Yes"),NORMSINV(Calculations!IW11),"")</f>
        <v>-0.10179559909470488</v>
      </c>
      <c r="BG11" s="74">
        <f t="shared" si="11"/>
        <v>1.3084361123379575</v>
      </c>
      <c r="BP11" s="176"/>
      <c r="BR11" s="55" t="s">
        <v>17</v>
      </c>
      <c r="BS11" s="4">
        <f>I29</f>
        <v>0.42293852998149922</v>
      </c>
      <c r="BT11" s="176"/>
    </row>
    <row r="12" spans="1:72" ht="13.5" x14ac:dyDescent="0.25">
      <c r="A12" s="181" t="s">
        <v>16</v>
      </c>
      <c r="B12" s="181"/>
      <c r="D12" s="84" t="str">
        <f t="shared" si="0"/>
        <v>kkkk</v>
      </c>
      <c r="E12" s="132">
        <f t="shared" si="1"/>
        <v>-0.63068982562619869</v>
      </c>
      <c r="F12" s="39">
        <f t="shared" si="2"/>
        <v>0.51009813168654516</v>
      </c>
      <c r="M12" s="176"/>
      <c r="O12" s="66" t="s">
        <v>260</v>
      </c>
      <c r="P12" s="4">
        <f>P10/SQRT((k_*(k_-1)*(2*k_+5)/18))</f>
        <v>0</v>
      </c>
      <c r="Q12"/>
      <c r="R12"/>
      <c r="T12" s="176"/>
      <c r="V12" s="130" t="str">
        <f t="shared" si="3"/>
        <v>kkkk</v>
      </c>
      <c r="W12" s="95">
        <f>IF(AND(Include_study?="Yes",Sufficient_data="Yes"),((E:E-I$29)*SQRT(Calculations!FU:FU))/SQRT(1-Calculations!FU:FU/SUM(Calculations!FU:FU)),"")</f>
        <v>-2.1467412777431161</v>
      </c>
      <c r="AE12" s="176"/>
      <c r="AG12" s="130" t="str">
        <f t="shared" si="4"/>
        <v>kkkk</v>
      </c>
      <c r="AH12" s="39">
        <f t="shared" si="5"/>
        <v>0.28888888888888886</v>
      </c>
      <c r="AI12" s="74">
        <f t="shared" si="6"/>
        <v>0.17777777777777778</v>
      </c>
      <c r="AR12" s="176"/>
      <c r="AT12" s="130" t="str">
        <f t="shared" si="7"/>
        <v>kkkk</v>
      </c>
      <c r="AU12" s="39">
        <f t="shared" si="8"/>
        <v>1.96040710185251</v>
      </c>
      <c r="AV12" s="74">
        <f t="shared" si="9"/>
        <v>-1.236408813223721</v>
      </c>
      <c r="BC12" s="176"/>
      <c r="BE12" s="130" t="str">
        <f t="shared" si="10"/>
        <v>kkkk</v>
      </c>
      <c r="BF12" s="39">
        <f>IF(AND(Include_study?="Yes",Sufficient_data="Yes"),NORMSINV(Calculations!IW12),"")</f>
        <v>-1.6067550689692427</v>
      </c>
      <c r="BG12" s="74">
        <f t="shared" si="11"/>
        <v>-1.236408813223721</v>
      </c>
      <c r="BP12" s="176"/>
      <c r="BR12" s="55" t="s">
        <v>190</v>
      </c>
      <c r="BS12" s="5">
        <v>0</v>
      </c>
      <c r="BT12" s="176"/>
    </row>
    <row r="13" spans="1:72" ht="13.5" x14ac:dyDescent="0.25">
      <c r="A13" s="45"/>
      <c r="B13" s="45"/>
      <c r="D13" s="84" t="str">
        <f t="shared" si="0"/>
        <v>llll</v>
      </c>
      <c r="E13" s="132">
        <f t="shared" si="1"/>
        <v>0.5389965007326869</v>
      </c>
      <c r="F13" s="39">
        <f t="shared" si="2"/>
        <v>0.60912375264123952</v>
      </c>
      <c r="M13" s="176"/>
      <c r="O13" s="66" t="s">
        <v>261</v>
      </c>
      <c r="P13" s="38">
        <f>2*(1-NORMSDIST(ABS(P12)))</f>
        <v>1</v>
      </c>
      <c r="Q13"/>
      <c r="R13"/>
      <c r="T13" s="176"/>
      <c r="V13" s="130" t="str">
        <f t="shared" si="3"/>
        <v>llll</v>
      </c>
      <c r="W13" s="95">
        <f>IF(AND(Include_study?="Yes",Sufficient_data="Yes"),((E:E-I$29)*SQRT(Calculations!FU:FU))/SQRT(1-Calculations!FU:FU/SUM(Calculations!FU:FU)),"")</f>
        <v>0.19569356811132263</v>
      </c>
      <c r="AE13" s="176"/>
      <c r="AG13" s="130" t="str">
        <f t="shared" si="4"/>
        <v>llll</v>
      </c>
      <c r="AH13" s="39">
        <f t="shared" si="5"/>
        <v>0.1</v>
      </c>
      <c r="AI13" s="74">
        <f t="shared" si="6"/>
        <v>0.16</v>
      </c>
      <c r="AR13" s="176"/>
      <c r="AT13" s="130" t="str">
        <f t="shared" si="7"/>
        <v>llll</v>
      </c>
      <c r="AU13" s="39">
        <f t="shared" si="8"/>
        <v>1.6417025204876192</v>
      </c>
      <c r="AV13" s="74">
        <f t="shared" si="9"/>
        <v>0.88487191378685892</v>
      </c>
      <c r="BC13" s="176"/>
      <c r="BE13" s="130" t="str">
        <f t="shared" si="10"/>
        <v>llll</v>
      </c>
      <c r="BF13" s="39">
        <f>IF(AND(Include_study?="Yes",Sufficient_data="Yes"),NORMSINV(Calculations!IW13),"")</f>
        <v>-0.30974253153853021</v>
      </c>
      <c r="BG13" s="74">
        <f t="shared" si="11"/>
        <v>0.88487191378685892</v>
      </c>
      <c r="BP13" s="176"/>
      <c r="BR13" s="55" t="s">
        <v>191</v>
      </c>
      <c r="BS13" s="5">
        <v>-0.69</v>
      </c>
      <c r="BT13" s="176"/>
    </row>
    <row r="14" spans="1:72" x14ac:dyDescent="0.2">
      <c r="A14" s="178" t="s">
        <v>297</v>
      </c>
      <c r="B14" s="178"/>
      <c r="D14" s="84" t="str">
        <f t="shared" si="0"/>
        <v/>
      </c>
      <c r="E14" s="132" t="str">
        <f t="shared" si="1"/>
        <v/>
      </c>
      <c r="F14" s="39" t="str">
        <f t="shared" si="2"/>
        <v/>
      </c>
      <c r="M14" s="176"/>
      <c r="O14"/>
      <c r="P14"/>
      <c r="Q14"/>
      <c r="R14"/>
      <c r="T14" s="176"/>
      <c r="V14" s="130" t="str">
        <f t="shared" si="3"/>
        <v/>
      </c>
      <c r="W14" s="95" t="str">
        <f>IF(AND(Include_study?="Yes",Sufficient_data="Yes"),((E:E-I$29)*SQRT(Calculations!FU:FU))/SQRT(1-Calculations!FU:FU/SUM(Calculations!FU:FU)),"")</f>
        <v/>
      </c>
      <c r="AE14" s="176"/>
      <c r="AG14" s="130" t="str">
        <f t="shared" si="4"/>
        <v/>
      </c>
      <c r="AH14" s="39" t="str">
        <f t="shared" si="5"/>
        <v/>
      </c>
      <c r="AI14" s="74" t="str">
        <f t="shared" si="6"/>
        <v/>
      </c>
      <c r="AR14" s="176"/>
      <c r="AT14" s="130" t="str">
        <f t="shared" si="7"/>
        <v/>
      </c>
      <c r="AU14" s="39" t="str">
        <f t="shared" si="8"/>
        <v/>
      </c>
      <c r="AV14" s="74" t="str">
        <f t="shared" si="9"/>
        <v/>
      </c>
      <c r="BC14" s="176"/>
      <c r="BE14" s="130" t="str">
        <f t="shared" si="10"/>
        <v/>
      </c>
      <c r="BF14" s="39" t="str">
        <f>IF(AND(Include_study?="Yes",Sufficient_data="Yes"),NORMSINV(Calculations!IW14),"")</f>
        <v/>
      </c>
      <c r="BG14" s="74" t="str">
        <f t="shared" si="11"/>
        <v/>
      </c>
      <c r="BP14" s="176"/>
      <c r="BR14" s="55" t="s">
        <v>328</v>
      </c>
      <c r="BS14" s="8">
        <f>MAX(0,ROUNDUP(k_*(BS11-BS12)/(BS12-BS13),0))</f>
        <v>8</v>
      </c>
      <c r="BT14" s="176"/>
    </row>
    <row r="15" spans="1:72" x14ac:dyDescent="0.2">
      <c r="A15" s="180" t="str">
        <f>IF(Additional_weighting_method="Peto","Log Peto Odds Ratio","Log Odds Ratio")</f>
        <v>Log Odds Ratio</v>
      </c>
      <c r="B15" s="180"/>
      <c r="D15" s="84" t="str">
        <f t="shared" si="0"/>
        <v/>
      </c>
      <c r="E15" s="132" t="str">
        <f t="shared" si="1"/>
        <v/>
      </c>
      <c r="F15" s="39" t="str">
        <f t="shared" si="2"/>
        <v/>
      </c>
      <c r="M15" s="176"/>
      <c r="O15"/>
      <c r="P15"/>
      <c r="Q15"/>
      <c r="R15"/>
      <c r="T15" s="176"/>
      <c r="V15" s="130" t="str">
        <f t="shared" si="3"/>
        <v/>
      </c>
      <c r="W15" s="95" t="str">
        <f>IF(AND(Include_study?="Yes",Sufficient_data="Yes"),((E:E-I$29)*SQRT(Calculations!FU:FU))/SQRT(1-Calculations!FU:FU/SUM(Calculations!FU:FU)),"")</f>
        <v/>
      </c>
      <c r="AE15" s="176"/>
      <c r="AG15" s="130" t="str">
        <f t="shared" si="4"/>
        <v/>
      </c>
      <c r="AH15" s="39" t="str">
        <f t="shared" si="5"/>
        <v/>
      </c>
      <c r="AI15" s="74" t="str">
        <f t="shared" si="6"/>
        <v/>
      </c>
      <c r="AR15" s="176"/>
      <c r="AT15" s="130" t="str">
        <f t="shared" si="7"/>
        <v/>
      </c>
      <c r="AU15" s="39" t="str">
        <f t="shared" si="8"/>
        <v/>
      </c>
      <c r="AV15" s="74" t="str">
        <f t="shared" si="9"/>
        <v/>
      </c>
      <c r="BC15" s="176"/>
      <c r="BE15" s="130" t="str">
        <f t="shared" si="10"/>
        <v/>
      </c>
      <c r="BF15" s="39" t="str">
        <f>IF(AND(Include_study?="Yes",Sufficient_data="Yes"),NORMSINV(Calculations!IW15),"")</f>
        <v/>
      </c>
      <c r="BG15" s="74" t="str">
        <f t="shared" si="11"/>
        <v/>
      </c>
      <c r="BP15" s="176"/>
      <c r="BR15" s="45"/>
      <c r="BS15" s="45"/>
      <c r="BT15" s="176"/>
    </row>
    <row r="16" spans="1:72" x14ac:dyDescent="0.2">
      <c r="A16" s="181" t="str">
        <f>IF(Additional_weighting_method="Inverse variance","Log Risk Ratio","")</f>
        <v>Log Risk Ratio</v>
      </c>
      <c r="B16" s="181"/>
      <c r="D16" s="84" t="str">
        <f t="shared" si="0"/>
        <v/>
      </c>
      <c r="E16" s="132" t="str">
        <f t="shared" si="1"/>
        <v/>
      </c>
      <c r="F16" s="39" t="str">
        <f t="shared" si="2"/>
        <v/>
      </c>
      <c r="M16" s="176"/>
      <c r="O16"/>
      <c r="P16"/>
      <c r="Q16"/>
      <c r="R16"/>
      <c r="T16" s="176"/>
      <c r="V16" s="130" t="str">
        <f t="shared" si="3"/>
        <v/>
      </c>
      <c r="W16" s="95" t="str">
        <f>IF(AND(Include_study?="Yes",Sufficient_data="Yes"),((E:E-I$29)*SQRT(Calculations!FU:FU))/SQRT(1-Calculations!FU:FU/SUM(Calculations!FU:FU)),"")</f>
        <v/>
      </c>
      <c r="AE16" s="176"/>
      <c r="AG16" s="130" t="str">
        <f t="shared" si="4"/>
        <v/>
      </c>
      <c r="AH16" s="39" t="str">
        <f t="shared" si="5"/>
        <v/>
      </c>
      <c r="AI16" s="74" t="str">
        <f t="shared" si="6"/>
        <v/>
      </c>
      <c r="AR16" s="176"/>
      <c r="AT16" s="130" t="str">
        <f t="shared" si="7"/>
        <v/>
      </c>
      <c r="AU16" s="39" t="str">
        <f t="shared" si="8"/>
        <v/>
      </c>
      <c r="AV16" s="74" t="str">
        <f t="shared" si="9"/>
        <v/>
      </c>
      <c r="BC16" s="176"/>
      <c r="BE16" s="130" t="str">
        <f t="shared" si="10"/>
        <v/>
      </c>
      <c r="BF16" s="39" t="str">
        <f>IF(AND(Include_study?="Yes",Sufficient_data="Yes"),NORMSINV(Calculations!IW16),"")</f>
        <v/>
      </c>
      <c r="BG16" s="74" t="str">
        <f t="shared" si="11"/>
        <v/>
      </c>
      <c r="BP16" s="176"/>
      <c r="BR16" s="178" t="s">
        <v>241</v>
      </c>
      <c r="BS16" s="178"/>
      <c r="BT16" s="176"/>
    </row>
    <row r="17" spans="1:72" x14ac:dyDescent="0.2">
      <c r="A17" s="181" t="str">
        <f>IF(Additional_weighting_method="Inverse Variance","Risk Difference","")</f>
        <v>Risk Difference</v>
      </c>
      <c r="B17" s="181"/>
      <c r="D17" s="84" t="str">
        <f t="shared" si="0"/>
        <v/>
      </c>
      <c r="E17" s="132" t="str">
        <f t="shared" si="1"/>
        <v/>
      </c>
      <c r="F17" s="39" t="str">
        <f t="shared" si="2"/>
        <v/>
      </c>
      <c r="M17" s="176"/>
      <c r="O17"/>
      <c r="P17"/>
      <c r="Q17"/>
      <c r="R17"/>
      <c r="T17" s="176"/>
      <c r="V17" s="130" t="str">
        <f t="shared" si="3"/>
        <v/>
      </c>
      <c r="W17" s="95" t="str">
        <f>IF(AND(Include_study?="Yes",Sufficient_data="Yes"),((E:E-I$29)*SQRT(Calculations!FU:FU))/SQRT(1-Calculations!FU:FU/SUM(Calculations!FU:FU)),"")</f>
        <v/>
      </c>
      <c r="AE17" s="176"/>
      <c r="AG17" s="130" t="str">
        <f t="shared" si="4"/>
        <v/>
      </c>
      <c r="AH17" s="39" t="str">
        <f t="shared" si="5"/>
        <v/>
      </c>
      <c r="AI17" s="74" t="str">
        <f t="shared" si="6"/>
        <v/>
      </c>
      <c r="AR17" s="176"/>
      <c r="AT17" s="130" t="str">
        <f t="shared" si="7"/>
        <v/>
      </c>
      <c r="AU17" s="39" t="str">
        <f t="shared" si="8"/>
        <v/>
      </c>
      <c r="AV17" s="74" t="str">
        <f t="shared" si="9"/>
        <v/>
      </c>
      <c r="BC17" s="176"/>
      <c r="BE17" s="130" t="str">
        <f t="shared" si="10"/>
        <v/>
      </c>
      <c r="BF17" s="39" t="str">
        <f>IF(AND(Include_study?="Yes",Sufficient_data="Yes"),NORMSINV(Calculations!IW17),"")</f>
        <v/>
      </c>
      <c r="BG17" s="74" t="str">
        <f t="shared" si="11"/>
        <v/>
      </c>
      <c r="BP17" s="176"/>
      <c r="BR17" s="3" t="s">
        <v>328</v>
      </c>
      <c r="BS17" s="8">
        <f>MAX(0,ROUNDUP(-2*SUM(Calculations!JJ:JJ),0))</f>
        <v>56</v>
      </c>
      <c r="BT17" s="176"/>
    </row>
    <row r="18" spans="1:72" ht="13.5" x14ac:dyDescent="0.25">
      <c r="D18" s="84" t="str">
        <f t="shared" si="0"/>
        <v/>
      </c>
      <c r="E18" s="132" t="str">
        <f t="shared" si="1"/>
        <v/>
      </c>
      <c r="F18" s="39" t="str">
        <f t="shared" si="2"/>
        <v/>
      </c>
      <c r="M18" s="176"/>
      <c r="O18"/>
      <c r="P18"/>
      <c r="Q18"/>
      <c r="R18"/>
      <c r="T18" s="176"/>
      <c r="V18" s="130" t="str">
        <f t="shared" si="3"/>
        <v/>
      </c>
      <c r="W18" s="95" t="str">
        <f>IF(AND(Include_study?="Yes",Sufficient_data="Yes"),((E:E-I$29)*SQRT(Calculations!FU:FU))/SQRT(1-Calculations!FU:FU/SUM(Calculations!FU:FU)),"")</f>
        <v/>
      </c>
      <c r="AE18" s="176"/>
      <c r="AG18" s="130" t="str">
        <f t="shared" si="4"/>
        <v/>
      </c>
      <c r="AH18" s="39" t="str">
        <f t="shared" si="5"/>
        <v/>
      </c>
      <c r="AI18" s="74" t="str">
        <f t="shared" si="6"/>
        <v/>
      </c>
      <c r="AR18" s="176"/>
      <c r="AT18" s="130" t="str">
        <f t="shared" si="7"/>
        <v/>
      </c>
      <c r="AU18" s="39" t="str">
        <f t="shared" si="8"/>
        <v/>
      </c>
      <c r="AV18" s="74" t="str">
        <f t="shared" si="9"/>
        <v/>
      </c>
      <c r="BC18" s="176"/>
      <c r="BE18" s="130" t="str">
        <f t="shared" si="10"/>
        <v/>
      </c>
      <c r="BF18" s="39" t="str">
        <f>IF(AND(Include_study?="Yes",Sufficient_data="Yes"),NORMSINV(Calculations!IW18),"")</f>
        <v/>
      </c>
      <c r="BG18" s="74" t="str">
        <f t="shared" si="11"/>
        <v/>
      </c>
      <c r="BP18" s="176"/>
      <c r="BR18" s="3" t="s">
        <v>192</v>
      </c>
      <c r="BS18" s="38">
        <f>CHIDIST(BS17,k_*2)</f>
        <v>2.2916730593989883E-4</v>
      </c>
      <c r="BT18" s="176"/>
    </row>
    <row r="19" spans="1:72" x14ac:dyDescent="0.2">
      <c r="D19" s="84" t="str">
        <f t="shared" si="0"/>
        <v/>
      </c>
      <c r="E19" s="132" t="str">
        <f t="shared" si="1"/>
        <v/>
      </c>
      <c r="F19" s="39" t="str">
        <f t="shared" si="2"/>
        <v/>
      </c>
      <c r="M19" s="176"/>
      <c r="O19"/>
      <c r="P19"/>
      <c r="Q19"/>
      <c r="R19"/>
      <c r="T19" s="176"/>
      <c r="V19" s="130" t="str">
        <f t="shared" si="3"/>
        <v/>
      </c>
      <c r="W19" s="95" t="str">
        <f>IF(AND(Include_study?="Yes",Sufficient_data="Yes"),((E:E-I$29)*SQRT(Calculations!FU:FU))/SQRT(1-Calculations!FU:FU/SUM(Calculations!FU:FU)),"")</f>
        <v/>
      </c>
      <c r="AE19" s="176"/>
      <c r="AG19" s="130" t="str">
        <f t="shared" si="4"/>
        <v/>
      </c>
      <c r="AH19" s="39" t="str">
        <f t="shared" si="5"/>
        <v/>
      </c>
      <c r="AI19" s="74" t="str">
        <f t="shared" si="6"/>
        <v/>
      </c>
      <c r="AR19" s="176"/>
      <c r="AT19" s="130" t="str">
        <f t="shared" si="7"/>
        <v/>
      </c>
      <c r="AU19" s="39" t="str">
        <f t="shared" si="8"/>
        <v/>
      </c>
      <c r="AV19" s="74" t="str">
        <f t="shared" si="9"/>
        <v/>
      </c>
      <c r="BC19" s="176"/>
      <c r="BE19" s="130" t="str">
        <f t="shared" si="10"/>
        <v/>
      </c>
      <c r="BF19" s="39" t="str">
        <f>IF(AND(Include_study?="Yes",Sufficient_data="Yes"),NORMSINV(Calculations!IW19),"")</f>
        <v/>
      </c>
      <c r="BG19" s="74" t="str">
        <f t="shared" si="11"/>
        <v/>
      </c>
      <c r="BP19" s="176"/>
      <c r="BT19" s="176"/>
    </row>
    <row r="20" spans="1:72" x14ac:dyDescent="0.2">
      <c r="D20" s="84" t="str">
        <f t="shared" si="0"/>
        <v/>
      </c>
      <c r="E20" s="132" t="str">
        <f t="shared" si="1"/>
        <v/>
      </c>
      <c r="F20" s="39" t="str">
        <f t="shared" si="2"/>
        <v/>
      </c>
      <c r="M20" s="176"/>
      <c r="O20"/>
      <c r="P20"/>
      <c r="T20" s="176"/>
      <c r="V20" s="130" t="str">
        <f t="shared" si="3"/>
        <v/>
      </c>
      <c r="W20" s="95" t="str">
        <f>IF(AND(Include_study?="Yes",Sufficient_data="Yes"),((E:E-I$29)*SQRT(Calculations!FU:FU))/SQRT(1-Calculations!FU:FU/SUM(Calculations!FU:FU)),"")</f>
        <v/>
      </c>
      <c r="AE20" s="176"/>
      <c r="AG20" s="130" t="str">
        <f t="shared" si="4"/>
        <v/>
      </c>
      <c r="AH20" s="39" t="str">
        <f t="shared" si="5"/>
        <v/>
      </c>
      <c r="AI20" s="74" t="str">
        <f t="shared" si="6"/>
        <v/>
      </c>
      <c r="AR20" s="176"/>
      <c r="AT20" s="130" t="str">
        <f t="shared" si="7"/>
        <v/>
      </c>
      <c r="AU20" s="39" t="str">
        <f t="shared" si="8"/>
        <v/>
      </c>
      <c r="AV20" s="74" t="str">
        <f t="shared" si="9"/>
        <v/>
      </c>
      <c r="BC20" s="176"/>
      <c r="BE20" s="130" t="str">
        <f t="shared" si="10"/>
        <v/>
      </c>
      <c r="BF20" s="39" t="str">
        <f>IF(AND(Include_study?="Yes",Sufficient_data="Yes"),NORMSINV(Calculations!IW20),"")</f>
        <v/>
      </c>
      <c r="BG20" s="74" t="str">
        <f t="shared" si="11"/>
        <v/>
      </c>
      <c r="BP20" s="176"/>
      <c r="BT20" s="176"/>
    </row>
    <row r="21" spans="1:72" x14ac:dyDescent="0.2">
      <c r="D21" s="84" t="str">
        <f t="shared" si="0"/>
        <v/>
      </c>
      <c r="E21" s="132" t="str">
        <f t="shared" si="1"/>
        <v/>
      </c>
      <c r="F21" s="39" t="str">
        <f t="shared" si="2"/>
        <v/>
      </c>
      <c r="M21" s="176"/>
      <c r="O21"/>
      <c r="P21"/>
      <c r="T21" s="176"/>
      <c r="V21" s="130" t="str">
        <f t="shared" si="3"/>
        <v/>
      </c>
      <c r="W21" s="95" t="str">
        <f>IF(AND(Include_study?="Yes",Sufficient_data="Yes"),((E:E-I$29)*SQRT(Calculations!FU:FU))/SQRT(1-Calculations!FU:FU/SUM(Calculations!FU:FU)),"")</f>
        <v/>
      </c>
      <c r="AE21" s="176"/>
      <c r="AG21" s="130" t="str">
        <f t="shared" si="4"/>
        <v/>
      </c>
      <c r="AH21" s="39" t="str">
        <f t="shared" si="5"/>
        <v/>
      </c>
      <c r="AI21" s="74" t="str">
        <f t="shared" si="6"/>
        <v/>
      </c>
      <c r="AR21" s="176"/>
      <c r="AT21" s="130" t="str">
        <f t="shared" si="7"/>
        <v/>
      </c>
      <c r="AU21" s="39" t="str">
        <f t="shared" si="8"/>
        <v/>
      </c>
      <c r="AV21" s="74" t="str">
        <f t="shared" si="9"/>
        <v/>
      </c>
      <c r="BC21" s="176"/>
      <c r="BE21" s="130" t="str">
        <f t="shared" si="10"/>
        <v/>
      </c>
      <c r="BF21" s="39" t="str">
        <f>IF(AND(Include_study?="Yes",Sufficient_data="Yes"),NORMSINV(Calculations!IW21),"")</f>
        <v/>
      </c>
      <c r="BG21" s="74" t="str">
        <f t="shared" si="11"/>
        <v/>
      </c>
      <c r="BP21" s="176"/>
      <c r="BT21" s="176"/>
    </row>
    <row r="22" spans="1:72" x14ac:dyDescent="0.2">
      <c r="D22" s="84" t="str">
        <f t="shared" si="0"/>
        <v/>
      </c>
      <c r="E22" s="132" t="str">
        <f t="shared" si="1"/>
        <v/>
      </c>
      <c r="F22" s="39" t="str">
        <f t="shared" si="2"/>
        <v/>
      </c>
      <c r="M22" s="176"/>
      <c r="O22"/>
      <c r="P22"/>
      <c r="T22" s="176"/>
      <c r="V22" s="130" t="str">
        <f t="shared" si="3"/>
        <v/>
      </c>
      <c r="W22" s="95" t="str">
        <f>IF(AND(Include_study?="Yes",Sufficient_data="Yes"),((E:E-I$29)*SQRT(Calculations!FU:FU))/SQRT(1-Calculations!FU:FU/SUM(Calculations!FU:FU)),"")</f>
        <v/>
      </c>
      <c r="AE22" s="176"/>
      <c r="AG22" s="130" t="str">
        <f t="shared" si="4"/>
        <v/>
      </c>
      <c r="AH22" s="39" t="str">
        <f t="shared" si="5"/>
        <v/>
      </c>
      <c r="AI22" s="74" t="str">
        <f t="shared" si="6"/>
        <v/>
      </c>
      <c r="AR22" s="176"/>
      <c r="AT22" s="130" t="str">
        <f t="shared" si="7"/>
        <v/>
      </c>
      <c r="AU22" s="39" t="str">
        <f t="shared" si="8"/>
        <v/>
      </c>
      <c r="AV22" s="74" t="str">
        <f t="shared" si="9"/>
        <v/>
      </c>
      <c r="BC22" s="176"/>
      <c r="BE22" s="130" t="str">
        <f t="shared" si="10"/>
        <v/>
      </c>
      <c r="BF22" s="39" t="str">
        <f>IF(AND(Include_study?="Yes",Sufficient_data="Yes"),NORMSINV(Calculations!IW22),"")</f>
        <v/>
      </c>
      <c r="BG22" s="74" t="str">
        <f t="shared" si="11"/>
        <v/>
      </c>
      <c r="BP22" s="176"/>
      <c r="BT22" s="176"/>
    </row>
    <row r="23" spans="1:72" x14ac:dyDescent="0.2">
      <c r="D23" s="84" t="str">
        <f t="shared" si="0"/>
        <v/>
      </c>
      <c r="E23" s="132" t="str">
        <f t="shared" si="1"/>
        <v/>
      </c>
      <c r="F23" s="39" t="str">
        <f t="shared" si="2"/>
        <v/>
      </c>
      <c r="M23" s="176"/>
      <c r="T23" s="176"/>
      <c r="V23" s="130" t="str">
        <f t="shared" si="3"/>
        <v/>
      </c>
      <c r="W23" s="95" t="str">
        <f>IF(AND(Include_study?="Yes",Sufficient_data="Yes"),((E:E-I$29)*SQRT(Calculations!FU:FU))/SQRT(1-Calculations!FU:FU/SUM(Calculations!FU:FU)),"")</f>
        <v/>
      </c>
      <c r="AE23" s="176"/>
      <c r="AG23" s="130" t="str">
        <f t="shared" si="4"/>
        <v/>
      </c>
      <c r="AH23" s="39" t="str">
        <f t="shared" si="5"/>
        <v/>
      </c>
      <c r="AI23" s="74" t="str">
        <f t="shared" si="6"/>
        <v/>
      </c>
      <c r="AR23" s="176"/>
      <c r="AT23" s="130" t="str">
        <f t="shared" si="7"/>
        <v/>
      </c>
      <c r="AU23" s="39" t="str">
        <f t="shared" si="8"/>
        <v/>
      </c>
      <c r="AV23" s="74" t="str">
        <f t="shared" si="9"/>
        <v/>
      </c>
      <c r="BC23" s="176"/>
      <c r="BE23" s="130" t="str">
        <f t="shared" si="10"/>
        <v/>
      </c>
      <c r="BF23" s="39" t="str">
        <f>IF(AND(Include_study?="Yes",Sufficient_data="Yes"),NORMSINV(Calculations!IW23),"")</f>
        <v/>
      </c>
      <c r="BG23" s="74" t="str">
        <f t="shared" si="11"/>
        <v/>
      </c>
      <c r="BP23" s="176"/>
      <c r="BT23" s="176"/>
    </row>
    <row r="24" spans="1:72" x14ac:dyDescent="0.2">
      <c r="D24" s="84" t="str">
        <f t="shared" si="0"/>
        <v/>
      </c>
      <c r="E24" s="132" t="str">
        <f t="shared" si="1"/>
        <v/>
      </c>
      <c r="F24" s="39" t="str">
        <f t="shared" si="2"/>
        <v/>
      </c>
      <c r="M24" s="176"/>
      <c r="T24" s="176"/>
      <c r="V24" s="130" t="str">
        <f t="shared" si="3"/>
        <v/>
      </c>
      <c r="W24" s="95" t="str">
        <f>IF(AND(Include_study?="Yes",Sufficient_data="Yes"),((E:E-I$29)*SQRT(Calculations!FU:FU))/SQRT(1-Calculations!FU:FU/SUM(Calculations!FU:FU)),"")</f>
        <v/>
      </c>
      <c r="Y24" s="34"/>
      <c r="Z24" s="34"/>
      <c r="AA24" s="34"/>
      <c r="AB24" s="34"/>
      <c r="AC24" s="34"/>
      <c r="AD24" s="34"/>
      <c r="AE24" s="176"/>
      <c r="AG24" s="130" t="str">
        <f t="shared" si="4"/>
        <v/>
      </c>
      <c r="AH24" s="39" t="str">
        <f t="shared" si="5"/>
        <v/>
      </c>
      <c r="AI24" s="74" t="str">
        <f t="shared" si="6"/>
        <v/>
      </c>
      <c r="AR24" s="176"/>
      <c r="AT24" s="130" t="str">
        <f t="shared" si="7"/>
        <v/>
      </c>
      <c r="AU24" s="39" t="str">
        <f t="shared" si="8"/>
        <v/>
      </c>
      <c r="AV24" s="74" t="str">
        <f t="shared" si="9"/>
        <v/>
      </c>
      <c r="BC24" s="176"/>
      <c r="BE24" s="130" t="str">
        <f t="shared" si="10"/>
        <v/>
      </c>
      <c r="BF24" s="39" t="str">
        <f>IF(AND(Include_study?="Yes",Sufficient_data="Yes"),NORMSINV(Calculations!IW24),"")</f>
        <v/>
      </c>
      <c r="BG24" s="74" t="str">
        <f t="shared" si="11"/>
        <v/>
      </c>
      <c r="BP24" s="176"/>
      <c r="BT24" s="176"/>
    </row>
    <row r="25" spans="1:72" x14ac:dyDescent="0.2">
      <c r="D25" s="84" t="str">
        <f t="shared" si="0"/>
        <v/>
      </c>
      <c r="E25" s="132" t="str">
        <f t="shared" si="1"/>
        <v/>
      </c>
      <c r="F25" s="39" t="str">
        <f t="shared" si="2"/>
        <v/>
      </c>
      <c r="M25" s="176"/>
      <c r="T25" s="176"/>
      <c r="V25" s="130" t="str">
        <f t="shared" si="3"/>
        <v/>
      </c>
      <c r="W25" s="95" t="str">
        <f>IF(AND(Include_study?="Yes",Sufficient_data="Yes"),((E:E-I$29)*SQRT(Calculations!FU:FU))/SQRT(1-Calculations!FU:FU/SUM(Calculations!FU:FU)),"")</f>
        <v/>
      </c>
      <c r="Y25" s="35"/>
      <c r="AE25" s="176"/>
      <c r="AG25" s="130" t="str">
        <f t="shared" si="4"/>
        <v/>
      </c>
      <c r="AH25" s="39" t="str">
        <f t="shared" si="5"/>
        <v/>
      </c>
      <c r="AI25" s="74" t="str">
        <f t="shared" si="6"/>
        <v/>
      </c>
      <c r="AR25" s="176"/>
      <c r="AT25" s="130" t="str">
        <f t="shared" si="7"/>
        <v/>
      </c>
      <c r="AU25" s="39" t="str">
        <f t="shared" si="8"/>
        <v/>
      </c>
      <c r="AV25" s="74" t="str">
        <f t="shared" si="9"/>
        <v/>
      </c>
      <c r="BC25" s="176"/>
      <c r="BE25" s="130" t="str">
        <f t="shared" si="10"/>
        <v/>
      </c>
      <c r="BF25" s="39" t="str">
        <f>IF(AND(Include_study?="Yes",Sufficient_data="Yes"),NORMSINV(Calculations!IW25),"")</f>
        <v/>
      </c>
      <c r="BG25" s="74" t="str">
        <f t="shared" si="11"/>
        <v/>
      </c>
      <c r="BP25" s="176"/>
      <c r="BT25" s="176"/>
    </row>
    <row r="26" spans="1:72" x14ac:dyDescent="0.2">
      <c r="D26" s="84" t="str">
        <f t="shared" si="0"/>
        <v/>
      </c>
      <c r="E26" s="132" t="str">
        <f t="shared" si="1"/>
        <v/>
      </c>
      <c r="F26" s="39" t="str">
        <f t="shared" si="2"/>
        <v/>
      </c>
      <c r="M26" s="176"/>
      <c r="T26" s="176"/>
      <c r="V26" s="130" t="str">
        <f t="shared" si="3"/>
        <v/>
      </c>
      <c r="W26" s="95" t="str">
        <f>IF(AND(Include_study?="Yes",Sufficient_data="Yes"),((E:E-I$29)*SQRT(Calculations!FU:FU))/SQRT(1-Calculations!FU:FU/SUM(Calculations!FU:FU)),"")</f>
        <v/>
      </c>
      <c r="Y26" s="35"/>
      <c r="AE26" s="176"/>
      <c r="AG26" s="130" t="str">
        <f t="shared" si="4"/>
        <v/>
      </c>
      <c r="AH26" s="39" t="str">
        <f t="shared" si="5"/>
        <v/>
      </c>
      <c r="AI26" s="74" t="str">
        <f t="shared" si="6"/>
        <v/>
      </c>
      <c r="AR26" s="176"/>
      <c r="AT26" s="130" t="str">
        <f t="shared" si="7"/>
        <v/>
      </c>
      <c r="AU26" s="39" t="str">
        <f t="shared" si="8"/>
        <v/>
      </c>
      <c r="AV26" s="74" t="str">
        <f t="shared" si="9"/>
        <v/>
      </c>
      <c r="BC26" s="176"/>
      <c r="BE26" s="130" t="str">
        <f t="shared" si="10"/>
        <v/>
      </c>
      <c r="BF26" s="39" t="str">
        <f>IF(AND(Include_study?="Yes",Sufficient_data="Yes"),NORMSINV(Calculations!IW26),"")</f>
        <v/>
      </c>
      <c r="BG26" s="74" t="str">
        <f t="shared" si="11"/>
        <v/>
      </c>
      <c r="BP26" s="176"/>
      <c r="BT26" s="176"/>
    </row>
    <row r="27" spans="1:72" x14ac:dyDescent="0.2">
      <c r="D27" s="84" t="str">
        <f t="shared" si="0"/>
        <v/>
      </c>
      <c r="E27" s="132" t="str">
        <f t="shared" si="1"/>
        <v/>
      </c>
      <c r="F27" s="39" t="str">
        <f t="shared" si="2"/>
        <v/>
      </c>
      <c r="M27" s="176"/>
      <c r="T27" s="176"/>
      <c r="V27" s="130" t="str">
        <f t="shared" si="3"/>
        <v/>
      </c>
      <c r="W27" s="95" t="str">
        <f>IF(AND(Include_study?="Yes",Sufficient_data="Yes"),((E:E-I$29)*SQRT(Calculations!FU:FU))/SQRT(1-Calculations!FU:FU/SUM(Calculations!FU:FU)),"")</f>
        <v/>
      </c>
      <c r="Y27" s="35"/>
      <c r="AE27" s="176"/>
      <c r="AG27" s="130" t="str">
        <f t="shared" si="4"/>
        <v/>
      </c>
      <c r="AH27" s="39" t="str">
        <f t="shared" si="5"/>
        <v/>
      </c>
      <c r="AI27" s="74" t="str">
        <f t="shared" si="6"/>
        <v/>
      </c>
      <c r="AR27" s="176"/>
      <c r="AT27" s="130" t="str">
        <f t="shared" si="7"/>
        <v/>
      </c>
      <c r="AU27" s="39" t="str">
        <f t="shared" si="8"/>
        <v/>
      </c>
      <c r="AV27" s="74" t="str">
        <f t="shared" si="9"/>
        <v/>
      </c>
      <c r="BC27" s="176"/>
      <c r="BE27" s="130" t="str">
        <f t="shared" si="10"/>
        <v/>
      </c>
      <c r="BF27" s="39" t="str">
        <f>IF(AND(Include_study?="Yes",Sufficient_data="Yes"),NORMSINV(Calculations!IW27),"")</f>
        <v/>
      </c>
      <c r="BG27" s="74" t="str">
        <f t="shared" si="11"/>
        <v/>
      </c>
      <c r="BP27" s="176"/>
      <c r="BT27" s="176"/>
    </row>
    <row r="28" spans="1:72" ht="12" customHeight="1" x14ac:dyDescent="0.2">
      <c r="A28" s="160"/>
      <c r="B28" s="160"/>
      <c r="D28" s="84" t="str">
        <f t="shared" si="0"/>
        <v/>
      </c>
      <c r="E28" s="132" t="str">
        <f t="shared" si="1"/>
        <v/>
      </c>
      <c r="F28" s="39" t="str">
        <f t="shared" si="2"/>
        <v/>
      </c>
      <c r="H28" s="1" t="s">
        <v>17</v>
      </c>
      <c r="I28" s="157" t="s">
        <v>195</v>
      </c>
      <c r="K28" s="178" t="s">
        <v>5</v>
      </c>
      <c r="L28" s="178"/>
      <c r="M28" s="176"/>
      <c r="T28" s="176"/>
      <c r="V28" s="130" t="str">
        <f t="shared" si="3"/>
        <v/>
      </c>
      <c r="W28" s="95" t="str">
        <f>IF(AND(Include_study?="Yes",Sufficient_data="Yes"),((E:E-I$29)*SQRT(Calculations!FU:FU))/SQRT(1-Calculations!FU:FU/SUM(Calculations!FU:FU)),"")</f>
        <v/>
      </c>
      <c r="Y28"/>
      <c r="Z28"/>
      <c r="AE28" s="176"/>
      <c r="AG28" s="130" t="str">
        <f t="shared" si="4"/>
        <v/>
      </c>
      <c r="AH28" s="39" t="str">
        <f t="shared" si="5"/>
        <v/>
      </c>
      <c r="AI28" s="74" t="str">
        <f t="shared" si="6"/>
        <v/>
      </c>
      <c r="AR28" s="176"/>
      <c r="AT28" s="130" t="str">
        <f t="shared" si="7"/>
        <v/>
      </c>
      <c r="AU28" s="39" t="str">
        <f t="shared" si="8"/>
        <v/>
      </c>
      <c r="AV28" s="74" t="str">
        <f t="shared" si="9"/>
        <v/>
      </c>
      <c r="AX28" s="193" t="s">
        <v>143</v>
      </c>
      <c r="AY28" s="193"/>
      <c r="AZ28" s="193"/>
      <c r="BA28" s="193"/>
      <c r="BB28" s="194"/>
      <c r="BC28" s="176"/>
      <c r="BE28" s="130" t="str">
        <f t="shared" si="10"/>
        <v/>
      </c>
      <c r="BF28" s="39" t="str">
        <f>IF(AND(Include_study?="Yes",Sufficient_data="Yes"),NORMSINV(Calculations!IW28),"")</f>
        <v/>
      </c>
      <c r="BG28" s="74" t="str">
        <f t="shared" si="11"/>
        <v/>
      </c>
      <c r="BI28" s="193" t="s">
        <v>143</v>
      </c>
      <c r="BJ28" s="193"/>
      <c r="BK28" s="193"/>
      <c r="BL28" s="193"/>
      <c r="BM28" s="193"/>
      <c r="BP28" s="176"/>
      <c r="BT28" s="176"/>
    </row>
    <row r="29" spans="1:72" x14ac:dyDescent="0.2">
      <c r="D29" s="84" t="str">
        <f t="shared" si="0"/>
        <v/>
      </c>
      <c r="E29" s="132" t="str">
        <f t="shared" si="1"/>
        <v/>
      </c>
      <c r="F29" s="39" t="str">
        <f t="shared" si="2"/>
        <v/>
      </c>
      <c r="H29" s="46" t="str">
        <f>Additional_effect_size_measure</f>
        <v>Log Odds Ratio</v>
      </c>
      <c r="I29" s="29">
        <f>IF(Additional_valid_options="Yes",SUMPRODUCT(Calculations!FU:FU,E:E)/SUM(Calculations!FU:FU),NA())</f>
        <v>0.42293852998149922</v>
      </c>
      <c r="K29" s="46" t="s">
        <v>6</v>
      </c>
      <c r="L29" s="4">
        <f>IF(Additional_valid_options="Yes",(SUMPRODUCT(Calculations!FT:FT,E:E,E:E)+SUMPRODUCT(Calculations!HC:HC,Calculations!HA:HA,Calculations!HA:HA))-(SUMPRODUCT(Calculations!FT:FT,'Publication Bias Analysis'!E:E)^2+SUMPRODUCT(Calculations!HC:HC,Calculations!HA:HA)^2)/(SUM(Calculations!FT:FT)+SUM(Calculations!HC:HC)),NA())</f>
        <v>12.273195457938824</v>
      </c>
      <c r="M29" s="176"/>
      <c r="T29" s="176"/>
      <c r="V29" s="130" t="str">
        <f t="shared" si="3"/>
        <v/>
      </c>
      <c r="W29" s="95" t="str">
        <f>IF(AND(Include_study?="Yes",Sufficient_data="Yes"),((E:E-I$29)*SQRT(Calculations!FU:FU))/SQRT(1-Calculations!FU:FU/SUM(Calculations!FU:FU)),"")</f>
        <v/>
      </c>
      <c r="Y29" s="1" t="s">
        <v>342</v>
      </c>
      <c r="Z29" s="1" t="s">
        <v>136</v>
      </c>
      <c r="AA29" s="1" t="s">
        <v>137</v>
      </c>
      <c r="AE29" s="176"/>
      <c r="AG29" s="130" t="str">
        <f t="shared" si="4"/>
        <v/>
      </c>
      <c r="AH29" s="39" t="str">
        <f t="shared" si="5"/>
        <v/>
      </c>
      <c r="AI29" s="74" t="str">
        <f t="shared" si="6"/>
        <v/>
      </c>
      <c r="AR29" s="176"/>
      <c r="AT29" s="130" t="str">
        <f t="shared" si="7"/>
        <v/>
      </c>
      <c r="AU29" s="39" t="str">
        <f t="shared" si="8"/>
        <v/>
      </c>
      <c r="AV29" s="74" t="str">
        <f t="shared" si="9"/>
        <v/>
      </c>
      <c r="AX29" s="62"/>
      <c r="AY29" s="62" t="s">
        <v>248</v>
      </c>
      <c r="AZ29" s="62" t="s">
        <v>149</v>
      </c>
      <c r="BA29" s="62" t="s">
        <v>43</v>
      </c>
      <c r="BB29" s="158" t="s">
        <v>44</v>
      </c>
      <c r="BC29" s="176"/>
      <c r="BE29" s="130" t="str">
        <f t="shared" si="10"/>
        <v/>
      </c>
      <c r="BF29" s="39" t="str">
        <f>IF(AND(Include_study?="Yes",Sufficient_data="Yes"),NORMSINV(Calculations!IW29),"")</f>
        <v/>
      </c>
      <c r="BG29" s="74" t="str">
        <f t="shared" si="11"/>
        <v/>
      </c>
      <c r="BI29" s="62"/>
      <c r="BJ29" s="62" t="s">
        <v>248</v>
      </c>
      <c r="BK29" s="62" t="s">
        <v>149</v>
      </c>
      <c r="BL29" s="62" t="s">
        <v>43</v>
      </c>
      <c r="BM29" s="39" t="s">
        <v>44</v>
      </c>
      <c r="BP29" s="176"/>
      <c r="BT29" s="176"/>
    </row>
    <row r="30" spans="1:72" ht="13.5" customHeight="1" x14ac:dyDescent="0.25">
      <c r="D30" s="84" t="str">
        <f t="shared" si="0"/>
        <v/>
      </c>
      <c r="E30" s="132" t="str">
        <f t="shared" si="1"/>
        <v/>
      </c>
      <c r="F30" s="39" t="str">
        <f t="shared" si="2"/>
        <v/>
      </c>
      <c r="H30" s="46" t="str">
        <f>CONCATENATE("SE ",Additional_effect_size_measure)</f>
        <v>SE Log Odds Ratio</v>
      </c>
      <c r="I30" s="4">
        <f>IF(Additional_valid_options="Yes",IF(Additional_model="Fixed effect",1/SQRT(SUM(Calculations!FT:FT)),SQRT(SUMPRODUCT(Calculations!FU:FU,Calculations!GL:GL,Calculations!GL:GL)/((k_-1)*SUM(Calculations!FU:FU)))),"")</f>
        <v>0.13896735738022056</v>
      </c>
      <c r="K30" s="46" t="s">
        <v>48</v>
      </c>
      <c r="L30" s="38">
        <f>IF(Additional_valid_options="Yes",CHIDIST(L29,k_-1+IF(Trim_and_fill="On",L39,0)),"")</f>
        <v>0.34346231660877985</v>
      </c>
      <c r="M30" s="176"/>
      <c r="T30" s="176"/>
      <c r="V30" s="130" t="str">
        <f t="shared" si="3"/>
        <v/>
      </c>
      <c r="W30" s="95" t="str">
        <f>IF(AND(Include_study?="Yes",Sufficient_data="Yes"),((E:E-I$29)*SQRT(Calculations!FU:FU))/SQRT(1-Calculations!FU:FU/SUM(Calculations!FU:FU)),"")</f>
        <v/>
      </c>
      <c r="AC30"/>
      <c r="AD30"/>
      <c r="AE30" s="176"/>
      <c r="AG30" s="130" t="str">
        <f t="shared" si="4"/>
        <v/>
      </c>
      <c r="AH30" s="39" t="str">
        <f t="shared" si="5"/>
        <v/>
      </c>
      <c r="AI30" s="74" t="str">
        <f t="shared" si="6"/>
        <v/>
      </c>
      <c r="AR30" s="176"/>
      <c r="AT30" s="130" t="str">
        <f t="shared" si="7"/>
        <v/>
      </c>
      <c r="AU30" s="39" t="str">
        <f t="shared" si="8"/>
        <v/>
      </c>
      <c r="AV30" s="74" t="str">
        <f t="shared" si="9"/>
        <v/>
      </c>
      <c r="AX30" s="62" t="s">
        <v>221</v>
      </c>
      <c r="AY30" s="4">
        <v>0</v>
      </c>
      <c r="AZ30" s="4"/>
      <c r="BA30" s="4"/>
      <c r="BB30" s="4"/>
      <c r="BC30" s="176"/>
      <c r="BE30" s="130" t="str">
        <f t="shared" si="10"/>
        <v/>
      </c>
      <c r="BF30" s="39" t="str">
        <f>IF(AND(Include_study?="Yes",Sufficient_data="Yes"),NORMSINV(Calculations!IW30),"")</f>
        <v/>
      </c>
      <c r="BG30" s="74" t="str">
        <f t="shared" si="11"/>
        <v/>
      </c>
      <c r="BI30" s="62" t="s">
        <v>221</v>
      </c>
      <c r="BJ30" s="4">
        <f>INTERCEPT(BG:BG,BF:BF)</f>
        <v>0.86408899560423758</v>
      </c>
      <c r="BK30" s="4">
        <f>BK31*SQRT(1/k_*SUMPRODUCT(BF:BF,BF:BF))</f>
        <v>0.11495838973107191</v>
      </c>
      <c r="BL30" s="4">
        <f>BJ30-ABS(TINV((1-Additional_confidence_level),k_-1))*BK30</f>
        <v>0.61106728577811731</v>
      </c>
      <c r="BM30" s="4">
        <f>BJ30+ABS(TINV((1-Additional_confidence_level),k_-1))*BK30</f>
        <v>1.117110705430358</v>
      </c>
      <c r="BP30" s="176"/>
      <c r="BT30" s="176"/>
    </row>
    <row r="31" spans="1:72" ht="14.25" x14ac:dyDescent="0.2">
      <c r="D31" s="84" t="str">
        <f t="shared" si="0"/>
        <v/>
      </c>
      <c r="E31" s="132" t="str">
        <f t="shared" si="1"/>
        <v/>
      </c>
      <c r="F31" s="39" t="str">
        <f t="shared" si="2"/>
        <v/>
      </c>
      <c r="H31" s="46" t="s">
        <v>18</v>
      </c>
      <c r="I31" s="4">
        <f>IF(Additional_valid_options="Yes",I29-ABS(TINV((1-Additional_confidence_level),k_-1))*I30,"")</f>
        <v>0.11707343865048253</v>
      </c>
      <c r="K31" s="46" t="s">
        <v>29</v>
      </c>
      <c r="L31" s="9">
        <f>IF(Additional_valid_options="Yes",IF(L29-(k_-1+IF(Trim_and_fill="On",L39,0))&lt;=0,0,(L29-(k_-1+IF(Trim_and_fill="On",L39,0)))/L29),"")</f>
        <v>0.10373789469109018</v>
      </c>
      <c r="M31" s="176"/>
      <c r="T31" s="176"/>
      <c r="V31" s="130" t="str">
        <f t="shared" si="3"/>
        <v/>
      </c>
      <c r="W31" s="95" t="str">
        <f>IF(AND(Include_study?="Yes",Sufficient_data="Yes"),((E:E-I$29)*SQRT(Calculations!FU:FU))/SQRT(1-Calculations!FU:FU/SUM(Calculations!FU:FU)),"")</f>
        <v/>
      </c>
      <c r="Y31" s="170" t="str">
        <f>CONCATENATE("-∞; ",Calculations!HZ2)</f>
        <v>-∞; -1.75</v>
      </c>
      <c r="Z31" s="4">
        <f t="array" ref="Z31:Z39">FREQUENCY(W:W,Calculations!HZ2:HZ10)/k_</f>
        <v>8.3333333333333329E-2</v>
      </c>
      <c r="AA31" s="4">
        <f>NORMSDIST(Calculations!HZ2)</f>
        <v>4.00591568638171E-2</v>
      </c>
      <c r="AC31"/>
      <c r="AD31"/>
      <c r="AE31" s="176"/>
      <c r="AG31" s="130" t="str">
        <f t="shared" si="4"/>
        <v/>
      </c>
      <c r="AH31" s="39" t="str">
        <f t="shared" si="5"/>
        <v/>
      </c>
      <c r="AI31" s="74" t="str">
        <f t="shared" si="6"/>
        <v/>
      </c>
      <c r="AR31" s="176"/>
      <c r="AT31" s="130" t="str">
        <f t="shared" si="7"/>
        <v/>
      </c>
      <c r="AU31" s="39" t="str">
        <f t="shared" si="8"/>
        <v/>
      </c>
      <c r="AV31" s="74" t="str">
        <f t="shared" si="9"/>
        <v/>
      </c>
      <c r="AX31" s="62" t="s">
        <v>144</v>
      </c>
      <c r="AY31" s="4">
        <f>I29</f>
        <v>0.42293852998149922</v>
      </c>
      <c r="AZ31" s="4">
        <f>I30</f>
        <v>0.13896735738022056</v>
      </c>
      <c r="BA31" s="4">
        <f>AY31-ABS(TINV((1-Additional_confidence_level),k_-1))*AZ31</f>
        <v>0.11707343865048253</v>
      </c>
      <c r="BB31" s="4">
        <f>AY31+ABS(TINV((1-Additional_confidence_level),k_-1))*AZ31</f>
        <v>0.72880362131251597</v>
      </c>
      <c r="BC31" s="176"/>
      <c r="BE31" s="130" t="str">
        <f t="shared" si="10"/>
        <v/>
      </c>
      <c r="BF31" s="39" t="str">
        <f>IF(AND(Include_study?="Yes",Sufficient_data="Yes"),NORMSINV(Calculations!IW31),"")</f>
        <v/>
      </c>
      <c r="BG31" s="74" t="str">
        <f t="shared" si="11"/>
        <v/>
      </c>
      <c r="BI31" s="62" t="s">
        <v>144</v>
      </c>
      <c r="BJ31" s="4">
        <f>SLOPE(BG:BG,BF:BF)</f>
        <v>1.0696351781337923</v>
      </c>
      <c r="BK31" s="4">
        <f>SQRT(((1/(k_-2))*SUMPRODUCT(Calculations!JA:JA,Calculations!JA:JA))/SUMPRODUCT(Calculations!IZ:IZ,Calculations!IZ:IZ))</f>
        <v>0.12848928884471139</v>
      </c>
      <c r="BL31" s="4">
        <f>BJ31-ABS(TINV((1-Additional_confidence_level),k_-1))*BK31</f>
        <v>0.78683216015585433</v>
      </c>
      <c r="BM31" s="4">
        <f>BJ31+ABS(TINV((1-Additional_confidence_level),k_-1))*BK31</f>
        <v>1.3524381961117302</v>
      </c>
      <c r="BP31" s="176"/>
      <c r="BT31" s="176"/>
    </row>
    <row r="32" spans="1:72" ht="14.25" customHeight="1" x14ac:dyDescent="0.2">
      <c r="D32" s="84" t="str">
        <f t="shared" si="0"/>
        <v/>
      </c>
      <c r="E32" s="132" t="str">
        <f t="shared" si="1"/>
        <v/>
      </c>
      <c r="F32" s="39" t="str">
        <f t="shared" si="2"/>
        <v/>
      </c>
      <c r="H32" s="46" t="s">
        <v>19</v>
      </c>
      <c r="I32" s="4">
        <f>IF(Additional_valid_options="Yes",I29+ABS(TINV((1-Additional_confidence_level),k_-1))*I30,"")</f>
        <v>0.72880362131251597</v>
      </c>
      <c r="K32" s="46" t="s">
        <v>30</v>
      </c>
      <c r="L32" s="4">
        <f>IF(Additional_valid_options="Yes",MAX(0,(L29-(k_-1+IF(Trim_and_fill="On",L39,0)))/((SUM(Calculations!FT:FT)+SUM(Calculations!HC:HC))-(SUMPRODUCT(Calculations!FT:FT,Calculations!FT:FT)+SUMPRODUCT(Calculations!HC:HC,Calculations!HC:HC))/(SUM(Calculations!FT:FT)+SUM(Calculations!HC:HC)))),"")</f>
        <v>2.736863460497466E-2</v>
      </c>
      <c r="M32" s="176"/>
      <c r="T32" s="176"/>
      <c r="V32" s="130" t="str">
        <f t="shared" si="3"/>
        <v/>
      </c>
      <c r="W32" s="95" t="str">
        <f>IF(AND(Include_study?="Yes",Sufficient_data="Yes"),((E:E-I$29)*SQRT(Calculations!FU:FU))/SQRT(1-Calculations!FU:FU/SUM(Calculations!FU:FU)),"")</f>
        <v/>
      </c>
      <c r="Y32" s="170" t="str">
        <f>CONCATENATE(Calculations!HY3,"; ",Calculations!HZ3)</f>
        <v>-1.75; -1.25</v>
      </c>
      <c r="Z32" s="4">
        <v>8.3333333333333329E-2</v>
      </c>
      <c r="AA32" s="4">
        <f>NORMSDIST(Calculations!HZ3)-(SUM(AA$31:AA31))</f>
        <v>6.5590616803038154E-2</v>
      </c>
      <c r="AE32" s="176"/>
      <c r="AG32" s="130" t="str">
        <f t="shared" si="4"/>
        <v/>
      </c>
      <c r="AH32" s="39" t="str">
        <f t="shared" si="5"/>
        <v/>
      </c>
      <c r="AI32" s="74" t="str">
        <f t="shared" si="6"/>
        <v/>
      </c>
      <c r="AK32" s="193" t="s">
        <v>17</v>
      </c>
      <c r="AL32" s="193"/>
      <c r="AM32" s="193"/>
      <c r="AR32" s="176"/>
      <c r="AT32" s="130" t="str">
        <f t="shared" si="7"/>
        <v/>
      </c>
      <c r="AU32" s="39" t="str">
        <f t="shared" si="8"/>
        <v/>
      </c>
      <c r="AV32" s="74" t="str">
        <f t="shared" si="9"/>
        <v/>
      </c>
      <c r="BC32" s="176"/>
      <c r="BE32" s="130" t="str">
        <f t="shared" si="10"/>
        <v/>
      </c>
      <c r="BF32" s="39" t="str">
        <f>IF(AND(Include_study?="Yes",Sufficient_data="Yes"),NORMSINV(Calculations!IW32),"")</f>
        <v/>
      </c>
      <c r="BG32" s="74" t="str">
        <f t="shared" si="11"/>
        <v/>
      </c>
      <c r="BP32" s="176"/>
      <c r="BT32" s="176"/>
    </row>
    <row r="33" spans="1:72" x14ac:dyDescent="0.2">
      <c r="D33" s="84" t="str">
        <f t="shared" si="0"/>
        <v/>
      </c>
      <c r="E33" s="132" t="str">
        <f t="shared" si="1"/>
        <v/>
      </c>
      <c r="F33" s="39" t="str">
        <f t="shared" si="2"/>
        <v/>
      </c>
      <c r="H33" s="46" t="s">
        <v>20</v>
      </c>
      <c r="I33" s="4">
        <f>IF(Additional_valid_options="Yes",I29-ABS(TINV((1-Additional_confidence_level),k_-1))*SQRT(I30^2+Calculations!GH12),"")</f>
        <v>-5.2599383424263013E-2</v>
      </c>
      <c r="K33" s="46" t="s">
        <v>7</v>
      </c>
      <c r="L33" s="4">
        <f>IF(Additional_valid_options="Yes",SQRT(L32),"")</f>
        <v>0.16543468380292767</v>
      </c>
      <c r="M33" s="176"/>
      <c r="T33" s="176"/>
      <c r="V33" s="130" t="str">
        <f t="shared" si="3"/>
        <v/>
      </c>
      <c r="W33" s="95" t="str">
        <f>IF(AND(Include_study?="Yes",Sufficient_data="Yes"),((E:E-I$29)*SQRT(Calculations!FU:FU))/SQRT(1-Calculations!FU:FU/SUM(Calculations!FU:FU)),"")</f>
        <v/>
      </c>
      <c r="Y33" s="170" t="str">
        <f>CONCATENATE(Calculations!HY4,"; ",Calculations!HZ4)</f>
        <v>-1.25; -0.75</v>
      </c>
      <c r="Z33" s="4">
        <v>8.3333333333333329E-2</v>
      </c>
      <c r="AA33" s="4">
        <f>NORMSDIST(Calculations!HZ4)-(SUM(AA$31:AA32))</f>
        <v>0.12097757871001295</v>
      </c>
      <c r="AE33" s="176"/>
      <c r="AG33" s="130" t="str">
        <f t="shared" si="4"/>
        <v/>
      </c>
      <c r="AH33" s="39" t="str">
        <f t="shared" si="5"/>
        <v/>
      </c>
      <c r="AI33" s="74" t="str">
        <f t="shared" si="6"/>
        <v/>
      </c>
      <c r="AK33" s="191" t="s">
        <v>333</v>
      </c>
      <c r="AL33" s="191"/>
      <c r="AM33" s="191"/>
      <c r="AR33" s="176"/>
      <c r="AT33" s="130" t="str">
        <f t="shared" si="7"/>
        <v/>
      </c>
      <c r="AU33" s="39" t="str">
        <f t="shared" si="8"/>
        <v/>
      </c>
      <c r="AV33" s="74" t="str">
        <f t="shared" si="9"/>
        <v/>
      </c>
      <c r="BC33" s="176"/>
      <c r="BE33" s="130" t="str">
        <f t="shared" si="10"/>
        <v/>
      </c>
      <c r="BF33" s="39" t="str">
        <f>IF(AND(Include_study?="Yes",Sufficient_data="Yes"),NORMSINV(Calculations!IW33),"")</f>
        <v/>
      </c>
      <c r="BG33" s="74" t="str">
        <f t="shared" si="11"/>
        <v/>
      </c>
      <c r="BI33" s="124" t="s">
        <v>269</v>
      </c>
      <c r="BJ33" s="5" t="s">
        <v>277</v>
      </c>
      <c r="BP33" s="176"/>
      <c r="BT33" s="176"/>
    </row>
    <row r="34" spans="1:72" ht="12" customHeight="1" x14ac:dyDescent="0.2">
      <c r="D34" s="84" t="str">
        <f t="shared" ref="D34:D65" si="12">IF(AND(Include_study?="Yes",Sufficient_data="Yes"),Study_name,"")</f>
        <v/>
      </c>
      <c r="E34" s="132" t="str">
        <f t="shared" ref="E34:E65" si="13"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/>
      </c>
      <c r="F34" s="39" t="str">
        <f t="shared" ref="F34:F65" si="14">IF(AND(Include_study?="Yes",Sufficient_data="Yes"),IF(Additional_effect_size_measure="Log Peto Odds Ratio",SELogPetoOddsRatio,IF(Additional_effect_size_measure="Log Risk Ratio",SELogRiskRatio,IF(Additional_effect_size_measure="Risk Difference",SERiskDifference,SELogOddsRatio))),"")</f>
        <v/>
      </c>
      <c r="H34" s="46" t="s">
        <v>21</v>
      </c>
      <c r="I34" s="4">
        <f>IF(Additional_valid_options="Yes",I29+ABS(TINV((1-Additional_confidence_level),k_-1))*SQRT(I30^2+Calculations!GH12),"")</f>
        <v>0.8984764433872614</v>
      </c>
      <c r="M34" s="176"/>
      <c r="T34" s="176"/>
      <c r="V34" s="130" t="str">
        <f t="shared" ref="V34:V65" si="15">IF(AND(Include_study?="Yes",Sufficient_data="Yes"),Study_name,"")</f>
        <v/>
      </c>
      <c r="W34" s="95" t="str">
        <f>IF(AND(Include_study?="Yes",Sufficient_data="Yes"),((E:E-I$29)*SQRT(Calculations!FU:FU))/SQRT(1-Calculations!FU:FU/SUM(Calculations!FU:FU)),"")</f>
        <v/>
      </c>
      <c r="Y34" s="170" t="str">
        <f>CONCATENATE(Calculations!HY5,"; ",Calculations!HZ5)</f>
        <v>-0.75; -0.25</v>
      </c>
      <c r="Z34" s="4">
        <v>0</v>
      </c>
      <c r="AA34" s="4">
        <f>NORMSDIST(Calculations!HZ5)-(SUM(AA$31:AA33))</f>
        <v>0.17466632194020809</v>
      </c>
      <c r="AE34" s="176"/>
      <c r="AG34" s="130" t="str">
        <f t="shared" ref="AG34:AG65" si="16">IF(AND(Include_study?="Yes",Sufficient_data="Yes"),Study_name,"")</f>
        <v/>
      </c>
      <c r="AH34" s="39" t="str">
        <f t="shared" si="5"/>
        <v/>
      </c>
      <c r="AI34" s="74" t="str">
        <f t="shared" si="6"/>
        <v/>
      </c>
      <c r="AK34" s="158" t="s">
        <v>12</v>
      </c>
      <c r="AL34" s="158"/>
      <c r="AM34" s="4">
        <f>EXP(SUMPRODUCT(LogRiskRatio,Calculations!IE:IE)/SUM(Calculations!IE:IE))</f>
        <v>1.3513871569054785</v>
      </c>
      <c r="AR34" s="176"/>
      <c r="AT34" s="130" t="str">
        <f t="shared" ref="AT34:AT65" si="17">IF(AND(Include_study?="Yes",Sufficient_data="Yes"),Study_name,"")</f>
        <v/>
      </c>
      <c r="AU34" s="39" t="str">
        <f t="shared" ref="AU34:AU65" si="18">IF(AND(Include_study?="Yes",Sufficient_data="Yes"),IF(AND(Additional_valid_options="No",Additional_model="Random effects"),NA(),Inverse_standard_error),"")</f>
        <v/>
      </c>
      <c r="AV34" s="74" t="str">
        <f t="shared" ref="AV34:AV65" si="19">IF(AND(Include_study?="Yes",Sufficient_data="Yes"),IF(AND(Additional_valid_options="No",Additional_model="Random effects"),NA(),Z_score),"")</f>
        <v/>
      </c>
      <c r="BC34" s="176"/>
      <c r="BE34" s="130" t="str">
        <f t="shared" ref="BE34:BE65" si="20">IF(AND(Include_study?="Yes",Sufficient_data="Yes"),Study_name,"")</f>
        <v/>
      </c>
      <c r="BF34" s="39" t="str">
        <f>IF(AND(Include_study?="Yes",Sufficient_data="Yes"),NORMSINV(Calculations!IW34),"")</f>
        <v/>
      </c>
      <c r="BG34" s="74" t="str">
        <f t="shared" ref="BG34:BG65" si="21">IF(AND(Include_study?="Yes",Sufficient_data="Yes"),IF(AND(Additional_valid_options="No",Additional_model="Random effects"),NA(),IF(BJ$33="Standardized residuals",Standardized_residual,Z_score)),"")</f>
        <v/>
      </c>
      <c r="BP34" s="176"/>
      <c r="BT34" s="176"/>
    </row>
    <row r="35" spans="1:72" x14ac:dyDescent="0.2">
      <c r="D35" s="84" t="str">
        <f t="shared" si="12"/>
        <v/>
      </c>
      <c r="E35" s="132" t="str">
        <f t="shared" si="13"/>
        <v/>
      </c>
      <c r="F35" s="39" t="str">
        <f t="shared" si="14"/>
        <v/>
      </c>
      <c r="H35" s="45"/>
      <c r="I35" s="45"/>
      <c r="M35" s="176"/>
      <c r="T35" s="176"/>
      <c r="V35" s="130" t="str">
        <f t="shared" si="15"/>
        <v/>
      </c>
      <c r="W35" s="95" t="str">
        <f>IF(AND(Include_study?="Yes",Sufficient_data="Yes"),((E:E-I$29)*SQRT(Calculations!FU:FU))/SQRT(1-Calculations!FU:FU/SUM(Calculations!FU:FU)),"")</f>
        <v/>
      </c>
      <c r="Y35" s="170" t="str">
        <f>CONCATENATE(Calculations!HY6,"; ",Calculations!HZ6)</f>
        <v>-0.25; 0.25</v>
      </c>
      <c r="Z35" s="166">
        <v>0.25</v>
      </c>
      <c r="AA35" s="166">
        <f>NORMSDIST(Calculations!HZ6)-(SUM(AA$31:AA34))</f>
        <v>0.1974126513658474</v>
      </c>
      <c r="AE35" s="176"/>
      <c r="AG35" s="130" t="str">
        <f t="shared" si="16"/>
        <v/>
      </c>
      <c r="AH35" s="39" t="str">
        <f t="shared" si="5"/>
        <v/>
      </c>
      <c r="AI35" s="74" t="str">
        <f t="shared" si="6"/>
        <v/>
      </c>
      <c r="AR35" s="176"/>
      <c r="AT35" s="130" t="str">
        <f t="shared" si="17"/>
        <v/>
      </c>
      <c r="AU35" s="39" t="str">
        <f t="shared" si="18"/>
        <v/>
      </c>
      <c r="AV35" s="74" t="str">
        <f t="shared" si="19"/>
        <v/>
      </c>
      <c r="BC35" s="176"/>
      <c r="BE35" s="130" t="str">
        <f t="shared" si="20"/>
        <v/>
      </c>
      <c r="BF35" s="39" t="str">
        <f>IF(AND(Include_study?="Yes",Sufficient_data="Yes"),NORMSINV(Calculations!IW35),"")</f>
        <v/>
      </c>
      <c r="BG35" s="74" t="str">
        <f t="shared" si="21"/>
        <v/>
      </c>
      <c r="BP35" s="176"/>
      <c r="BT35" s="176"/>
    </row>
    <row r="36" spans="1:72" s="160" customFormat="1" x14ac:dyDescent="0.2">
      <c r="A36" s="44"/>
      <c r="B36" s="44"/>
      <c r="D36" s="161" t="str">
        <f t="shared" si="12"/>
        <v/>
      </c>
      <c r="E36" s="162" t="str">
        <f t="shared" si="13"/>
        <v/>
      </c>
      <c r="F36" s="163" t="str">
        <f t="shared" si="14"/>
        <v/>
      </c>
      <c r="H36" s="159" t="s">
        <v>17</v>
      </c>
      <c r="I36" s="159" t="s">
        <v>196</v>
      </c>
      <c r="K36" s="1" t="s">
        <v>226</v>
      </c>
      <c r="L36" s="5" t="s">
        <v>320</v>
      </c>
      <c r="M36" s="176"/>
      <c r="T36" s="176"/>
      <c r="V36" s="164" t="str">
        <f t="shared" si="15"/>
        <v/>
      </c>
      <c r="W36" s="167" t="str">
        <f>IF(AND(Include_study?="Yes",Sufficient_data="Yes"),((E:E-I$29)*SQRT(Calculations!FU:FU))/SQRT(1-Calculations!FU:FU/SUM(Calculations!FU:FU)),"")</f>
        <v/>
      </c>
      <c r="Y36" s="170" t="str">
        <f>CONCATENATE(Calculations!HY7,"; ",Calculations!HZ7)</f>
        <v>0.25; 0.75</v>
      </c>
      <c r="Z36" s="4">
        <v>0.33333333333333331</v>
      </c>
      <c r="AA36" s="4">
        <f>NORMSDIST(Calculations!HZ7)-(SUM(AA$31:AA35))</f>
        <v>0.17466632194020804</v>
      </c>
      <c r="AE36" s="176"/>
      <c r="AG36" s="164" t="str">
        <f t="shared" si="16"/>
        <v/>
      </c>
      <c r="AH36" s="163" t="str">
        <f t="shared" si="5"/>
        <v/>
      </c>
      <c r="AI36" s="165" t="str">
        <f t="shared" si="6"/>
        <v/>
      </c>
      <c r="AR36" s="176"/>
      <c r="AT36" s="164" t="str">
        <f t="shared" si="17"/>
        <v/>
      </c>
      <c r="AU36" s="163" t="str">
        <f t="shared" si="18"/>
        <v/>
      </c>
      <c r="AV36" s="165" t="str">
        <f t="shared" si="19"/>
        <v/>
      </c>
      <c r="BC36" s="176"/>
      <c r="BE36" s="164" t="str">
        <f t="shared" si="20"/>
        <v/>
      </c>
      <c r="BF36" s="163" t="str">
        <f>IF(AND(Include_study?="Yes",Sufficient_data="Yes"),NORMSINV(Calculations!IW36),"")</f>
        <v/>
      </c>
      <c r="BG36" s="165" t="str">
        <f t="shared" si="21"/>
        <v/>
      </c>
      <c r="BP36" s="176"/>
      <c r="BT36" s="176"/>
    </row>
    <row r="37" spans="1:72" x14ac:dyDescent="0.2">
      <c r="D37" s="84" t="str">
        <f t="shared" si="12"/>
        <v/>
      </c>
      <c r="E37" s="132" t="str">
        <f t="shared" si="13"/>
        <v/>
      </c>
      <c r="F37" s="39" t="str">
        <f t="shared" si="14"/>
        <v/>
      </c>
      <c r="H37" s="49" t="str">
        <f>Additional_effect_size_measure</f>
        <v>Log Odds Ratio</v>
      </c>
      <c r="I37" s="29">
        <f>IF(AND(Trim_and_fill="On",Additional_valid_options="Yes",L38&lt;&gt;""),(SUMPRODUCT(Calculations!FV:FV,E:E)+SUMPRODUCT(Calculations!HD:HD,Calculations!HA:HA))/(SUM(Calculations!FV:FV)+SUM(Calculations!HD:HD)),"")</f>
        <v>0.42293852998149922</v>
      </c>
      <c r="K37" s="62" t="s">
        <v>194</v>
      </c>
      <c r="L37" s="5" t="s">
        <v>339</v>
      </c>
      <c r="M37" s="176"/>
      <c r="T37" s="176"/>
      <c r="V37" s="130" t="str">
        <f t="shared" si="15"/>
        <v/>
      </c>
      <c r="W37" s="74" t="str">
        <f>IF(AND(Include_study?="Yes",Sufficient_data="Yes"),((E:E-I$29)*SQRT(Calculations!FU:FU))/SQRT(1-Calculations!FU:FU/SUM(Calculations!FU:FU)),"")</f>
        <v/>
      </c>
      <c r="Y37" s="170" t="str">
        <f>CONCATENATE(Calculations!HY8,"; ",Calculations!HZ8)</f>
        <v>0.75; 1.25</v>
      </c>
      <c r="Z37" s="4">
        <v>8.3333333333333329E-2</v>
      </c>
      <c r="AA37" s="4">
        <f>NORMSDIST(Calculations!HZ8)-(SUM(AA$31:AA36))</f>
        <v>0.12097757871001302</v>
      </c>
      <c r="AE37" s="176"/>
      <c r="AG37" s="130" t="str">
        <f t="shared" si="16"/>
        <v/>
      </c>
      <c r="AH37" s="39" t="str">
        <f t="shared" si="5"/>
        <v/>
      </c>
      <c r="AI37" s="74" t="str">
        <f t="shared" si="6"/>
        <v/>
      </c>
      <c r="AR37" s="176"/>
      <c r="AT37" s="130" t="str">
        <f t="shared" si="17"/>
        <v/>
      </c>
      <c r="AU37" s="39" t="str">
        <f t="shared" si="18"/>
        <v/>
      </c>
      <c r="AV37" s="74" t="str">
        <f t="shared" si="19"/>
        <v/>
      </c>
      <c r="BC37" s="176"/>
      <c r="BE37" s="130" t="str">
        <f t="shared" si="20"/>
        <v/>
      </c>
      <c r="BF37" s="39" t="str">
        <f>IF(AND(Include_study?="Yes",Sufficient_data="Yes"),NORMSINV(Calculations!IW37),"")</f>
        <v/>
      </c>
      <c r="BG37" s="74" t="str">
        <f t="shared" si="21"/>
        <v/>
      </c>
      <c r="BP37" s="176"/>
      <c r="BT37" s="176"/>
    </row>
    <row r="38" spans="1:72" x14ac:dyDescent="0.2">
      <c r="D38" s="84" t="str">
        <f t="shared" si="12"/>
        <v/>
      </c>
      <c r="E38" s="132" t="str">
        <f t="shared" si="13"/>
        <v/>
      </c>
      <c r="F38" s="39" t="str">
        <f t="shared" si="14"/>
        <v/>
      </c>
      <c r="H38" s="49" t="str">
        <f>CONCATENATE("SE ",Additional_effect_size_measure)</f>
        <v>SE Log Odds Ratio</v>
      </c>
      <c r="I38" s="4">
        <f>IF(AND(Trim_and_fill="On",Additional_valid_options="Yes",L38&lt;&gt;""),IF(Additional_model="Fixed effect",1/SQRT(SUM(Calculations!FT:FT,Calculations!HC:HC)),SQRT((SUMPRODUCT(Calculations!FV:FV,Calculations!FW:FW,Calculations!FW:FW)+SUMPRODUCT(Calculations!HD:HD,Calculations!HE:HE,Calculations!HE:HE))/((k_+'Publication Bias Analysis'!L39-1)*SUM(Calculations!FV:FV,Calculations!HD:HD)))),"")</f>
        <v>0.13896735738022056</v>
      </c>
      <c r="K38" s="162" t="s">
        <v>193</v>
      </c>
      <c r="L38" s="170" t="str">
        <f>IF(Trim_and_fill="Off","",IF(I29&gt;0,"Left",IF(I29&lt;0,"Right","NA")))</f>
        <v>Left</v>
      </c>
      <c r="M38" s="176"/>
      <c r="T38" s="176"/>
      <c r="V38" s="130" t="str">
        <f t="shared" si="15"/>
        <v/>
      </c>
      <c r="W38" s="74" t="str">
        <f>IF(AND(Include_study?="Yes",Sufficient_data="Yes"),((E:E-I$29)*SQRT(Calculations!FU:FU))/SQRT(1-Calculations!FU:FU/SUM(Calculations!FU:FU)),"")</f>
        <v/>
      </c>
      <c r="Y38" s="170" t="str">
        <f>CONCATENATE(Calculations!HY9,"; ",Calculations!HZ9)</f>
        <v>1.25; 1.75</v>
      </c>
      <c r="Z38" s="4">
        <v>8.3333333333333329E-2</v>
      </c>
      <c r="AA38" s="4">
        <f>NORMSDIST(Calculations!HZ9)-(SUM(AA$31:AA37))</f>
        <v>6.5590616803038126E-2</v>
      </c>
      <c r="AE38" s="176"/>
      <c r="AG38" s="130" t="str">
        <f t="shared" si="16"/>
        <v/>
      </c>
      <c r="AH38" s="39" t="str">
        <f t="shared" si="5"/>
        <v/>
      </c>
      <c r="AI38" s="74" t="str">
        <f t="shared" si="6"/>
        <v/>
      </c>
      <c r="AR38" s="176"/>
      <c r="AT38" s="130" t="str">
        <f t="shared" si="17"/>
        <v/>
      </c>
      <c r="AU38" s="39" t="str">
        <f t="shared" si="18"/>
        <v/>
      </c>
      <c r="AV38" s="74" t="str">
        <f t="shared" si="19"/>
        <v/>
      </c>
      <c r="BC38" s="176"/>
      <c r="BE38" s="130" t="str">
        <f t="shared" si="20"/>
        <v/>
      </c>
      <c r="BF38" s="39" t="str">
        <f>IF(AND(Include_study?="Yes",Sufficient_data="Yes"),NORMSINV(Calculations!IW38),"")</f>
        <v/>
      </c>
      <c r="BG38" s="74" t="str">
        <f t="shared" si="21"/>
        <v/>
      </c>
      <c r="BP38" s="176"/>
      <c r="BT38" s="176"/>
    </row>
    <row r="39" spans="1:72" x14ac:dyDescent="0.2">
      <c r="D39" s="84" t="str">
        <f t="shared" si="12"/>
        <v/>
      </c>
      <c r="E39" s="132" t="str">
        <f t="shared" si="13"/>
        <v/>
      </c>
      <c r="F39" s="39" t="str">
        <f t="shared" si="14"/>
        <v/>
      </c>
      <c r="H39" s="49" t="s">
        <v>18</v>
      </c>
      <c r="I39" s="4">
        <f>IF(AND(Trim_and_fill="On",Additional_valid_options="Yes",L38&lt;&gt;""),I37-ABS(TINV((1-Additional_confidence_level),k_+L39-1))*I38,"")</f>
        <v>0.11707343865048253</v>
      </c>
      <c r="K39" s="62" t="s">
        <v>227</v>
      </c>
      <c r="L39" s="8">
        <f>IF(L38&lt;&gt;"",Calculations!GW21,"")</f>
        <v>0</v>
      </c>
      <c r="M39" s="176"/>
      <c r="T39" s="176"/>
      <c r="V39" s="130" t="str">
        <f t="shared" si="15"/>
        <v/>
      </c>
      <c r="W39" s="74" t="str">
        <f>IF(AND(Include_study?="Yes",Sufficient_data="Yes"),((E:E-I$29)*SQRT(Calculations!FU:FU))/SQRT(1-Calculations!FU:FU/SUM(Calculations!FU:FU)),"")</f>
        <v/>
      </c>
      <c r="Y39" s="170" t="str">
        <f>CONCATENATE(Calculations!HY10,"; ∞")</f>
        <v>1.75; ∞</v>
      </c>
      <c r="Z39" s="4">
        <v>0</v>
      </c>
      <c r="AA39" s="4">
        <f>1-(SUM(AA31:AA38))</f>
        <v>4.0059156863817114E-2</v>
      </c>
      <c r="AE39" s="176"/>
      <c r="AG39" s="130" t="str">
        <f t="shared" si="16"/>
        <v/>
      </c>
      <c r="AH39" s="39" t="str">
        <f t="shared" si="5"/>
        <v/>
      </c>
      <c r="AI39" s="74" t="str">
        <f t="shared" si="6"/>
        <v/>
      </c>
      <c r="AR39" s="176"/>
      <c r="AT39" s="130" t="str">
        <f t="shared" si="17"/>
        <v/>
      </c>
      <c r="AU39" s="39" t="str">
        <f t="shared" si="18"/>
        <v/>
      </c>
      <c r="AV39" s="74" t="str">
        <f t="shared" si="19"/>
        <v/>
      </c>
      <c r="BC39" s="176"/>
      <c r="BE39" s="130" t="str">
        <f t="shared" si="20"/>
        <v/>
      </c>
      <c r="BF39" s="39" t="str">
        <f>IF(AND(Include_study?="Yes",Sufficient_data="Yes"),NORMSINV(Calculations!IW39),"")</f>
        <v/>
      </c>
      <c r="BG39" s="74" t="str">
        <f t="shared" si="21"/>
        <v/>
      </c>
      <c r="BP39" s="176"/>
      <c r="BT39" s="176"/>
    </row>
    <row r="40" spans="1:72" x14ac:dyDescent="0.2">
      <c r="D40" s="84" t="str">
        <f t="shared" si="12"/>
        <v/>
      </c>
      <c r="E40" s="132" t="str">
        <f t="shared" si="13"/>
        <v/>
      </c>
      <c r="F40" s="39" t="str">
        <f t="shared" si="14"/>
        <v/>
      </c>
      <c r="H40" s="49" t="s">
        <v>19</v>
      </c>
      <c r="I40" s="4">
        <f>IF(AND(Trim_and_fill="On",Additional_valid_options="Yes",L38&lt;&gt;""),I37+ABS(TINV((1-Additional_confidence_level),k_+L39-1))*I38,"")</f>
        <v>0.72880362131251597</v>
      </c>
      <c r="M40" s="176"/>
      <c r="T40" s="176"/>
      <c r="V40" s="130" t="str">
        <f t="shared" si="15"/>
        <v/>
      </c>
      <c r="W40" s="74" t="str">
        <f>IF(AND(Include_study?="Yes",Sufficient_data="Yes"),((E:E-I$29)*SQRT(Calculations!FU:FU))/SQRT(1-Calculations!FU:FU/SUM(Calculations!FU:FU)),"")</f>
        <v/>
      </c>
      <c r="AA40" s="44"/>
      <c r="AE40" s="176"/>
      <c r="AG40" s="130" t="str">
        <f t="shared" si="16"/>
        <v/>
      </c>
      <c r="AH40" s="39" t="str">
        <f t="shared" si="5"/>
        <v/>
      </c>
      <c r="AI40" s="74" t="str">
        <f t="shared" si="6"/>
        <v/>
      </c>
      <c r="AR40" s="176"/>
      <c r="AT40" s="130" t="str">
        <f t="shared" si="17"/>
        <v/>
      </c>
      <c r="AU40" s="39" t="str">
        <f t="shared" si="18"/>
        <v/>
      </c>
      <c r="AV40" s="74" t="str">
        <f t="shared" si="19"/>
        <v/>
      </c>
      <c r="BC40" s="176"/>
      <c r="BE40" s="130" t="str">
        <f t="shared" si="20"/>
        <v/>
      </c>
      <c r="BF40" s="39" t="str">
        <f>IF(AND(Include_study?="Yes",Sufficient_data="Yes"),NORMSINV(Calculations!IW40),"")</f>
        <v/>
      </c>
      <c r="BG40" s="74" t="str">
        <f t="shared" si="21"/>
        <v/>
      </c>
      <c r="BP40" s="176"/>
      <c r="BT40" s="176"/>
    </row>
    <row r="41" spans="1:72" x14ac:dyDescent="0.2">
      <c r="D41" s="84" t="str">
        <f t="shared" si="12"/>
        <v/>
      </c>
      <c r="E41" s="132" t="str">
        <f t="shared" si="13"/>
        <v/>
      </c>
      <c r="F41" s="39" t="str">
        <f t="shared" si="14"/>
        <v/>
      </c>
      <c r="H41" s="49" t="s">
        <v>20</v>
      </c>
      <c r="I41" s="174">
        <f>IF(AND(Trim_and_fill="On",Additional_valid_options="Yes",L38&lt;&gt;""),I37-ABS(TINV((1-Additional_confidence_level),k_+L39-1))*SQRT(I38^2+L32),"")</f>
        <v>-5.2599383424263013E-2</v>
      </c>
      <c r="M41" s="176"/>
      <c r="T41" s="176"/>
      <c r="V41" s="130" t="str">
        <f t="shared" si="15"/>
        <v/>
      </c>
      <c r="W41" s="74" t="str">
        <f>IF(AND(Include_study?="Yes",Sufficient_data="Yes"),((E:E-I$29)*SQRT(Calculations!FU:FU))/SQRT(1-Calculations!FU:FU/SUM(Calculations!FU:FU)),"")</f>
        <v/>
      </c>
      <c r="Y41" s="45" t="s">
        <v>343</v>
      </c>
      <c r="AE41" s="176"/>
      <c r="AG41" s="130" t="str">
        <f t="shared" si="16"/>
        <v/>
      </c>
      <c r="AH41" s="39" t="str">
        <f t="shared" si="5"/>
        <v/>
      </c>
      <c r="AI41" s="74" t="str">
        <f t="shared" si="6"/>
        <v/>
      </c>
      <c r="AR41" s="176"/>
      <c r="AT41" s="130" t="str">
        <f t="shared" si="17"/>
        <v/>
      </c>
      <c r="AU41" s="39" t="str">
        <f t="shared" si="18"/>
        <v/>
      </c>
      <c r="AV41" s="74" t="str">
        <f t="shared" si="19"/>
        <v/>
      </c>
      <c r="BC41" s="176"/>
      <c r="BE41" s="130" t="str">
        <f t="shared" si="20"/>
        <v/>
      </c>
      <c r="BF41" s="39" t="str">
        <f>IF(AND(Include_study?="Yes",Sufficient_data="Yes"),NORMSINV(Calculations!IW41),"")</f>
        <v/>
      </c>
      <c r="BG41" s="74" t="str">
        <f t="shared" si="21"/>
        <v/>
      </c>
      <c r="BP41" s="176"/>
      <c r="BT41" s="176"/>
    </row>
    <row r="42" spans="1:72" x14ac:dyDescent="0.2">
      <c r="D42" s="84" t="str">
        <f t="shared" si="12"/>
        <v/>
      </c>
      <c r="E42" s="132" t="str">
        <f t="shared" si="13"/>
        <v/>
      </c>
      <c r="F42" s="39" t="str">
        <f t="shared" si="14"/>
        <v/>
      </c>
      <c r="H42" s="49" t="s">
        <v>21</v>
      </c>
      <c r="I42" s="174">
        <f>IF(AND(Trim_and_fill="On",Additional_valid_options="Yes",L38&lt;&gt;""),I37+ABS(TINV((1-Additional_confidence_level),k_+L39-1))*SQRT(I38^2+L32),"")</f>
        <v>0.8984764433872614</v>
      </c>
      <c r="M42" s="176"/>
      <c r="T42" s="176"/>
      <c r="V42" s="130" t="str">
        <f t="shared" si="15"/>
        <v/>
      </c>
      <c r="W42" s="74" t="str">
        <f>IF(AND(Include_study?="Yes",Sufficient_data="Yes"),((E:E-I$29)*SQRT(Calculations!FU:FU))/SQRT(1-Calculations!FU:FU/SUM(Calculations!FU:FU)),"")</f>
        <v/>
      </c>
      <c r="AA42" s="44"/>
      <c r="AE42" s="176"/>
      <c r="AG42" s="130" t="str">
        <f t="shared" si="16"/>
        <v/>
      </c>
      <c r="AH42" s="39" t="str">
        <f t="shared" si="5"/>
        <v/>
      </c>
      <c r="AI42" s="74" t="str">
        <f t="shared" si="6"/>
        <v/>
      </c>
      <c r="AR42" s="176"/>
      <c r="AT42" s="130" t="str">
        <f t="shared" si="17"/>
        <v/>
      </c>
      <c r="AU42" s="39" t="str">
        <f t="shared" si="18"/>
        <v/>
      </c>
      <c r="AV42" s="74" t="str">
        <f t="shared" si="19"/>
        <v/>
      </c>
      <c r="BC42" s="176"/>
      <c r="BE42" s="130" t="str">
        <f t="shared" si="20"/>
        <v/>
      </c>
      <c r="BF42" s="39" t="str">
        <f>IF(AND(Include_study?="Yes",Sufficient_data="Yes"),NORMSINV(Calculations!IW42),"")</f>
        <v/>
      </c>
      <c r="BG42" s="74" t="str">
        <f t="shared" si="21"/>
        <v/>
      </c>
      <c r="BP42" s="176"/>
      <c r="BT42" s="176"/>
    </row>
    <row r="43" spans="1:72" x14ac:dyDescent="0.2">
      <c r="D43" s="84" t="str">
        <f t="shared" si="12"/>
        <v/>
      </c>
      <c r="E43" s="132" t="str">
        <f t="shared" si="13"/>
        <v/>
      </c>
      <c r="F43" s="39" t="str">
        <f t="shared" si="14"/>
        <v/>
      </c>
      <c r="J43" s="21"/>
      <c r="M43" s="176"/>
      <c r="T43" s="176"/>
      <c r="V43" s="130" t="str">
        <f t="shared" si="15"/>
        <v/>
      </c>
      <c r="W43" s="74" t="str">
        <f>IF(AND(Include_study?="Yes",Sufficient_data="Yes"),((E:E-I$29)*SQRT(Calculations!FU:FU))/SQRT(1-Calculations!FU:FU/SUM(Calculations!FU:FU)),"")</f>
        <v/>
      </c>
      <c r="AA43" s="44"/>
      <c r="AE43" s="176"/>
      <c r="AG43" s="130" t="str">
        <f t="shared" si="16"/>
        <v/>
      </c>
      <c r="AH43" s="39" t="str">
        <f t="shared" si="5"/>
        <v/>
      </c>
      <c r="AI43" s="74" t="str">
        <f t="shared" si="6"/>
        <v/>
      </c>
      <c r="AR43" s="176"/>
      <c r="AT43" s="130" t="str">
        <f t="shared" si="17"/>
        <v/>
      </c>
      <c r="AU43" s="39" t="str">
        <f t="shared" si="18"/>
        <v/>
      </c>
      <c r="AV43" s="74" t="str">
        <f t="shared" si="19"/>
        <v/>
      </c>
      <c r="BC43" s="176"/>
      <c r="BE43" s="130" t="str">
        <f t="shared" si="20"/>
        <v/>
      </c>
      <c r="BF43" s="39" t="str">
        <f>IF(AND(Include_study?="Yes",Sufficient_data="Yes"),NORMSINV(Calculations!IW43),"")</f>
        <v/>
      </c>
      <c r="BG43" s="74" t="str">
        <f t="shared" si="21"/>
        <v/>
      </c>
      <c r="BP43" s="176"/>
      <c r="BT43" s="176"/>
    </row>
    <row r="44" spans="1:72" x14ac:dyDescent="0.2">
      <c r="D44" s="84" t="str">
        <f t="shared" si="12"/>
        <v/>
      </c>
      <c r="E44" s="132" t="str">
        <f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/>
      </c>
      <c r="F44" s="39" t="str">
        <f t="shared" si="14"/>
        <v/>
      </c>
      <c r="J44" s="21"/>
      <c r="M44" s="176"/>
      <c r="T44" s="176"/>
      <c r="V44" s="130" t="str">
        <f t="shared" si="15"/>
        <v/>
      </c>
      <c r="W44" s="74" t="str">
        <f>IF(AND(Include_study?="Yes",Sufficient_data="Yes"),((E:E-I$29)*SQRT(Calculations!FU:FU))/SQRT(1-Calculations!FU:FU/SUM(Calculations!FU:FU)),"")</f>
        <v/>
      </c>
      <c r="AE44" s="176"/>
      <c r="AG44" s="130" t="str">
        <f t="shared" si="16"/>
        <v/>
      </c>
      <c r="AH44" s="39" t="str">
        <f t="shared" si="5"/>
        <v/>
      </c>
      <c r="AI44" s="74" t="str">
        <f t="shared" si="6"/>
        <v/>
      </c>
      <c r="AR44" s="176"/>
      <c r="AT44" s="130" t="str">
        <f t="shared" si="17"/>
        <v/>
      </c>
      <c r="AU44" s="39" t="str">
        <f t="shared" si="18"/>
        <v/>
      </c>
      <c r="AV44" s="74" t="str">
        <f t="shared" si="19"/>
        <v/>
      </c>
      <c r="BC44" s="176"/>
      <c r="BE44" s="130" t="str">
        <f t="shared" si="20"/>
        <v/>
      </c>
      <c r="BF44" s="39" t="str">
        <f>IF(AND(Include_study?="Yes",Sufficient_data="Yes"),NORMSINV(Calculations!IW44),"")</f>
        <v/>
      </c>
      <c r="BG44" s="74" t="str">
        <f t="shared" si="21"/>
        <v/>
      </c>
      <c r="BP44" s="176"/>
      <c r="BT44" s="176"/>
    </row>
    <row r="45" spans="1:72" x14ac:dyDescent="0.2">
      <c r="D45" s="84" t="str">
        <f t="shared" si="12"/>
        <v/>
      </c>
      <c r="E45" s="132" t="str">
        <f t="shared" si="13"/>
        <v/>
      </c>
      <c r="F45" s="39" t="str">
        <f t="shared" si="14"/>
        <v/>
      </c>
      <c r="M45" s="176"/>
      <c r="T45" s="176"/>
      <c r="V45" s="130" t="str">
        <f t="shared" si="15"/>
        <v/>
      </c>
      <c r="W45" s="74" t="str">
        <f>IF(AND(Include_study?="Yes",Sufficient_data="Yes"),((E:E-I$29)*SQRT(Calculations!FU:FU))/SQRT(1-Calculations!FU:FU/SUM(Calculations!FU:FU)),"")</f>
        <v/>
      </c>
      <c r="AE45" s="176"/>
      <c r="AG45" s="130" t="str">
        <f t="shared" si="16"/>
        <v/>
      </c>
      <c r="AH45" s="39" t="str">
        <f t="shared" si="5"/>
        <v/>
      </c>
      <c r="AI45" s="74" t="str">
        <f t="shared" si="6"/>
        <v/>
      </c>
      <c r="AR45" s="176"/>
      <c r="AT45" s="130" t="str">
        <f t="shared" si="17"/>
        <v/>
      </c>
      <c r="AU45" s="39" t="str">
        <f t="shared" si="18"/>
        <v/>
      </c>
      <c r="AV45" s="74" t="str">
        <f t="shared" si="19"/>
        <v/>
      </c>
      <c r="BC45" s="176"/>
      <c r="BE45" s="130" t="str">
        <f t="shared" si="20"/>
        <v/>
      </c>
      <c r="BF45" s="39" t="str">
        <f>IF(AND(Include_study?="Yes",Sufficient_data="Yes"),NORMSINV(Calculations!IW45),"")</f>
        <v/>
      </c>
      <c r="BG45" s="74" t="str">
        <f t="shared" si="21"/>
        <v/>
      </c>
      <c r="BP45" s="176"/>
      <c r="BT45" s="176"/>
    </row>
    <row r="46" spans="1:72" x14ac:dyDescent="0.2">
      <c r="D46" s="84" t="str">
        <f t="shared" si="12"/>
        <v/>
      </c>
      <c r="E46" s="132" t="str">
        <f t="shared" si="13"/>
        <v/>
      </c>
      <c r="F46" s="39" t="str">
        <f t="shared" si="14"/>
        <v/>
      </c>
      <c r="M46" s="176"/>
      <c r="T46" s="176"/>
      <c r="V46" s="130" t="str">
        <f t="shared" si="15"/>
        <v/>
      </c>
      <c r="W46" s="74" t="str">
        <f>IF(AND(Include_study?="Yes",Sufficient_data="Yes"),((E:E-I$29)*SQRT(Calculations!FU:FU))/SQRT(1-Calculations!FU:FU/SUM(Calculations!FU:FU)),"")</f>
        <v/>
      </c>
      <c r="AE46" s="176"/>
      <c r="AG46" s="130" t="str">
        <f t="shared" si="16"/>
        <v/>
      </c>
      <c r="AH46" s="39" t="str">
        <f t="shared" si="5"/>
        <v/>
      </c>
      <c r="AI46" s="74" t="str">
        <f t="shared" si="6"/>
        <v/>
      </c>
      <c r="AR46" s="176"/>
      <c r="AT46" s="130" t="str">
        <f t="shared" si="17"/>
        <v/>
      </c>
      <c r="AU46" s="39" t="str">
        <f t="shared" si="18"/>
        <v/>
      </c>
      <c r="AV46" s="74" t="str">
        <f t="shared" si="19"/>
        <v/>
      </c>
      <c r="BC46" s="176"/>
      <c r="BE46" s="130" t="str">
        <f t="shared" si="20"/>
        <v/>
      </c>
      <c r="BF46" s="39" t="str">
        <f>IF(AND(Include_study?="Yes",Sufficient_data="Yes"),NORMSINV(Calculations!IW46),"")</f>
        <v/>
      </c>
      <c r="BG46" s="74" t="str">
        <f t="shared" si="21"/>
        <v/>
      </c>
      <c r="BP46" s="176"/>
      <c r="BT46" s="176"/>
    </row>
    <row r="47" spans="1:72" x14ac:dyDescent="0.2">
      <c r="D47" s="84" t="str">
        <f t="shared" si="12"/>
        <v/>
      </c>
      <c r="E47" s="132" t="str">
        <f t="shared" si="13"/>
        <v/>
      </c>
      <c r="F47" s="39" t="str">
        <f t="shared" si="14"/>
        <v/>
      </c>
      <c r="M47" s="176"/>
      <c r="T47" s="176"/>
      <c r="V47" s="130" t="str">
        <f t="shared" si="15"/>
        <v/>
      </c>
      <c r="W47" s="74" t="str">
        <f>IF(AND(Include_study?="Yes",Sufficient_data="Yes"),((E:E-I$29)*SQRT(Calculations!FU:FU))/SQRT(1-Calculations!FU:FU/SUM(Calculations!FU:FU)),"")</f>
        <v/>
      </c>
      <c r="AE47" s="176"/>
      <c r="AG47" s="130" t="str">
        <f t="shared" si="16"/>
        <v/>
      </c>
      <c r="AH47" s="39" t="str">
        <f t="shared" si="5"/>
        <v/>
      </c>
      <c r="AI47" s="74" t="str">
        <f t="shared" si="6"/>
        <v/>
      </c>
      <c r="AR47" s="176"/>
      <c r="AT47" s="130" t="str">
        <f t="shared" si="17"/>
        <v/>
      </c>
      <c r="AU47" s="39" t="str">
        <f t="shared" si="18"/>
        <v/>
      </c>
      <c r="AV47" s="74" t="str">
        <f t="shared" si="19"/>
        <v/>
      </c>
      <c r="BC47" s="176"/>
      <c r="BE47" s="130" t="str">
        <f t="shared" si="20"/>
        <v/>
      </c>
      <c r="BF47" s="39" t="str">
        <f>IF(AND(Include_study?="Yes",Sufficient_data="Yes"),NORMSINV(Calculations!IW47),"")</f>
        <v/>
      </c>
      <c r="BG47" s="74" t="str">
        <f t="shared" si="21"/>
        <v/>
      </c>
      <c r="BP47" s="176"/>
      <c r="BT47" s="176"/>
    </row>
    <row r="48" spans="1:72" x14ac:dyDescent="0.2">
      <c r="D48" s="84" t="str">
        <f t="shared" si="12"/>
        <v/>
      </c>
      <c r="E48" s="132" t="str">
        <f t="shared" si="13"/>
        <v/>
      </c>
      <c r="F48" s="39" t="str">
        <f t="shared" si="14"/>
        <v/>
      </c>
      <c r="M48" s="176"/>
      <c r="T48" s="176"/>
      <c r="V48" s="130" t="str">
        <f t="shared" si="15"/>
        <v/>
      </c>
      <c r="W48" s="74" t="str">
        <f>IF(AND(Include_study?="Yes",Sufficient_data="Yes"),((E:E-I$29)*SQRT(Calculations!FU:FU))/SQRT(1-Calculations!FU:FU/SUM(Calculations!FU:FU)),"")</f>
        <v/>
      </c>
      <c r="AE48" s="176"/>
      <c r="AG48" s="130" t="str">
        <f t="shared" si="16"/>
        <v/>
      </c>
      <c r="AH48" s="39" t="str">
        <f t="shared" si="5"/>
        <v/>
      </c>
      <c r="AI48" s="74" t="str">
        <f t="shared" si="6"/>
        <v/>
      </c>
      <c r="AR48" s="176"/>
      <c r="AT48" s="130" t="str">
        <f t="shared" si="17"/>
        <v/>
      </c>
      <c r="AU48" s="39" t="str">
        <f t="shared" si="18"/>
        <v/>
      </c>
      <c r="AV48" s="74" t="str">
        <f t="shared" si="19"/>
        <v/>
      </c>
      <c r="BC48" s="176"/>
      <c r="BE48" s="130" t="str">
        <f t="shared" si="20"/>
        <v/>
      </c>
      <c r="BF48" s="39" t="str">
        <f>IF(AND(Include_study?="Yes",Sufficient_data="Yes"),NORMSINV(Calculations!IW48),"")</f>
        <v/>
      </c>
      <c r="BG48" s="74" t="str">
        <f t="shared" si="21"/>
        <v/>
      </c>
      <c r="BP48" s="176"/>
      <c r="BT48" s="176"/>
    </row>
    <row r="49" spans="4:72" x14ac:dyDescent="0.2">
      <c r="D49" s="84" t="str">
        <f t="shared" si="12"/>
        <v/>
      </c>
      <c r="E49" s="132" t="str">
        <f t="shared" si="13"/>
        <v/>
      </c>
      <c r="F49" s="39" t="str">
        <f t="shared" si="14"/>
        <v/>
      </c>
      <c r="M49" s="176"/>
      <c r="T49" s="176"/>
      <c r="V49" s="130" t="str">
        <f t="shared" si="15"/>
        <v/>
      </c>
      <c r="W49" s="74" t="str">
        <f>IF(AND(Include_study?="Yes",Sufficient_data="Yes"),((E:E-I$29)*SQRT(Calculations!FU:FU))/SQRT(1-Calculations!FU:FU/SUM(Calculations!FU:FU)),"")</f>
        <v/>
      </c>
      <c r="AE49" s="176"/>
      <c r="AG49" s="130" t="str">
        <f t="shared" si="16"/>
        <v/>
      </c>
      <c r="AH49" s="39" t="str">
        <f t="shared" si="5"/>
        <v/>
      </c>
      <c r="AI49" s="74" t="str">
        <f t="shared" si="6"/>
        <v/>
      </c>
      <c r="AR49" s="176"/>
      <c r="AT49" s="130" t="str">
        <f t="shared" si="17"/>
        <v/>
      </c>
      <c r="AU49" s="39" t="str">
        <f t="shared" si="18"/>
        <v/>
      </c>
      <c r="AV49" s="74" t="str">
        <f t="shared" si="19"/>
        <v/>
      </c>
      <c r="BC49" s="176"/>
      <c r="BE49" s="130" t="str">
        <f t="shared" si="20"/>
        <v/>
      </c>
      <c r="BF49" s="39" t="str">
        <f>IF(AND(Include_study?="Yes",Sufficient_data="Yes"),NORMSINV(Calculations!IW49),"")</f>
        <v/>
      </c>
      <c r="BG49" s="74" t="str">
        <f t="shared" si="21"/>
        <v/>
      </c>
      <c r="BP49" s="176"/>
      <c r="BT49" s="176"/>
    </row>
    <row r="50" spans="4:72" x14ac:dyDescent="0.2">
      <c r="D50" s="84" t="str">
        <f t="shared" si="12"/>
        <v/>
      </c>
      <c r="E50" s="132" t="str">
        <f t="shared" si="13"/>
        <v/>
      </c>
      <c r="F50" s="39" t="str">
        <f t="shared" si="14"/>
        <v/>
      </c>
      <c r="M50" s="176"/>
      <c r="T50" s="176"/>
      <c r="V50" s="130" t="str">
        <f t="shared" si="15"/>
        <v/>
      </c>
      <c r="W50" s="74" t="str">
        <f>IF(AND(Include_study?="Yes",Sufficient_data="Yes"),((E:E-I$29)*SQRT(Calculations!FU:FU))/SQRT(1-Calculations!FU:FU/SUM(Calculations!FU:FU)),"")</f>
        <v/>
      </c>
      <c r="AE50" s="176"/>
      <c r="AG50" s="130" t="str">
        <f t="shared" si="16"/>
        <v/>
      </c>
      <c r="AH50" s="39" t="str">
        <f t="shared" si="5"/>
        <v/>
      </c>
      <c r="AI50" s="74" t="str">
        <f t="shared" si="6"/>
        <v/>
      </c>
      <c r="AR50" s="176"/>
      <c r="AT50" s="130" t="str">
        <f t="shared" si="17"/>
        <v/>
      </c>
      <c r="AU50" s="39" t="str">
        <f t="shared" si="18"/>
        <v/>
      </c>
      <c r="AV50" s="74" t="str">
        <f t="shared" si="19"/>
        <v/>
      </c>
      <c r="BC50" s="176"/>
      <c r="BE50" s="130" t="str">
        <f t="shared" si="20"/>
        <v/>
      </c>
      <c r="BF50" s="39" t="str">
        <f>IF(AND(Include_study?="Yes",Sufficient_data="Yes"),NORMSINV(Calculations!IW50),"")</f>
        <v/>
      </c>
      <c r="BG50" s="74" t="str">
        <f t="shared" si="21"/>
        <v/>
      </c>
      <c r="BP50" s="176"/>
      <c r="BT50" s="176"/>
    </row>
    <row r="51" spans="4:72" x14ac:dyDescent="0.2">
      <c r="D51" s="84" t="str">
        <f t="shared" si="12"/>
        <v/>
      </c>
      <c r="E51" s="132" t="str">
        <f t="shared" si="13"/>
        <v/>
      </c>
      <c r="F51" s="39" t="str">
        <f t="shared" si="14"/>
        <v/>
      </c>
      <c r="M51" s="176"/>
      <c r="T51" s="176"/>
      <c r="V51" s="130" t="str">
        <f t="shared" si="15"/>
        <v/>
      </c>
      <c r="W51" s="74" t="str">
        <f>IF(AND(Include_study?="Yes",Sufficient_data="Yes"),((E:E-I$29)*SQRT(Calculations!FU:FU))/SQRT(1-Calculations!FU:FU/SUM(Calculations!FU:FU)),"")</f>
        <v/>
      </c>
      <c r="AE51" s="176"/>
      <c r="AG51" s="130" t="str">
        <f t="shared" si="16"/>
        <v/>
      </c>
      <c r="AH51" s="39" t="str">
        <f t="shared" si="5"/>
        <v/>
      </c>
      <c r="AI51" s="74" t="str">
        <f t="shared" si="6"/>
        <v/>
      </c>
      <c r="AR51" s="176"/>
      <c r="AT51" s="130" t="str">
        <f t="shared" si="17"/>
        <v/>
      </c>
      <c r="AU51" s="39" t="str">
        <f t="shared" si="18"/>
        <v/>
      </c>
      <c r="AV51" s="74" t="str">
        <f t="shared" si="19"/>
        <v/>
      </c>
      <c r="BC51" s="176"/>
      <c r="BE51" s="130" t="str">
        <f t="shared" si="20"/>
        <v/>
      </c>
      <c r="BF51" s="39" t="str">
        <f>IF(AND(Include_study?="Yes",Sufficient_data="Yes"),NORMSINV(Calculations!IW51),"")</f>
        <v/>
      </c>
      <c r="BG51" s="74" t="str">
        <f t="shared" si="21"/>
        <v/>
      </c>
      <c r="BP51" s="176"/>
      <c r="BT51" s="176"/>
    </row>
    <row r="52" spans="4:72" x14ac:dyDescent="0.2">
      <c r="D52" s="84" t="str">
        <f t="shared" si="12"/>
        <v/>
      </c>
      <c r="E52" s="132" t="str">
        <f t="shared" si="13"/>
        <v/>
      </c>
      <c r="F52" s="39" t="str">
        <f t="shared" si="14"/>
        <v/>
      </c>
      <c r="M52" s="176"/>
      <c r="T52" s="176"/>
      <c r="V52" s="130" t="str">
        <f t="shared" si="15"/>
        <v/>
      </c>
      <c r="W52" s="74" t="str">
        <f>IF(AND(Include_study?="Yes",Sufficient_data="Yes"),((E:E-I$29)*SQRT(Calculations!FU:FU))/SQRT(1-Calculations!FU:FU/SUM(Calculations!FU:FU)),"")</f>
        <v/>
      </c>
      <c r="AE52" s="176"/>
      <c r="AG52" s="130" t="str">
        <f t="shared" si="16"/>
        <v/>
      </c>
      <c r="AH52" s="39" t="str">
        <f t="shared" si="5"/>
        <v/>
      </c>
      <c r="AI52" s="74" t="str">
        <f t="shared" si="6"/>
        <v/>
      </c>
      <c r="AR52" s="176"/>
      <c r="AT52" s="130" t="str">
        <f t="shared" si="17"/>
        <v/>
      </c>
      <c r="AU52" s="39" t="str">
        <f t="shared" si="18"/>
        <v/>
      </c>
      <c r="AV52" s="74" t="str">
        <f t="shared" si="19"/>
        <v/>
      </c>
      <c r="BC52" s="176"/>
      <c r="BE52" s="130" t="str">
        <f t="shared" si="20"/>
        <v/>
      </c>
      <c r="BF52" s="39" t="str">
        <f>IF(AND(Include_study?="Yes",Sufficient_data="Yes"),NORMSINV(Calculations!IW52),"")</f>
        <v/>
      </c>
      <c r="BG52" s="74" t="str">
        <f t="shared" si="21"/>
        <v/>
      </c>
      <c r="BP52" s="176"/>
      <c r="BT52" s="176"/>
    </row>
    <row r="53" spans="4:72" x14ac:dyDescent="0.2">
      <c r="D53" s="84" t="str">
        <f t="shared" si="12"/>
        <v/>
      </c>
      <c r="E53" s="132" t="str">
        <f t="shared" si="13"/>
        <v/>
      </c>
      <c r="F53" s="39" t="str">
        <f t="shared" si="14"/>
        <v/>
      </c>
      <c r="M53" s="176"/>
      <c r="T53" s="176"/>
      <c r="V53" s="130" t="str">
        <f t="shared" si="15"/>
        <v/>
      </c>
      <c r="W53" s="74" t="str">
        <f>IF(AND(Include_study?="Yes",Sufficient_data="Yes"),((E:E-I$29)*SQRT(Calculations!FU:FU))/SQRT(1-Calculations!FU:FU/SUM(Calculations!FU:FU)),"")</f>
        <v/>
      </c>
      <c r="AE53" s="176"/>
      <c r="AG53" s="130" t="str">
        <f t="shared" si="16"/>
        <v/>
      </c>
      <c r="AH53" s="39" t="str">
        <f t="shared" si="5"/>
        <v/>
      </c>
      <c r="AI53" s="74" t="str">
        <f t="shared" si="6"/>
        <v/>
      </c>
      <c r="AR53" s="176"/>
      <c r="AT53" s="130" t="str">
        <f t="shared" si="17"/>
        <v/>
      </c>
      <c r="AU53" s="39" t="str">
        <f t="shared" si="18"/>
        <v/>
      </c>
      <c r="AV53" s="74" t="str">
        <f t="shared" si="19"/>
        <v/>
      </c>
      <c r="BC53" s="176"/>
      <c r="BE53" s="130" t="str">
        <f t="shared" si="20"/>
        <v/>
      </c>
      <c r="BF53" s="39" t="str">
        <f>IF(AND(Include_study?="Yes",Sufficient_data="Yes"),NORMSINV(Calculations!IW53),"")</f>
        <v/>
      </c>
      <c r="BG53" s="74" t="str">
        <f t="shared" si="21"/>
        <v/>
      </c>
      <c r="BP53" s="176"/>
      <c r="BT53" s="176"/>
    </row>
    <row r="54" spans="4:72" x14ac:dyDescent="0.2">
      <c r="D54" s="84" t="str">
        <f t="shared" si="12"/>
        <v/>
      </c>
      <c r="E54" s="132" t="str">
        <f t="shared" si="13"/>
        <v/>
      </c>
      <c r="F54" s="39" t="str">
        <f t="shared" si="14"/>
        <v/>
      </c>
      <c r="M54" s="176"/>
      <c r="T54" s="176"/>
      <c r="V54" s="130" t="str">
        <f t="shared" si="15"/>
        <v/>
      </c>
      <c r="W54" s="74" t="str">
        <f>IF(AND(Include_study?="Yes",Sufficient_data="Yes"),((E:E-I$29)*SQRT(Calculations!FU:FU))/SQRT(1-Calculations!FU:FU/SUM(Calculations!FU:FU)),"")</f>
        <v/>
      </c>
      <c r="AE54" s="176"/>
      <c r="AG54" s="130" t="str">
        <f t="shared" si="16"/>
        <v/>
      </c>
      <c r="AH54" s="39" t="str">
        <f t="shared" si="5"/>
        <v/>
      </c>
      <c r="AI54" s="74" t="str">
        <f t="shared" si="6"/>
        <v/>
      </c>
      <c r="AR54" s="176"/>
      <c r="AT54" s="130" t="str">
        <f t="shared" si="17"/>
        <v/>
      </c>
      <c r="AU54" s="39" t="str">
        <f t="shared" si="18"/>
        <v/>
      </c>
      <c r="AV54" s="74" t="str">
        <f t="shared" si="19"/>
        <v/>
      </c>
      <c r="BC54" s="176"/>
      <c r="BE54" s="130" t="str">
        <f t="shared" si="20"/>
        <v/>
      </c>
      <c r="BF54" s="39" t="str">
        <f>IF(AND(Include_study?="Yes",Sufficient_data="Yes"),NORMSINV(Calculations!IW54),"")</f>
        <v/>
      </c>
      <c r="BG54" s="74" t="str">
        <f t="shared" si="21"/>
        <v/>
      </c>
      <c r="BP54" s="176"/>
      <c r="BT54" s="176"/>
    </row>
    <row r="55" spans="4:72" x14ac:dyDescent="0.2">
      <c r="D55" s="84" t="str">
        <f t="shared" si="12"/>
        <v/>
      </c>
      <c r="E55" s="132" t="str">
        <f t="shared" si="13"/>
        <v/>
      </c>
      <c r="F55" s="39" t="str">
        <f t="shared" si="14"/>
        <v/>
      </c>
      <c r="M55" s="176"/>
      <c r="T55" s="176"/>
      <c r="V55" s="130" t="str">
        <f t="shared" si="15"/>
        <v/>
      </c>
      <c r="W55" s="74" t="str">
        <f>IF(AND(Include_study?="Yes",Sufficient_data="Yes"),((E:E-I$29)*SQRT(Calculations!FU:FU))/SQRT(1-Calculations!FU:FU/SUM(Calculations!FU:FU)),"")</f>
        <v/>
      </c>
      <c r="AE55" s="176"/>
      <c r="AG55" s="130" t="str">
        <f t="shared" si="16"/>
        <v/>
      </c>
      <c r="AH55" s="39" t="str">
        <f t="shared" si="5"/>
        <v/>
      </c>
      <c r="AI55" s="74" t="str">
        <f t="shared" si="6"/>
        <v/>
      </c>
      <c r="AR55" s="176"/>
      <c r="AT55" s="130" t="str">
        <f t="shared" si="17"/>
        <v/>
      </c>
      <c r="AU55" s="39" t="str">
        <f t="shared" si="18"/>
        <v/>
      </c>
      <c r="AV55" s="74" t="str">
        <f t="shared" si="19"/>
        <v/>
      </c>
      <c r="BC55" s="176"/>
      <c r="BE55" s="130" t="str">
        <f t="shared" si="20"/>
        <v/>
      </c>
      <c r="BF55" s="39" t="str">
        <f>IF(AND(Include_study?="Yes",Sufficient_data="Yes"),NORMSINV(Calculations!IW55),"")</f>
        <v/>
      </c>
      <c r="BG55" s="74" t="str">
        <f t="shared" si="21"/>
        <v/>
      </c>
      <c r="BP55" s="176"/>
      <c r="BT55" s="176"/>
    </row>
    <row r="56" spans="4:72" x14ac:dyDescent="0.2">
      <c r="D56" s="84" t="str">
        <f t="shared" si="12"/>
        <v/>
      </c>
      <c r="E56" s="132" t="str">
        <f t="shared" si="13"/>
        <v/>
      </c>
      <c r="F56" s="39" t="str">
        <f t="shared" si="14"/>
        <v/>
      </c>
      <c r="M56" s="176"/>
      <c r="T56" s="176"/>
      <c r="V56" s="130" t="str">
        <f t="shared" si="15"/>
        <v/>
      </c>
      <c r="W56" s="74" t="str">
        <f>IF(AND(Include_study?="Yes",Sufficient_data="Yes"),((E:E-I$29)*SQRT(Calculations!FU:FU))/SQRT(1-Calculations!FU:FU/SUM(Calculations!FU:FU)),"")</f>
        <v/>
      </c>
      <c r="AE56" s="176"/>
      <c r="AG56" s="130" t="str">
        <f t="shared" si="16"/>
        <v/>
      </c>
      <c r="AH56" s="39" t="str">
        <f t="shared" si="5"/>
        <v/>
      </c>
      <c r="AI56" s="74" t="str">
        <f t="shared" si="6"/>
        <v/>
      </c>
      <c r="AR56" s="176"/>
      <c r="AT56" s="130" t="str">
        <f t="shared" si="17"/>
        <v/>
      </c>
      <c r="AU56" s="39" t="str">
        <f t="shared" si="18"/>
        <v/>
      </c>
      <c r="AV56" s="74" t="str">
        <f t="shared" si="19"/>
        <v/>
      </c>
      <c r="BC56" s="176"/>
      <c r="BE56" s="130" t="str">
        <f t="shared" si="20"/>
        <v/>
      </c>
      <c r="BF56" s="39" t="str">
        <f>IF(AND(Include_study?="Yes",Sufficient_data="Yes"),NORMSINV(Calculations!IW56),"")</f>
        <v/>
      </c>
      <c r="BG56" s="74" t="str">
        <f t="shared" si="21"/>
        <v/>
      </c>
      <c r="BP56" s="176"/>
      <c r="BT56" s="176"/>
    </row>
    <row r="57" spans="4:72" x14ac:dyDescent="0.2">
      <c r="D57" s="84" t="str">
        <f t="shared" si="12"/>
        <v/>
      </c>
      <c r="E57" s="132" t="str">
        <f t="shared" si="13"/>
        <v/>
      </c>
      <c r="F57" s="39" t="str">
        <f t="shared" si="14"/>
        <v/>
      </c>
      <c r="M57" s="176"/>
      <c r="T57" s="176"/>
      <c r="V57" s="130" t="str">
        <f t="shared" si="15"/>
        <v/>
      </c>
      <c r="W57" s="74" t="str">
        <f>IF(AND(Include_study?="Yes",Sufficient_data="Yes"),((E:E-I$29)*SQRT(Calculations!FU:FU))/SQRT(1-Calculations!FU:FU/SUM(Calculations!FU:FU)),"")</f>
        <v/>
      </c>
      <c r="AE57" s="176"/>
      <c r="AG57" s="130" t="str">
        <f t="shared" si="16"/>
        <v/>
      </c>
      <c r="AH57" s="39" t="str">
        <f t="shared" si="5"/>
        <v/>
      </c>
      <c r="AI57" s="74" t="str">
        <f t="shared" si="6"/>
        <v/>
      </c>
      <c r="AR57" s="176"/>
      <c r="AT57" s="130" t="str">
        <f t="shared" si="17"/>
        <v/>
      </c>
      <c r="AU57" s="39" t="str">
        <f t="shared" si="18"/>
        <v/>
      </c>
      <c r="AV57" s="74" t="str">
        <f t="shared" si="19"/>
        <v/>
      </c>
      <c r="BC57" s="176"/>
      <c r="BE57" s="130" t="str">
        <f t="shared" si="20"/>
        <v/>
      </c>
      <c r="BF57" s="39" t="str">
        <f>IF(AND(Include_study?="Yes",Sufficient_data="Yes"),NORMSINV(Calculations!IW57),"")</f>
        <v/>
      </c>
      <c r="BG57" s="74" t="str">
        <f t="shared" si="21"/>
        <v/>
      </c>
      <c r="BP57" s="176"/>
      <c r="BT57" s="176"/>
    </row>
    <row r="58" spans="4:72" x14ac:dyDescent="0.2">
      <c r="D58" s="84" t="str">
        <f t="shared" si="12"/>
        <v/>
      </c>
      <c r="E58" s="132" t="str">
        <f t="shared" si="13"/>
        <v/>
      </c>
      <c r="F58" s="39" t="str">
        <f t="shared" si="14"/>
        <v/>
      </c>
      <c r="M58" s="176"/>
      <c r="T58" s="176"/>
      <c r="V58" s="130" t="str">
        <f t="shared" si="15"/>
        <v/>
      </c>
      <c r="W58" s="74" t="str">
        <f>IF(AND(Include_study?="Yes",Sufficient_data="Yes"),((E:E-I$29)*SQRT(Calculations!FU:FU))/SQRT(1-Calculations!FU:FU/SUM(Calculations!FU:FU)),"")</f>
        <v/>
      </c>
      <c r="AE58" s="176"/>
      <c r="AG58" s="130" t="str">
        <f t="shared" si="16"/>
        <v/>
      </c>
      <c r="AH58" s="39" t="str">
        <f t="shared" si="5"/>
        <v/>
      </c>
      <c r="AI58" s="74" t="str">
        <f t="shared" si="6"/>
        <v/>
      </c>
      <c r="AR58" s="176"/>
      <c r="AT58" s="130" t="str">
        <f t="shared" si="17"/>
        <v/>
      </c>
      <c r="AU58" s="39" t="str">
        <f t="shared" si="18"/>
        <v/>
      </c>
      <c r="AV58" s="74" t="str">
        <f t="shared" si="19"/>
        <v/>
      </c>
      <c r="BC58" s="176"/>
      <c r="BE58" s="130" t="str">
        <f t="shared" si="20"/>
        <v/>
      </c>
      <c r="BF58" s="39" t="str">
        <f>IF(AND(Include_study?="Yes",Sufficient_data="Yes"),NORMSINV(Calculations!IW58),"")</f>
        <v/>
      </c>
      <c r="BG58" s="74" t="str">
        <f t="shared" si="21"/>
        <v/>
      </c>
      <c r="BP58" s="176"/>
      <c r="BT58" s="176"/>
    </row>
    <row r="59" spans="4:72" x14ac:dyDescent="0.2">
      <c r="D59" s="84" t="str">
        <f t="shared" si="12"/>
        <v/>
      </c>
      <c r="E59" s="132" t="str">
        <f t="shared" si="13"/>
        <v/>
      </c>
      <c r="F59" s="39" t="str">
        <f t="shared" si="14"/>
        <v/>
      </c>
      <c r="M59" s="176"/>
      <c r="T59" s="176"/>
      <c r="V59" s="130" t="str">
        <f t="shared" si="15"/>
        <v/>
      </c>
      <c r="W59" s="74" t="str">
        <f>IF(AND(Include_study?="Yes",Sufficient_data="Yes"),((E:E-I$29)*SQRT(Calculations!FU:FU))/SQRT(1-Calculations!FU:FU/SUM(Calculations!FU:FU)),"")</f>
        <v/>
      </c>
      <c r="AE59" s="176"/>
      <c r="AG59" s="130" t="str">
        <f t="shared" si="16"/>
        <v/>
      </c>
      <c r="AH59" s="39" t="str">
        <f t="shared" si="5"/>
        <v/>
      </c>
      <c r="AI59" s="74" t="str">
        <f t="shared" si="6"/>
        <v/>
      </c>
      <c r="AR59" s="176"/>
      <c r="AT59" s="130" t="str">
        <f t="shared" si="17"/>
        <v/>
      </c>
      <c r="AU59" s="39" t="str">
        <f t="shared" si="18"/>
        <v/>
      </c>
      <c r="AV59" s="74" t="str">
        <f t="shared" si="19"/>
        <v/>
      </c>
      <c r="BC59" s="176"/>
      <c r="BE59" s="130" t="str">
        <f t="shared" si="20"/>
        <v/>
      </c>
      <c r="BF59" s="39" t="str">
        <f>IF(AND(Include_study?="Yes",Sufficient_data="Yes"),NORMSINV(Calculations!IW59),"")</f>
        <v/>
      </c>
      <c r="BG59" s="74" t="str">
        <f t="shared" si="21"/>
        <v/>
      </c>
      <c r="BP59" s="176"/>
      <c r="BT59" s="176"/>
    </row>
    <row r="60" spans="4:72" x14ac:dyDescent="0.2">
      <c r="D60" s="84" t="str">
        <f t="shared" si="12"/>
        <v/>
      </c>
      <c r="E60" s="132" t="str">
        <f t="shared" si="13"/>
        <v/>
      </c>
      <c r="F60" s="39" t="str">
        <f t="shared" si="14"/>
        <v/>
      </c>
      <c r="M60" s="176"/>
      <c r="T60" s="176"/>
      <c r="V60" s="130" t="str">
        <f t="shared" si="15"/>
        <v/>
      </c>
      <c r="W60" s="74" t="str">
        <f>IF(AND(Include_study?="Yes",Sufficient_data="Yes"),((E:E-I$29)*SQRT(Calculations!FU:FU))/SQRT(1-Calculations!FU:FU/SUM(Calculations!FU:FU)),"")</f>
        <v/>
      </c>
      <c r="AE60" s="176"/>
      <c r="AG60" s="130" t="str">
        <f t="shared" si="16"/>
        <v/>
      </c>
      <c r="AH60" s="39" t="str">
        <f t="shared" si="5"/>
        <v/>
      </c>
      <c r="AI60" s="74" t="str">
        <f t="shared" si="6"/>
        <v/>
      </c>
      <c r="AR60" s="176"/>
      <c r="AT60" s="130" t="str">
        <f t="shared" si="17"/>
        <v/>
      </c>
      <c r="AU60" s="39" t="str">
        <f t="shared" si="18"/>
        <v/>
      </c>
      <c r="AV60" s="74" t="str">
        <f t="shared" si="19"/>
        <v/>
      </c>
      <c r="BC60" s="176"/>
      <c r="BE60" s="130" t="str">
        <f t="shared" si="20"/>
        <v/>
      </c>
      <c r="BF60" s="39" t="str">
        <f>IF(AND(Include_study?="Yes",Sufficient_data="Yes"),NORMSINV(Calculations!IW60),"")</f>
        <v/>
      </c>
      <c r="BG60" s="74" t="str">
        <f t="shared" si="21"/>
        <v/>
      </c>
      <c r="BP60" s="176"/>
      <c r="BT60" s="176"/>
    </row>
    <row r="61" spans="4:72" x14ac:dyDescent="0.2">
      <c r="D61" s="84" t="str">
        <f t="shared" si="12"/>
        <v/>
      </c>
      <c r="E61" s="132" t="str">
        <f t="shared" si="13"/>
        <v/>
      </c>
      <c r="F61" s="39" t="str">
        <f t="shared" si="14"/>
        <v/>
      </c>
      <c r="M61" s="176"/>
      <c r="T61" s="176"/>
      <c r="V61" s="130" t="str">
        <f t="shared" si="15"/>
        <v/>
      </c>
      <c r="W61" s="74" t="str">
        <f>IF(AND(Include_study?="Yes",Sufficient_data="Yes"),((E:E-I$29)*SQRT(Calculations!FU:FU))/SQRT(1-Calculations!FU:FU/SUM(Calculations!FU:FU)),"")</f>
        <v/>
      </c>
      <c r="AE61" s="176"/>
      <c r="AG61" s="130" t="str">
        <f t="shared" si="16"/>
        <v/>
      </c>
      <c r="AH61" s="39" t="str">
        <f t="shared" si="5"/>
        <v/>
      </c>
      <c r="AI61" s="74" t="str">
        <f t="shared" si="6"/>
        <v/>
      </c>
      <c r="AR61" s="176"/>
      <c r="AT61" s="130" t="str">
        <f t="shared" si="17"/>
        <v/>
      </c>
      <c r="AU61" s="39" t="str">
        <f t="shared" si="18"/>
        <v/>
      </c>
      <c r="AV61" s="74" t="str">
        <f t="shared" si="19"/>
        <v/>
      </c>
      <c r="BC61" s="176"/>
      <c r="BE61" s="130" t="str">
        <f t="shared" si="20"/>
        <v/>
      </c>
      <c r="BF61" s="39" t="str">
        <f>IF(AND(Include_study?="Yes",Sufficient_data="Yes"),NORMSINV(Calculations!IW61),"")</f>
        <v/>
      </c>
      <c r="BG61" s="74" t="str">
        <f t="shared" si="21"/>
        <v/>
      </c>
      <c r="BP61" s="176"/>
      <c r="BT61" s="176"/>
    </row>
    <row r="62" spans="4:72" x14ac:dyDescent="0.2">
      <c r="D62" s="84" t="str">
        <f t="shared" si="12"/>
        <v/>
      </c>
      <c r="E62" s="132" t="str">
        <f t="shared" si="13"/>
        <v/>
      </c>
      <c r="F62" s="39" t="str">
        <f t="shared" si="14"/>
        <v/>
      </c>
      <c r="M62" s="176"/>
      <c r="T62" s="176"/>
      <c r="V62" s="130" t="str">
        <f t="shared" si="15"/>
        <v/>
      </c>
      <c r="W62" s="74" t="str">
        <f>IF(AND(Include_study?="Yes",Sufficient_data="Yes"),((E:E-I$29)*SQRT(Calculations!FU:FU))/SQRT(1-Calculations!FU:FU/SUM(Calculations!FU:FU)),"")</f>
        <v/>
      </c>
      <c r="AE62" s="176"/>
      <c r="AG62" s="130" t="str">
        <f t="shared" si="16"/>
        <v/>
      </c>
      <c r="AH62" s="39" t="str">
        <f t="shared" si="5"/>
        <v/>
      </c>
      <c r="AI62" s="74" t="str">
        <f t="shared" si="6"/>
        <v/>
      </c>
      <c r="AR62" s="176"/>
      <c r="AT62" s="130" t="str">
        <f t="shared" si="17"/>
        <v/>
      </c>
      <c r="AU62" s="39" t="str">
        <f t="shared" si="18"/>
        <v/>
      </c>
      <c r="AV62" s="74" t="str">
        <f t="shared" si="19"/>
        <v/>
      </c>
      <c r="BC62" s="176"/>
      <c r="BE62" s="130" t="str">
        <f t="shared" si="20"/>
        <v/>
      </c>
      <c r="BF62" s="39" t="str">
        <f>IF(AND(Include_study?="Yes",Sufficient_data="Yes"),NORMSINV(Calculations!IW62),"")</f>
        <v/>
      </c>
      <c r="BG62" s="74" t="str">
        <f t="shared" si="21"/>
        <v/>
      </c>
      <c r="BP62" s="176"/>
      <c r="BT62" s="176"/>
    </row>
    <row r="63" spans="4:72" x14ac:dyDescent="0.2">
      <c r="D63" s="84" t="str">
        <f t="shared" si="12"/>
        <v/>
      </c>
      <c r="E63" s="132" t="str">
        <f t="shared" si="13"/>
        <v/>
      </c>
      <c r="F63" s="39" t="str">
        <f t="shared" si="14"/>
        <v/>
      </c>
      <c r="M63" s="176"/>
      <c r="T63" s="176"/>
      <c r="V63" s="130" t="str">
        <f t="shared" si="15"/>
        <v/>
      </c>
      <c r="W63" s="74" t="str">
        <f>IF(AND(Include_study?="Yes",Sufficient_data="Yes"),((E:E-I$29)*SQRT(Calculations!FU:FU))/SQRT(1-Calculations!FU:FU/SUM(Calculations!FU:FU)),"")</f>
        <v/>
      </c>
      <c r="AE63" s="176"/>
      <c r="AG63" s="130" t="str">
        <f t="shared" si="16"/>
        <v/>
      </c>
      <c r="AH63" s="39" t="str">
        <f t="shared" si="5"/>
        <v/>
      </c>
      <c r="AI63" s="74" t="str">
        <f t="shared" si="6"/>
        <v/>
      </c>
      <c r="AR63" s="176"/>
      <c r="AT63" s="130" t="str">
        <f t="shared" si="17"/>
        <v/>
      </c>
      <c r="AU63" s="39" t="str">
        <f t="shared" si="18"/>
        <v/>
      </c>
      <c r="AV63" s="74" t="str">
        <f t="shared" si="19"/>
        <v/>
      </c>
      <c r="BC63" s="176"/>
      <c r="BE63" s="130" t="str">
        <f t="shared" si="20"/>
        <v/>
      </c>
      <c r="BF63" s="39" t="str">
        <f>IF(AND(Include_study?="Yes",Sufficient_data="Yes"),NORMSINV(Calculations!IW63),"")</f>
        <v/>
      </c>
      <c r="BG63" s="74" t="str">
        <f t="shared" si="21"/>
        <v/>
      </c>
      <c r="BP63" s="176"/>
      <c r="BT63" s="176"/>
    </row>
    <row r="64" spans="4:72" x14ac:dyDescent="0.2">
      <c r="D64" s="84" t="str">
        <f t="shared" si="12"/>
        <v/>
      </c>
      <c r="E64" s="132" t="str">
        <f t="shared" si="13"/>
        <v/>
      </c>
      <c r="F64" s="39" t="str">
        <f t="shared" si="14"/>
        <v/>
      </c>
      <c r="M64" s="176"/>
      <c r="T64" s="176"/>
      <c r="V64" s="130" t="str">
        <f t="shared" si="15"/>
        <v/>
      </c>
      <c r="W64" s="74" t="str">
        <f>IF(AND(Include_study?="Yes",Sufficient_data="Yes"),((E:E-I$29)*SQRT(Calculations!FU:FU))/SQRT(1-Calculations!FU:FU/SUM(Calculations!FU:FU)),"")</f>
        <v/>
      </c>
      <c r="AE64" s="176"/>
      <c r="AG64" s="130" t="str">
        <f t="shared" si="16"/>
        <v/>
      </c>
      <c r="AH64" s="39" t="str">
        <f t="shared" si="5"/>
        <v/>
      </c>
      <c r="AI64" s="74" t="str">
        <f t="shared" si="6"/>
        <v/>
      </c>
      <c r="AR64" s="176"/>
      <c r="AT64" s="130" t="str">
        <f t="shared" si="17"/>
        <v/>
      </c>
      <c r="AU64" s="39" t="str">
        <f t="shared" si="18"/>
        <v/>
      </c>
      <c r="AV64" s="74" t="str">
        <f t="shared" si="19"/>
        <v/>
      </c>
      <c r="BC64" s="176"/>
      <c r="BE64" s="130" t="str">
        <f t="shared" si="20"/>
        <v/>
      </c>
      <c r="BF64" s="39" t="str">
        <f>IF(AND(Include_study?="Yes",Sufficient_data="Yes"),NORMSINV(Calculations!IW64),"")</f>
        <v/>
      </c>
      <c r="BG64" s="74" t="str">
        <f t="shared" si="21"/>
        <v/>
      </c>
      <c r="BP64" s="176"/>
      <c r="BT64" s="176"/>
    </row>
    <row r="65" spans="4:72" x14ac:dyDescent="0.2">
      <c r="D65" s="84" t="str">
        <f t="shared" si="12"/>
        <v/>
      </c>
      <c r="E65" s="132" t="str">
        <f t="shared" si="13"/>
        <v/>
      </c>
      <c r="F65" s="39" t="str">
        <f t="shared" si="14"/>
        <v/>
      </c>
      <c r="M65" s="176"/>
      <c r="T65" s="176"/>
      <c r="V65" s="130" t="str">
        <f t="shared" si="15"/>
        <v/>
      </c>
      <c r="W65" s="74" t="str">
        <f>IF(AND(Include_study?="Yes",Sufficient_data="Yes"),((E:E-I$29)*SQRT(Calculations!FU:FU))/SQRT(1-Calculations!FU:FU/SUM(Calculations!FU:FU)),"")</f>
        <v/>
      </c>
      <c r="AE65" s="176"/>
      <c r="AG65" s="130" t="str">
        <f t="shared" si="16"/>
        <v/>
      </c>
      <c r="AH65" s="39" t="str">
        <f t="shared" si="5"/>
        <v/>
      </c>
      <c r="AI65" s="74" t="str">
        <f t="shared" si="6"/>
        <v/>
      </c>
      <c r="AR65" s="176"/>
      <c r="AT65" s="130" t="str">
        <f t="shared" si="17"/>
        <v/>
      </c>
      <c r="AU65" s="39" t="str">
        <f t="shared" si="18"/>
        <v/>
      </c>
      <c r="AV65" s="74" t="str">
        <f t="shared" si="19"/>
        <v/>
      </c>
      <c r="BC65" s="176"/>
      <c r="BE65" s="130" t="str">
        <f t="shared" si="20"/>
        <v/>
      </c>
      <c r="BF65" s="39" t="str">
        <f>IF(AND(Include_study?="Yes",Sufficient_data="Yes"),NORMSINV(Calculations!IW65),"")</f>
        <v/>
      </c>
      <c r="BG65" s="74" t="str">
        <f t="shared" si="21"/>
        <v/>
      </c>
      <c r="BP65" s="176"/>
      <c r="BT65" s="176"/>
    </row>
    <row r="66" spans="4:72" x14ac:dyDescent="0.2">
      <c r="D66" s="84" t="str">
        <f t="shared" ref="D66:D97" si="22">IF(AND(Include_study?="Yes",Sufficient_data="Yes"),Study_name,"")</f>
        <v/>
      </c>
      <c r="E66" s="132" t="str">
        <f t="shared" ref="E66:E97" si="23"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/>
      </c>
      <c r="F66" s="39" t="str">
        <f t="shared" ref="F66:F97" si="24">IF(AND(Include_study?="Yes",Sufficient_data="Yes"),IF(Additional_effect_size_measure="Log Peto Odds Ratio",SELogPetoOddsRatio,IF(Additional_effect_size_measure="Log Risk Ratio",SELogRiskRatio,IF(Additional_effect_size_measure="Risk Difference",SERiskDifference,SELogOddsRatio))),"")</f>
        <v/>
      </c>
      <c r="M66" s="176"/>
      <c r="T66" s="176"/>
      <c r="V66" s="130" t="str">
        <f t="shared" ref="V66:V97" si="25">IF(AND(Include_study?="Yes",Sufficient_data="Yes"),Study_name,"")</f>
        <v/>
      </c>
      <c r="W66" s="74" t="str">
        <f>IF(AND(Include_study?="Yes",Sufficient_data="Yes"),((E:E-I$29)*SQRT(Calculations!FU:FU))/SQRT(1-Calculations!FU:FU/SUM(Calculations!FU:FU)),"")</f>
        <v/>
      </c>
      <c r="AE66" s="176"/>
      <c r="AG66" s="130" t="str">
        <f t="shared" ref="AG66:AG97" si="26">IF(AND(Include_study?="Yes",Sufficient_data="Yes"),Study_name,"")</f>
        <v/>
      </c>
      <c r="AH66" s="39" t="str">
        <f t="shared" ref="AH66:AH129" si="27">IF(AND(Sufficient_data="Yes",Include_study?="Yes"),c_/(c_+d_),"")</f>
        <v/>
      </c>
      <c r="AI66" s="74" t="str">
        <f t="shared" ref="AI66:AI129" si="28">IF(AND(Sufficient_data="Yes",Include_study?="Yes"),a_/(a_+b_),"")</f>
        <v/>
      </c>
      <c r="AR66" s="176"/>
      <c r="AT66" s="130" t="str">
        <f t="shared" ref="AT66:AT97" si="29">IF(AND(Include_study?="Yes",Sufficient_data="Yes"),Study_name,"")</f>
        <v/>
      </c>
      <c r="AU66" s="39" t="str">
        <f t="shared" ref="AU66:AU97" si="30">IF(AND(Include_study?="Yes",Sufficient_data="Yes"),IF(AND(Additional_valid_options="No",Additional_model="Random effects"),NA(),Inverse_standard_error),"")</f>
        <v/>
      </c>
      <c r="AV66" s="74" t="str">
        <f t="shared" ref="AV66:AV97" si="31">IF(AND(Include_study?="Yes",Sufficient_data="Yes"),IF(AND(Additional_valid_options="No",Additional_model="Random effects"),NA(),Z_score),"")</f>
        <v/>
      </c>
      <c r="BC66" s="176"/>
      <c r="BE66" s="130" t="str">
        <f t="shared" ref="BE66:BE97" si="32">IF(AND(Include_study?="Yes",Sufficient_data="Yes"),Study_name,"")</f>
        <v/>
      </c>
      <c r="BF66" s="39" t="str">
        <f>IF(AND(Include_study?="Yes",Sufficient_data="Yes"),NORMSINV(Calculations!IW66),"")</f>
        <v/>
      </c>
      <c r="BG66" s="74" t="str">
        <f t="shared" ref="BG66:BG97" si="33">IF(AND(Include_study?="Yes",Sufficient_data="Yes"),IF(AND(Additional_valid_options="No",Additional_model="Random effects"),NA(),IF(BJ$33="Standardized residuals",Standardized_residual,Z_score)),"")</f>
        <v/>
      </c>
      <c r="BP66" s="176"/>
      <c r="BT66" s="176"/>
    </row>
    <row r="67" spans="4:72" x14ac:dyDescent="0.2">
      <c r="D67" s="84" t="str">
        <f t="shared" si="22"/>
        <v/>
      </c>
      <c r="E67" s="132" t="str">
        <f t="shared" si="23"/>
        <v/>
      </c>
      <c r="F67" s="39" t="str">
        <f t="shared" si="24"/>
        <v/>
      </c>
      <c r="M67" s="176"/>
      <c r="T67" s="176"/>
      <c r="V67" s="130" t="str">
        <f t="shared" si="25"/>
        <v/>
      </c>
      <c r="W67" s="74" t="str">
        <f>IF(AND(Include_study?="Yes",Sufficient_data="Yes"),((E:E-I$29)*SQRT(Calculations!FU:FU))/SQRT(1-Calculations!FU:FU/SUM(Calculations!FU:FU)),"")</f>
        <v/>
      </c>
      <c r="AE67" s="176"/>
      <c r="AG67" s="130" t="str">
        <f t="shared" si="26"/>
        <v/>
      </c>
      <c r="AH67" s="39" t="str">
        <f t="shared" si="27"/>
        <v/>
      </c>
      <c r="AI67" s="74" t="str">
        <f t="shared" si="28"/>
        <v/>
      </c>
      <c r="AR67" s="176"/>
      <c r="AT67" s="130" t="str">
        <f t="shared" si="29"/>
        <v/>
      </c>
      <c r="AU67" s="39" t="str">
        <f t="shared" si="30"/>
        <v/>
      </c>
      <c r="AV67" s="74" t="str">
        <f t="shared" si="31"/>
        <v/>
      </c>
      <c r="BC67" s="176"/>
      <c r="BE67" s="130" t="str">
        <f t="shared" si="32"/>
        <v/>
      </c>
      <c r="BF67" s="39" t="str">
        <f>IF(AND(Include_study?="Yes",Sufficient_data="Yes"),NORMSINV(Calculations!IW67),"")</f>
        <v/>
      </c>
      <c r="BG67" s="74" t="str">
        <f t="shared" si="33"/>
        <v/>
      </c>
      <c r="BP67" s="176"/>
      <c r="BT67" s="176"/>
    </row>
    <row r="68" spans="4:72" x14ac:dyDescent="0.2">
      <c r="D68" s="84" t="str">
        <f t="shared" si="22"/>
        <v/>
      </c>
      <c r="E68" s="132" t="str">
        <f t="shared" si="23"/>
        <v/>
      </c>
      <c r="F68" s="39" t="str">
        <f t="shared" si="24"/>
        <v/>
      </c>
      <c r="M68" s="176"/>
      <c r="T68" s="176"/>
      <c r="V68" s="130" t="str">
        <f t="shared" si="25"/>
        <v/>
      </c>
      <c r="W68" s="74" t="str">
        <f>IF(AND(Include_study?="Yes",Sufficient_data="Yes"),((E:E-I$29)*SQRT(Calculations!FU:FU))/SQRT(1-Calculations!FU:FU/SUM(Calculations!FU:FU)),"")</f>
        <v/>
      </c>
      <c r="AE68" s="176"/>
      <c r="AG68" s="130" t="str">
        <f t="shared" si="26"/>
        <v/>
      </c>
      <c r="AH68" s="39" t="str">
        <f t="shared" si="27"/>
        <v/>
      </c>
      <c r="AI68" s="74" t="str">
        <f t="shared" si="28"/>
        <v/>
      </c>
      <c r="AR68" s="176"/>
      <c r="AT68" s="130" t="str">
        <f t="shared" si="29"/>
        <v/>
      </c>
      <c r="AU68" s="39" t="str">
        <f t="shared" si="30"/>
        <v/>
      </c>
      <c r="AV68" s="74" t="str">
        <f t="shared" si="31"/>
        <v/>
      </c>
      <c r="BC68" s="176"/>
      <c r="BE68" s="130" t="str">
        <f t="shared" si="32"/>
        <v/>
      </c>
      <c r="BF68" s="39" t="str">
        <f>IF(AND(Include_study?="Yes",Sufficient_data="Yes"),NORMSINV(Calculations!IW68),"")</f>
        <v/>
      </c>
      <c r="BG68" s="74" t="str">
        <f t="shared" si="33"/>
        <v/>
      </c>
      <c r="BP68" s="176"/>
      <c r="BT68" s="176"/>
    </row>
    <row r="69" spans="4:72" x14ac:dyDescent="0.2">
      <c r="D69" s="84" t="str">
        <f t="shared" si="22"/>
        <v/>
      </c>
      <c r="E69" s="132" t="str">
        <f t="shared" si="23"/>
        <v/>
      </c>
      <c r="F69" s="39" t="str">
        <f t="shared" si="24"/>
        <v/>
      </c>
      <c r="M69" s="176"/>
      <c r="T69" s="176"/>
      <c r="V69" s="130" t="str">
        <f t="shared" si="25"/>
        <v/>
      </c>
      <c r="W69" s="74" t="str">
        <f>IF(AND(Include_study?="Yes",Sufficient_data="Yes"),((E:E-I$29)*SQRT(Calculations!FU:FU))/SQRT(1-Calculations!FU:FU/SUM(Calculations!FU:FU)),"")</f>
        <v/>
      </c>
      <c r="AE69" s="176"/>
      <c r="AG69" s="130" t="str">
        <f t="shared" si="26"/>
        <v/>
      </c>
      <c r="AH69" s="39" t="str">
        <f t="shared" si="27"/>
        <v/>
      </c>
      <c r="AI69" s="74" t="str">
        <f t="shared" si="28"/>
        <v/>
      </c>
      <c r="AR69" s="176"/>
      <c r="AT69" s="130" t="str">
        <f t="shared" si="29"/>
        <v/>
      </c>
      <c r="AU69" s="39" t="str">
        <f t="shared" si="30"/>
        <v/>
      </c>
      <c r="AV69" s="74" t="str">
        <f t="shared" si="31"/>
        <v/>
      </c>
      <c r="BC69" s="176"/>
      <c r="BE69" s="130" t="str">
        <f t="shared" si="32"/>
        <v/>
      </c>
      <c r="BF69" s="39" t="str">
        <f>IF(AND(Include_study?="Yes",Sufficient_data="Yes"),NORMSINV(Calculations!IW69),"")</f>
        <v/>
      </c>
      <c r="BG69" s="74" t="str">
        <f t="shared" si="33"/>
        <v/>
      </c>
      <c r="BP69" s="176"/>
      <c r="BT69" s="176"/>
    </row>
    <row r="70" spans="4:72" x14ac:dyDescent="0.2">
      <c r="D70" s="84" t="str">
        <f t="shared" si="22"/>
        <v/>
      </c>
      <c r="E70" s="132" t="str">
        <f t="shared" si="23"/>
        <v/>
      </c>
      <c r="F70" s="39" t="str">
        <f t="shared" si="24"/>
        <v/>
      </c>
      <c r="M70" s="176"/>
      <c r="T70" s="176"/>
      <c r="V70" s="130" t="str">
        <f t="shared" si="25"/>
        <v/>
      </c>
      <c r="W70" s="74" t="str">
        <f>IF(AND(Include_study?="Yes",Sufficient_data="Yes"),((E:E-I$29)*SQRT(Calculations!FU:FU))/SQRT(1-Calculations!FU:FU/SUM(Calculations!FU:FU)),"")</f>
        <v/>
      </c>
      <c r="AE70" s="176"/>
      <c r="AG70" s="130" t="str">
        <f t="shared" si="26"/>
        <v/>
      </c>
      <c r="AH70" s="39" t="str">
        <f t="shared" si="27"/>
        <v/>
      </c>
      <c r="AI70" s="74" t="str">
        <f t="shared" si="28"/>
        <v/>
      </c>
      <c r="AR70" s="176"/>
      <c r="AT70" s="130" t="str">
        <f t="shared" si="29"/>
        <v/>
      </c>
      <c r="AU70" s="39" t="str">
        <f t="shared" si="30"/>
        <v/>
      </c>
      <c r="AV70" s="74" t="str">
        <f t="shared" si="31"/>
        <v/>
      </c>
      <c r="BC70" s="176"/>
      <c r="BE70" s="130" t="str">
        <f t="shared" si="32"/>
        <v/>
      </c>
      <c r="BF70" s="39" t="str">
        <f>IF(AND(Include_study?="Yes",Sufficient_data="Yes"),NORMSINV(Calculations!IW70),"")</f>
        <v/>
      </c>
      <c r="BG70" s="74" t="str">
        <f t="shared" si="33"/>
        <v/>
      </c>
      <c r="BP70" s="176"/>
      <c r="BT70" s="176"/>
    </row>
    <row r="71" spans="4:72" x14ac:dyDescent="0.2">
      <c r="D71" s="84" t="str">
        <f t="shared" si="22"/>
        <v/>
      </c>
      <c r="E71" s="132" t="str">
        <f t="shared" si="23"/>
        <v/>
      </c>
      <c r="F71" s="39" t="str">
        <f t="shared" si="24"/>
        <v/>
      </c>
      <c r="M71" s="176"/>
      <c r="T71" s="176"/>
      <c r="V71" s="130" t="str">
        <f t="shared" si="25"/>
        <v/>
      </c>
      <c r="W71" s="74" t="str">
        <f>IF(AND(Include_study?="Yes",Sufficient_data="Yes"),((E:E-I$29)*SQRT(Calculations!FU:FU))/SQRT(1-Calculations!FU:FU/SUM(Calculations!FU:FU)),"")</f>
        <v/>
      </c>
      <c r="AE71" s="176"/>
      <c r="AG71" s="130" t="str">
        <f t="shared" si="26"/>
        <v/>
      </c>
      <c r="AH71" s="39" t="str">
        <f t="shared" si="27"/>
        <v/>
      </c>
      <c r="AI71" s="74" t="str">
        <f t="shared" si="28"/>
        <v/>
      </c>
      <c r="AR71" s="176"/>
      <c r="AT71" s="130" t="str">
        <f t="shared" si="29"/>
        <v/>
      </c>
      <c r="AU71" s="39" t="str">
        <f t="shared" si="30"/>
        <v/>
      </c>
      <c r="AV71" s="74" t="str">
        <f t="shared" si="31"/>
        <v/>
      </c>
      <c r="BC71" s="176"/>
      <c r="BE71" s="130" t="str">
        <f t="shared" si="32"/>
        <v/>
      </c>
      <c r="BF71" s="39" t="str">
        <f>IF(AND(Include_study?="Yes",Sufficient_data="Yes"),NORMSINV(Calculations!IW71),"")</f>
        <v/>
      </c>
      <c r="BG71" s="74" t="str">
        <f t="shared" si="33"/>
        <v/>
      </c>
      <c r="BP71" s="176"/>
      <c r="BT71" s="176"/>
    </row>
    <row r="72" spans="4:72" x14ac:dyDescent="0.2">
      <c r="D72" s="84" t="str">
        <f t="shared" si="22"/>
        <v/>
      </c>
      <c r="E72" s="132" t="str">
        <f t="shared" si="23"/>
        <v/>
      </c>
      <c r="F72" s="39" t="str">
        <f t="shared" si="24"/>
        <v/>
      </c>
      <c r="M72" s="176"/>
      <c r="T72" s="176"/>
      <c r="V72" s="130" t="str">
        <f t="shared" si="25"/>
        <v/>
      </c>
      <c r="W72" s="74" t="str">
        <f>IF(AND(Include_study?="Yes",Sufficient_data="Yes"),((E:E-I$29)*SQRT(Calculations!FU:FU))/SQRT(1-Calculations!FU:FU/SUM(Calculations!FU:FU)),"")</f>
        <v/>
      </c>
      <c r="AE72" s="176"/>
      <c r="AG72" s="130" t="str">
        <f t="shared" si="26"/>
        <v/>
      </c>
      <c r="AH72" s="39" t="str">
        <f t="shared" si="27"/>
        <v/>
      </c>
      <c r="AI72" s="74" t="str">
        <f t="shared" si="28"/>
        <v/>
      </c>
      <c r="AR72" s="176"/>
      <c r="AT72" s="130" t="str">
        <f t="shared" si="29"/>
        <v/>
      </c>
      <c r="AU72" s="39" t="str">
        <f t="shared" si="30"/>
        <v/>
      </c>
      <c r="AV72" s="74" t="str">
        <f t="shared" si="31"/>
        <v/>
      </c>
      <c r="BC72" s="176"/>
      <c r="BE72" s="130" t="str">
        <f t="shared" si="32"/>
        <v/>
      </c>
      <c r="BF72" s="39" t="str">
        <f>IF(AND(Include_study?="Yes",Sufficient_data="Yes"),NORMSINV(Calculations!IW72),"")</f>
        <v/>
      </c>
      <c r="BG72" s="74" t="str">
        <f t="shared" si="33"/>
        <v/>
      </c>
      <c r="BP72" s="176"/>
      <c r="BT72" s="176"/>
    </row>
    <row r="73" spans="4:72" x14ac:dyDescent="0.2">
      <c r="D73" s="84" t="str">
        <f t="shared" si="22"/>
        <v/>
      </c>
      <c r="E73" s="132" t="str">
        <f t="shared" si="23"/>
        <v/>
      </c>
      <c r="F73" s="39" t="str">
        <f t="shared" si="24"/>
        <v/>
      </c>
      <c r="M73" s="176"/>
      <c r="T73" s="176"/>
      <c r="V73" s="130" t="str">
        <f t="shared" si="25"/>
        <v/>
      </c>
      <c r="W73" s="74" t="str">
        <f>IF(AND(Include_study?="Yes",Sufficient_data="Yes"),((E:E-I$29)*SQRT(Calculations!FU:FU))/SQRT(1-Calculations!FU:FU/SUM(Calculations!FU:FU)),"")</f>
        <v/>
      </c>
      <c r="AE73" s="176"/>
      <c r="AG73" s="130" t="str">
        <f t="shared" si="26"/>
        <v/>
      </c>
      <c r="AH73" s="39" t="str">
        <f t="shared" si="27"/>
        <v/>
      </c>
      <c r="AI73" s="74" t="str">
        <f t="shared" si="28"/>
        <v/>
      </c>
      <c r="AR73" s="176"/>
      <c r="AT73" s="130" t="str">
        <f t="shared" si="29"/>
        <v/>
      </c>
      <c r="AU73" s="39" t="str">
        <f t="shared" si="30"/>
        <v/>
      </c>
      <c r="AV73" s="74" t="str">
        <f t="shared" si="31"/>
        <v/>
      </c>
      <c r="BC73" s="176"/>
      <c r="BE73" s="130" t="str">
        <f t="shared" si="32"/>
        <v/>
      </c>
      <c r="BF73" s="39" t="str">
        <f>IF(AND(Include_study?="Yes",Sufficient_data="Yes"),NORMSINV(Calculations!IW73),"")</f>
        <v/>
      </c>
      <c r="BG73" s="74" t="str">
        <f t="shared" si="33"/>
        <v/>
      </c>
      <c r="BP73" s="176"/>
      <c r="BT73" s="176"/>
    </row>
    <row r="74" spans="4:72" x14ac:dyDescent="0.2">
      <c r="D74" s="84" t="str">
        <f t="shared" si="22"/>
        <v/>
      </c>
      <c r="E74" s="132" t="str">
        <f t="shared" si="23"/>
        <v/>
      </c>
      <c r="F74" s="39" t="str">
        <f t="shared" si="24"/>
        <v/>
      </c>
      <c r="M74" s="176"/>
      <c r="T74" s="176"/>
      <c r="V74" s="130" t="str">
        <f t="shared" si="25"/>
        <v/>
      </c>
      <c r="W74" s="74" t="str">
        <f>IF(AND(Include_study?="Yes",Sufficient_data="Yes"),((E:E-I$29)*SQRT(Calculations!FU:FU))/SQRT(1-Calculations!FU:FU/SUM(Calculations!FU:FU)),"")</f>
        <v/>
      </c>
      <c r="AE74" s="176"/>
      <c r="AG74" s="130" t="str">
        <f t="shared" si="26"/>
        <v/>
      </c>
      <c r="AH74" s="39" t="str">
        <f t="shared" si="27"/>
        <v/>
      </c>
      <c r="AI74" s="74" t="str">
        <f t="shared" si="28"/>
        <v/>
      </c>
      <c r="AR74" s="176"/>
      <c r="AT74" s="130" t="str">
        <f t="shared" si="29"/>
        <v/>
      </c>
      <c r="AU74" s="39" t="str">
        <f t="shared" si="30"/>
        <v/>
      </c>
      <c r="AV74" s="74" t="str">
        <f t="shared" si="31"/>
        <v/>
      </c>
      <c r="BC74" s="176"/>
      <c r="BE74" s="130" t="str">
        <f t="shared" si="32"/>
        <v/>
      </c>
      <c r="BF74" s="39" t="str">
        <f>IF(AND(Include_study?="Yes",Sufficient_data="Yes"),NORMSINV(Calculations!IW74),"")</f>
        <v/>
      </c>
      <c r="BG74" s="74" t="str">
        <f t="shared" si="33"/>
        <v/>
      </c>
      <c r="BP74" s="176"/>
      <c r="BT74" s="176"/>
    </row>
    <row r="75" spans="4:72" x14ac:dyDescent="0.2">
      <c r="D75" s="84" t="str">
        <f t="shared" si="22"/>
        <v/>
      </c>
      <c r="E75" s="132" t="str">
        <f t="shared" si="23"/>
        <v/>
      </c>
      <c r="F75" s="39" t="str">
        <f t="shared" si="24"/>
        <v/>
      </c>
      <c r="M75" s="176"/>
      <c r="T75" s="176"/>
      <c r="V75" s="130" t="str">
        <f t="shared" si="25"/>
        <v/>
      </c>
      <c r="W75" s="74" t="str">
        <f>IF(AND(Include_study?="Yes",Sufficient_data="Yes"),((E:E-I$29)*SQRT(Calculations!FU:FU))/SQRT(1-Calculations!FU:FU/SUM(Calculations!FU:FU)),"")</f>
        <v/>
      </c>
      <c r="AE75" s="176"/>
      <c r="AG75" s="130" t="str">
        <f t="shared" si="26"/>
        <v/>
      </c>
      <c r="AH75" s="39" t="str">
        <f t="shared" si="27"/>
        <v/>
      </c>
      <c r="AI75" s="74" t="str">
        <f t="shared" si="28"/>
        <v/>
      </c>
      <c r="AR75" s="176"/>
      <c r="AT75" s="130" t="str">
        <f t="shared" si="29"/>
        <v/>
      </c>
      <c r="AU75" s="39" t="str">
        <f t="shared" si="30"/>
        <v/>
      </c>
      <c r="AV75" s="74" t="str">
        <f t="shared" si="31"/>
        <v/>
      </c>
      <c r="BC75" s="176"/>
      <c r="BE75" s="130" t="str">
        <f t="shared" si="32"/>
        <v/>
      </c>
      <c r="BF75" s="39" t="str">
        <f>IF(AND(Include_study?="Yes",Sufficient_data="Yes"),NORMSINV(Calculations!IW75),"")</f>
        <v/>
      </c>
      <c r="BG75" s="74" t="str">
        <f t="shared" si="33"/>
        <v/>
      </c>
      <c r="BP75" s="176"/>
      <c r="BT75" s="176"/>
    </row>
    <row r="76" spans="4:72" x14ac:dyDescent="0.2">
      <c r="D76" s="84" t="str">
        <f t="shared" si="22"/>
        <v/>
      </c>
      <c r="E76" s="132" t="str">
        <f t="shared" si="23"/>
        <v/>
      </c>
      <c r="F76" s="39" t="str">
        <f t="shared" si="24"/>
        <v/>
      </c>
      <c r="M76" s="176"/>
      <c r="T76" s="176"/>
      <c r="V76" s="130" t="str">
        <f t="shared" si="25"/>
        <v/>
      </c>
      <c r="W76" s="74" t="str">
        <f>IF(AND(Include_study?="Yes",Sufficient_data="Yes"),((E:E-I$29)*SQRT(Calculations!FU:FU))/SQRT(1-Calculations!FU:FU/SUM(Calculations!FU:FU)),"")</f>
        <v/>
      </c>
      <c r="AE76" s="176"/>
      <c r="AG76" s="130" t="str">
        <f t="shared" si="26"/>
        <v/>
      </c>
      <c r="AH76" s="39" t="str">
        <f t="shared" si="27"/>
        <v/>
      </c>
      <c r="AI76" s="74" t="str">
        <f t="shared" si="28"/>
        <v/>
      </c>
      <c r="AR76" s="176"/>
      <c r="AT76" s="130" t="str">
        <f t="shared" si="29"/>
        <v/>
      </c>
      <c r="AU76" s="39" t="str">
        <f t="shared" si="30"/>
        <v/>
      </c>
      <c r="AV76" s="74" t="str">
        <f t="shared" si="31"/>
        <v/>
      </c>
      <c r="BC76" s="176"/>
      <c r="BE76" s="130" t="str">
        <f t="shared" si="32"/>
        <v/>
      </c>
      <c r="BF76" s="39" t="str">
        <f>IF(AND(Include_study?="Yes",Sufficient_data="Yes"),NORMSINV(Calculations!IW76),"")</f>
        <v/>
      </c>
      <c r="BG76" s="74" t="str">
        <f t="shared" si="33"/>
        <v/>
      </c>
      <c r="BP76" s="176"/>
      <c r="BT76" s="176"/>
    </row>
    <row r="77" spans="4:72" x14ac:dyDescent="0.2">
      <c r="D77" s="84" t="str">
        <f t="shared" si="22"/>
        <v/>
      </c>
      <c r="E77" s="132" t="str">
        <f t="shared" si="23"/>
        <v/>
      </c>
      <c r="F77" s="39" t="str">
        <f t="shared" si="24"/>
        <v/>
      </c>
      <c r="M77" s="176"/>
      <c r="T77" s="176"/>
      <c r="V77" s="130" t="str">
        <f t="shared" si="25"/>
        <v/>
      </c>
      <c r="W77" s="74" t="str">
        <f>IF(AND(Include_study?="Yes",Sufficient_data="Yes"),((E:E-I$29)*SQRT(Calculations!FU:FU))/SQRT(1-Calculations!FU:FU/SUM(Calculations!FU:FU)),"")</f>
        <v/>
      </c>
      <c r="AE77" s="176"/>
      <c r="AG77" s="130" t="str">
        <f t="shared" si="26"/>
        <v/>
      </c>
      <c r="AH77" s="39" t="str">
        <f t="shared" si="27"/>
        <v/>
      </c>
      <c r="AI77" s="74" t="str">
        <f t="shared" si="28"/>
        <v/>
      </c>
      <c r="AR77" s="176"/>
      <c r="AT77" s="130" t="str">
        <f t="shared" si="29"/>
        <v/>
      </c>
      <c r="AU77" s="39" t="str">
        <f t="shared" si="30"/>
        <v/>
      </c>
      <c r="AV77" s="74" t="str">
        <f t="shared" si="31"/>
        <v/>
      </c>
      <c r="BC77" s="176"/>
      <c r="BE77" s="130" t="str">
        <f t="shared" si="32"/>
        <v/>
      </c>
      <c r="BF77" s="39" t="str">
        <f>IF(AND(Include_study?="Yes",Sufficient_data="Yes"),NORMSINV(Calculations!IW77),"")</f>
        <v/>
      </c>
      <c r="BG77" s="74" t="str">
        <f t="shared" si="33"/>
        <v/>
      </c>
      <c r="BP77" s="176"/>
      <c r="BT77" s="176"/>
    </row>
    <row r="78" spans="4:72" x14ac:dyDescent="0.2">
      <c r="D78" s="84" t="str">
        <f t="shared" si="22"/>
        <v/>
      </c>
      <c r="E78" s="132" t="str">
        <f t="shared" si="23"/>
        <v/>
      </c>
      <c r="F78" s="39" t="str">
        <f t="shared" si="24"/>
        <v/>
      </c>
      <c r="M78" s="176"/>
      <c r="T78" s="176"/>
      <c r="V78" s="130" t="str">
        <f t="shared" si="25"/>
        <v/>
      </c>
      <c r="W78" s="74" t="str">
        <f>IF(AND(Include_study?="Yes",Sufficient_data="Yes"),((E:E-I$29)*SQRT(Calculations!FU:FU))/SQRT(1-Calculations!FU:FU/SUM(Calculations!FU:FU)),"")</f>
        <v/>
      </c>
      <c r="AE78" s="176"/>
      <c r="AG78" s="130" t="str">
        <f t="shared" si="26"/>
        <v/>
      </c>
      <c r="AH78" s="39" t="str">
        <f t="shared" si="27"/>
        <v/>
      </c>
      <c r="AI78" s="74" t="str">
        <f t="shared" si="28"/>
        <v/>
      </c>
      <c r="AR78" s="176"/>
      <c r="AT78" s="130" t="str">
        <f t="shared" si="29"/>
        <v/>
      </c>
      <c r="AU78" s="39" t="str">
        <f t="shared" si="30"/>
        <v/>
      </c>
      <c r="AV78" s="74" t="str">
        <f t="shared" si="31"/>
        <v/>
      </c>
      <c r="BC78" s="176"/>
      <c r="BE78" s="130" t="str">
        <f t="shared" si="32"/>
        <v/>
      </c>
      <c r="BF78" s="39" t="str">
        <f>IF(AND(Include_study?="Yes",Sufficient_data="Yes"),NORMSINV(Calculations!IW78),"")</f>
        <v/>
      </c>
      <c r="BG78" s="74" t="str">
        <f t="shared" si="33"/>
        <v/>
      </c>
      <c r="BP78" s="176"/>
      <c r="BT78" s="176"/>
    </row>
    <row r="79" spans="4:72" x14ac:dyDescent="0.2">
      <c r="D79" s="84" t="str">
        <f t="shared" si="22"/>
        <v/>
      </c>
      <c r="E79" s="132" t="str">
        <f t="shared" si="23"/>
        <v/>
      </c>
      <c r="F79" s="39" t="str">
        <f t="shared" si="24"/>
        <v/>
      </c>
      <c r="M79" s="176"/>
      <c r="T79" s="176"/>
      <c r="V79" s="130" t="str">
        <f t="shared" si="25"/>
        <v/>
      </c>
      <c r="W79" s="74" t="str">
        <f>IF(AND(Include_study?="Yes",Sufficient_data="Yes"),((E:E-I$29)*SQRT(Calculations!FU:FU))/SQRT(1-Calculations!FU:FU/SUM(Calculations!FU:FU)),"")</f>
        <v/>
      </c>
      <c r="AE79" s="176"/>
      <c r="AG79" s="130" t="str">
        <f t="shared" si="26"/>
        <v/>
      </c>
      <c r="AH79" s="39" t="str">
        <f t="shared" si="27"/>
        <v/>
      </c>
      <c r="AI79" s="74" t="str">
        <f t="shared" si="28"/>
        <v/>
      </c>
      <c r="AR79" s="176"/>
      <c r="AT79" s="130" t="str">
        <f t="shared" si="29"/>
        <v/>
      </c>
      <c r="AU79" s="39" t="str">
        <f t="shared" si="30"/>
        <v/>
      </c>
      <c r="AV79" s="74" t="str">
        <f t="shared" si="31"/>
        <v/>
      </c>
      <c r="BC79" s="176"/>
      <c r="BE79" s="130" t="str">
        <f t="shared" si="32"/>
        <v/>
      </c>
      <c r="BF79" s="39" t="str">
        <f>IF(AND(Include_study?="Yes",Sufficient_data="Yes"),NORMSINV(Calculations!IW79),"")</f>
        <v/>
      </c>
      <c r="BG79" s="74" t="str">
        <f t="shared" si="33"/>
        <v/>
      </c>
      <c r="BP79" s="176"/>
      <c r="BT79" s="176"/>
    </row>
    <row r="80" spans="4:72" x14ac:dyDescent="0.2">
      <c r="D80" s="84" t="str">
        <f t="shared" si="22"/>
        <v/>
      </c>
      <c r="E80" s="132" t="str">
        <f t="shared" si="23"/>
        <v/>
      </c>
      <c r="F80" s="39" t="str">
        <f t="shared" si="24"/>
        <v/>
      </c>
      <c r="M80" s="176"/>
      <c r="T80" s="176"/>
      <c r="V80" s="130" t="str">
        <f t="shared" si="25"/>
        <v/>
      </c>
      <c r="W80" s="74" t="str">
        <f>IF(AND(Include_study?="Yes",Sufficient_data="Yes"),((E:E-I$29)*SQRT(Calculations!FU:FU))/SQRT(1-Calculations!FU:FU/SUM(Calculations!FU:FU)),"")</f>
        <v/>
      </c>
      <c r="AE80" s="176"/>
      <c r="AG80" s="130" t="str">
        <f t="shared" si="26"/>
        <v/>
      </c>
      <c r="AH80" s="39" t="str">
        <f t="shared" si="27"/>
        <v/>
      </c>
      <c r="AI80" s="74" t="str">
        <f t="shared" si="28"/>
        <v/>
      </c>
      <c r="AR80" s="176"/>
      <c r="AT80" s="130" t="str">
        <f t="shared" si="29"/>
        <v/>
      </c>
      <c r="AU80" s="39" t="str">
        <f t="shared" si="30"/>
        <v/>
      </c>
      <c r="AV80" s="74" t="str">
        <f t="shared" si="31"/>
        <v/>
      </c>
      <c r="BC80" s="176"/>
      <c r="BE80" s="130" t="str">
        <f t="shared" si="32"/>
        <v/>
      </c>
      <c r="BF80" s="39" t="str">
        <f>IF(AND(Include_study?="Yes",Sufficient_data="Yes"),NORMSINV(Calculations!IW80),"")</f>
        <v/>
      </c>
      <c r="BG80" s="74" t="str">
        <f t="shared" si="33"/>
        <v/>
      </c>
      <c r="BP80" s="176"/>
      <c r="BT80" s="176"/>
    </row>
    <row r="81" spans="4:72" x14ac:dyDescent="0.2">
      <c r="D81" s="84" t="str">
        <f t="shared" si="22"/>
        <v/>
      </c>
      <c r="E81" s="132" t="str">
        <f t="shared" si="23"/>
        <v/>
      </c>
      <c r="F81" s="39" t="str">
        <f t="shared" si="24"/>
        <v/>
      </c>
      <c r="M81" s="176"/>
      <c r="T81" s="176"/>
      <c r="V81" s="130" t="str">
        <f t="shared" si="25"/>
        <v/>
      </c>
      <c r="W81" s="74" t="str">
        <f>IF(AND(Include_study?="Yes",Sufficient_data="Yes"),((E:E-I$29)*SQRT(Calculations!FU:FU))/SQRT(1-Calculations!FU:FU/SUM(Calculations!FU:FU)),"")</f>
        <v/>
      </c>
      <c r="AE81" s="176"/>
      <c r="AG81" s="130" t="str">
        <f t="shared" si="26"/>
        <v/>
      </c>
      <c r="AH81" s="39" t="str">
        <f t="shared" si="27"/>
        <v/>
      </c>
      <c r="AI81" s="74" t="str">
        <f t="shared" si="28"/>
        <v/>
      </c>
      <c r="AR81" s="176"/>
      <c r="AT81" s="130" t="str">
        <f t="shared" si="29"/>
        <v/>
      </c>
      <c r="AU81" s="39" t="str">
        <f t="shared" si="30"/>
        <v/>
      </c>
      <c r="AV81" s="74" t="str">
        <f t="shared" si="31"/>
        <v/>
      </c>
      <c r="BC81" s="176"/>
      <c r="BE81" s="130" t="str">
        <f t="shared" si="32"/>
        <v/>
      </c>
      <c r="BF81" s="39" t="str">
        <f>IF(AND(Include_study?="Yes",Sufficient_data="Yes"),NORMSINV(Calculations!IW81),"")</f>
        <v/>
      </c>
      <c r="BG81" s="74" t="str">
        <f t="shared" si="33"/>
        <v/>
      </c>
      <c r="BP81" s="176"/>
      <c r="BT81" s="176"/>
    </row>
    <row r="82" spans="4:72" x14ac:dyDescent="0.2">
      <c r="D82" s="84" t="str">
        <f t="shared" si="22"/>
        <v/>
      </c>
      <c r="E82" s="132" t="str">
        <f t="shared" si="23"/>
        <v/>
      </c>
      <c r="F82" s="39" t="str">
        <f t="shared" si="24"/>
        <v/>
      </c>
      <c r="M82" s="176"/>
      <c r="T82" s="176"/>
      <c r="V82" s="130" t="str">
        <f t="shared" si="25"/>
        <v/>
      </c>
      <c r="W82" s="74" t="str">
        <f>IF(AND(Include_study?="Yes",Sufficient_data="Yes"),((E:E-I$29)*SQRT(Calculations!FU:FU))/SQRT(1-Calculations!FU:FU/SUM(Calculations!FU:FU)),"")</f>
        <v/>
      </c>
      <c r="AE82" s="176"/>
      <c r="AG82" s="130" t="str">
        <f t="shared" si="26"/>
        <v/>
      </c>
      <c r="AH82" s="39" t="str">
        <f t="shared" si="27"/>
        <v/>
      </c>
      <c r="AI82" s="74" t="str">
        <f t="shared" si="28"/>
        <v/>
      </c>
      <c r="AR82" s="176"/>
      <c r="AT82" s="130" t="str">
        <f t="shared" si="29"/>
        <v/>
      </c>
      <c r="AU82" s="39" t="str">
        <f t="shared" si="30"/>
        <v/>
      </c>
      <c r="AV82" s="74" t="str">
        <f t="shared" si="31"/>
        <v/>
      </c>
      <c r="BC82" s="176"/>
      <c r="BE82" s="130" t="str">
        <f t="shared" si="32"/>
        <v/>
      </c>
      <c r="BF82" s="39" t="str">
        <f>IF(AND(Include_study?="Yes",Sufficient_data="Yes"),NORMSINV(Calculations!IW82),"")</f>
        <v/>
      </c>
      <c r="BG82" s="74" t="str">
        <f t="shared" si="33"/>
        <v/>
      </c>
      <c r="BP82" s="176"/>
      <c r="BT82" s="176"/>
    </row>
    <row r="83" spans="4:72" x14ac:dyDescent="0.2">
      <c r="D83" s="84" t="str">
        <f t="shared" si="22"/>
        <v/>
      </c>
      <c r="E83" s="132" t="str">
        <f t="shared" si="23"/>
        <v/>
      </c>
      <c r="F83" s="39" t="str">
        <f t="shared" si="24"/>
        <v/>
      </c>
      <c r="M83" s="176"/>
      <c r="T83" s="176"/>
      <c r="V83" s="130" t="str">
        <f t="shared" si="25"/>
        <v/>
      </c>
      <c r="W83" s="74" t="str">
        <f>IF(AND(Include_study?="Yes",Sufficient_data="Yes"),((E:E-I$29)*SQRT(Calculations!FU:FU))/SQRT(1-Calculations!FU:FU/SUM(Calculations!FU:FU)),"")</f>
        <v/>
      </c>
      <c r="AE83" s="176"/>
      <c r="AG83" s="130" t="str">
        <f t="shared" si="26"/>
        <v/>
      </c>
      <c r="AH83" s="39" t="str">
        <f t="shared" si="27"/>
        <v/>
      </c>
      <c r="AI83" s="74" t="str">
        <f t="shared" si="28"/>
        <v/>
      </c>
      <c r="AR83" s="176"/>
      <c r="AT83" s="130" t="str">
        <f t="shared" si="29"/>
        <v/>
      </c>
      <c r="AU83" s="39" t="str">
        <f t="shared" si="30"/>
        <v/>
      </c>
      <c r="AV83" s="74" t="str">
        <f t="shared" si="31"/>
        <v/>
      </c>
      <c r="BC83" s="176"/>
      <c r="BE83" s="130" t="str">
        <f t="shared" si="32"/>
        <v/>
      </c>
      <c r="BF83" s="39" t="str">
        <f>IF(AND(Include_study?="Yes",Sufficient_data="Yes"),NORMSINV(Calculations!IW83),"")</f>
        <v/>
      </c>
      <c r="BG83" s="74" t="str">
        <f t="shared" si="33"/>
        <v/>
      </c>
      <c r="BP83" s="176"/>
      <c r="BT83" s="176"/>
    </row>
    <row r="84" spans="4:72" x14ac:dyDescent="0.2">
      <c r="D84" s="84" t="str">
        <f t="shared" si="22"/>
        <v/>
      </c>
      <c r="E84" s="132" t="str">
        <f t="shared" si="23"/>
        <v/>
      </c>
      <c r="F84" s="39" t="str">
        <f t="shared" si="24"/>
        <v/>
      </c>
      <c r="M84" s="176"/>
      <c r="T84" s="176"/>
      <c r="V84" s="130" t="str">
        <f t="shared" si="25"/>
        <v/>
      </c>
      <c r="W84" s="74" t="str">
        <f>IF(AND(Include_study?="Yes",Sufficient_data="Yes"),((E:E-I$29)*SQRT(Calculations!FU:FU))/SQRT(1-Calculations!FU:FU/SUM(Calculations!FU:FU)),"")</f>
        <v/>
      </c>
      <c r="AE84" s="176"/>
      <c r="AG84" s="130" t="str">
        <f t="shared" si="26"/>
        <v/>
      </c>
      <c r="AH84" s="39" t="str">
        <f t="shared" si="27"/>
        <v/>
      </c>
      <c r="AI84" s="74" t="str">
        <f t="shared" si="28"/>
        <v/>
      </c>
      <c r="AR84" s="176"/>
      <c r="AT84" s="130" t="str">
        <f t="shared" si="29"/>
        <v/>
      </c>
      <c r="AU84" s="39" t="str">
        <f t="shared" si="30"/>
        <v/>
      </c>
      <c r="AV84" s="74" t="str">
        <f t="shared" si="31"/>
        <v/>
      </c>
      <c r="BC84" s="176"/>
      <c r="BE84" s="130" t="str">
        <f t="shared" si="32"/>
        <v/>
      </c>
      <c r="BF84" s="39" t="str">
        <f>IF(AND(Include_study?="Yes",Sufficient_data="Yes"),NORMSINV(Calculations!IW84),"")</f>
        <v/>
      </c>
      <c r="BG84" s="74" t="str">
        <f t="shared" si="33"/>
        <v/>
      </c>
      <c r="BP84" s="176"/>
      <c r="BT84" s="176"/>
    </row>
    <row r="85" spans="4:72" x14ac:dyDescent="0.2">
      <c r="D85" s="84" t="str">
        <f t="shared" si="22"/>
        <v/>
      </c>
      <c r="E85" s="132" t="str">
        <f t="shared" si="23"/>
        <v/>
      </c>
      <c r="F85" s="39" t="str">
        <f t="shared" si="24"/>
        <v/>
      </c>
      <c r="M85" s="176"/>
      <c r="T85" s="176"/>
      <c r="V85" s="130" t="str">
        <f t="shared" si="25"/>
        <v/>
      </c>
      <c r="W85" s="74" t="str">
        <f>IF(AND(Include_study?="Yes",Sufficient_data="Yes"),((E:E-I$29)*SQRT(Calculations!FU:FU))/SQRT(1-Calculations!FU:FU/SUM(Calculations!FU:FU)),"")</f>
        <v/>
      </c>
      <c r="AE85" s="176"/>
      <c r="AG85" s="130" t="str">
        <f t="shared" si="26"/>
        <v/>
      </c>
      <c r="AH85" s="39" t="str">
        <f t="shared" si="27"/>
        <v/>
      </c>
      <c r="AI85" s="74" t="str">
        <f t="shared" si="28"/>
        <v/>
      </c>
      <c r="AR85" s="176"/>
      <c r="AT85" s="130" t="str">
        <f t="shared" si="29"/>
        <v/>
      </c>
      <c r="AU85" s="39" t="str">
        <f t="shared" si="30"/>
        <v/>
      </c>
      <c r="AV85" s="74" t="str">
        <f t="shared" si="31"/>
        <v/>
      </c>
      <c r="BC85" s="176"/>
      <c r="BE85" s="130" t="str">
        <f t="shared" si="32"/>
        <v/>
      </c>
      <c r="BF85" s="39" t="str">
        <f>IF(AND(Include_study?="Yes",Sufficient_data="Yes"),NORMSINV(Calculations!IW85),"")</f>
        <v/>
      </c>
      <c r="BG85" s="74" t="str">
        <f t="shared" si="33"/>
        <v/>
      </c>
      <c r="BP85" s="176"/>
      <c r="BT85" s="176"/>
    </row>
    <row r="86" spans="4:72" x14ac:dyDescent="0.2">
      <c r="D86" s="84" t="str">
        <f t="shared" si="22"/>
        <v/>
      </c>
      <c r="E86" s="132" t="str">
        <f t="shared" si="23"/>
        <v/>
      </c>
      <c r="F86" s="39" t="str">
        <f t="shared" si="24"/>
        <v/>
      </c>
      <c r="M86" s="176"/>
      <c r="T86" s="176"/>
      <c r="V86" s="130" t="str">
        <f t="shared" si="25"/>
        <v/>
      </c>
      <c r="W86" s="74" t="str">
        <f>IF(AND(Include_study?="Yes",Sufficient_data="Yes"),((E:E-I$29)*SQRT(Calculations!FU:FU))/SQRT(1-Calculations!FU:FU/SUM(Calculations!FU:FU)),"")</f>
        <v/>
      </c>
      <c r="AE86" s="176"/>
      <c r="AG86" s="130" t="str">
        <f t="shared" si="26"/>
        <v/>
      </c>
      <c r="AH86" s="39" t="str">
        <f t="shared" si="27"/>
        <v/>
      </c>
      <c r="AI86" s="74" t="str">
        <f t="shared" si="28"/>
        <v/>
      </c>
      <c r="AR86" s="176"/>
      <c r="AT86" s="130" t="str">
        <f t="shared" si="29"/>
        <v/>
      </c>
      <c r="AU86" s="39" t="str">
        <f t="shared" si="30"/>
        <v/>
      </c>
      <c r="AV86" s="74" t="str">
        <f t="shared" si="31"/>
        <v/>
      </c>
      <c r="BC86" s="176"/>
      <c r="BE86" s="130" t="str">
        <f t="shared" si="32"/>
        <v/>
      </c>
      <c r="BF86" s="39" t="str">
        <f>IF(AND(Include_study?="Yes",Sufficient_data="Yes"),NORMSINV(Calculations!IW86),"")</f>
        <v/>
      </c>
      <c r="BG86" s="74" t="str">
        <f t="shared" si="33"/>
        <v/>
      </c>
      <c r="BP86" s="176"/>
      <c r="BT86" s="176"/>
    </row>
    <row r="87" spans="4:72" x14ac:dyDescent="0.2">
      <c r="D87" s="84" t="str">
        <f t="shared" si="22"/>
        <v/>
      </c>
      <c r="E87" s="132" t="str">
        <f t="shared" si="23"/>
        <v/>
      </c>
      <c r="F87" s="39" t="str">
        <f t="shared" si="24"/>
        <v/>
      </c>
      <c r="M87" s="176"/>
      <c r="T87" s="176"/>
      <c r="V87" s="130" t="str">
        <f t="shared" si="25"/>
        <v/>
      </c>
      <c r="W87" s="74" t="str">
        <f>IF(AND(Include_study?="Yes",Sufficient_data="Yes"),((E:E-I$29)*SQRT(Calculations!FU:FU))/SQRT(1-Calculations!FU:FU/SUM(Calculations!FU:FU)),"")</f>
        <v/>
      </c>
      <c r="AE87" s="176"/>
      <c r="AG87" s="130" t="str">
        <f t="shared" si="26"/>
        <v/>
      </c>
      <c r="AH87" s="39" t="str">
        <f t="shared" si="27"/>
        <v/>
      </c>
      <c r="AI87" s="74" t="str">
        <f t="shared" si="28"/>
        <v/>
      </c>
      <c r="AR87" s="176"/>
      <c r="AT87" s="130" t="str">
        <f t="shared" si="29"/>
        <v/>
      </c>
      <c r="AU87" s="39" t="str">
        <f t="shared" si="30"/>
        <v/>
      </c>
      <c r="AV87" s="74" t="str">
        <f t="shared" si="31"/>
        <v/>
      </c>
      <c r="BC87" s="176"/>
      <c r="BE87" s="130" t="str">
        <f t="shared" si="32"/>
        <v/>
      </c>
      <c r="BF87" s="39" t="str">
        <f>IF(AND(Include_study?="Yes",Sufficient_data="Yes"),NORMSINV(Calculations!IW87),"")</f>
        <v/>
      </c>
      <c r="BG87" s="74" t="str">
        <f t="shared" si="33"/>
        <v/>
      </c>
      <c r="BP87" s="176"/>
      <c r="BT87" s="176"/>
    </row>
    <row r="88" spans="4:72" x14ac:dyDescent="0.2">
      <c r="D88" s="84" t="str">
        <f t="shared" si="22"/>
        <v/>
      </c>
      <c r="E88" s="132" t="str">
        <f t="shared" si="23"/>
        <v/>
      </c>
      <c r="F88" s="39" t="str">
        <f t="shared" si="24"/>
        <v/>
      </c>
      <c r="M88" s="176"/>
      <c r="T88" s="176"/>
      <c r="V88" s="130" t="str">
        <f t="shared" si="25"/>
        <v/>
      </c>
      <c r="W88" s="74" t="str">
        <f>IF(AND(Include_study?="Yes",Sufficient_data="Yes"),((E:E-I$29)*SQRT(Calculations!FU:FU))/SQRT(1-Calculations!FU:FU/SUM(Calculations!FU:FU)),"")</f>
        <v/>
      </c>
      <c r="AE88" s="176"/>
      <c r="AG88" s="130" t="str">
        <f t="shared" si="26"/>
        <v/>
      </c>
      <c r="AH88" s="39" t="str">
        <f t="shared" si="27"/>
        <v/>
      </c>
      <c r="AI88" s="74" t="str">
        <f t="shared" si="28"/>
        <v/>
      </c>
      <c r="AR88" s="176"/>
      <c r="AT88" s="130" t="str">
        <f t="shared" si="29"/>
        <v/>
      </c>
      <c r="AU88" s="39" t="str">
        <f t="shared" si="30"/>
        <v/>
      </c>
      <c r="AV88" s="74" t="str">
        <f t="shared" si="31"/>
        <v/>
      </c>
      <c r="BC88" s="176"/>
      <c r="BE88" s="130" t="str">
        <f t="shared" si="32"/>
        <v/>
      </c>
      <c r="BF88" s="39" t="str">
        <f>IF(AND(Include_study?="Yes",Sufficient_data="Yes"),NORMSINV(Calculations!IW88),"")</f>
        <v/>
      </c>
      <c r="BG88" s="74" t="str">
        <f t="shared" si="33"/>
        <v/>
      </c>
      <c r="BP88" s="176"/>
      <c r="BT88" s="176"/>
    </row>
    <row r="89" spans="4:72" x14ac:dyDescent="0.2">
      <c r="D89" s="84" t="str">
        <f t="shared" si="22"/>
        <v/>
      </c>
      <c r="E89" s="132" t="str">
        <f t="shared" si="23"/>
        <v/>
      </c>
      <c r="F89" s="39" t="str">
        <f t="shared" si="24"/>
        <v/>
      </c>
      <c r="M89" s="176"/>
      <c r="T89" s="176"/>
      <c r="V89" s="130" t="str">
        <f t="shared" si="25"/>
        <v/>
      </c>
      <c r="W89" s="74" t="str">
        <f>IF(AND(Include_study?="Yes",Sufficient_data="Yes"),((E:E-I$29)*SQRT(Calculations!FU:FU))/SQRT(1-Calculations!FU:FU/SUM(Calculations!FU:FU)),"")</f>
        <v/>
      </c>
      <c r="AE89" s="176"/>
      <c r="AG89" s="130" t="str">
        <f t="shared" si="26"/>
        <v/>
      </c>
      <c r="AH89" s="39" t="str">
        <f t="shared" si="27"/>
        <v/>
      </c>
      <c r="AI89" s="74" t="str">
        <f t="shared" si="28"/>
        <v/>
      </c>
      <c r="AR89" s="176"/>
      <c r="AT89" s="130" t="str">
        <f t="shared" si="29"/>
        <v/>
      </c>
      <c r="AU89" s="39" t="str">
        <f t="shared" si="30"/>
        <v/>
      </c>
      <c r="AV89" s="74" t="str">
        <f t="shared" si="31"/>
        <v/>
      </c>
      <c r="BC89" s="176"/>
      <c r="BE89" s="130" t="str">
        <f t="shared" si="32"/>
        <v/>
      </c>
      <c r="BF89" s="39" t="str">
        <f>IF(AND(Include_study?="Yes",Sufficient_data="Yes"),NORMSINV(Calculations!IW89),"")</f>
        <v/>
      </c>
      <c r="BG89" s="74" t="str">
        <f t="shared" si="33"/>
        <v/>
      </c>
      <c r="BP89" s="176"/>
      <c r="BT89" s="176"/>
    </row>
    <row r="90" spans="4:72" x14ac:dyDescent="0.2">
      <c r="D90" s="84" t="str">
        <f t="shared" si="22"/>
        <v/>
      </c>
      <c r="E90" s="132" t="str">
        <f t="shared" si="23"/>
        <v/>
      </c>
      <c r="F90" s="39" t="str">
        <f t="shared" si="24"/>
        <v/>
      </c>
      <c r="M90" s="176"/>
      <c r="T90" s="176"/>
      <c r="V90" s="130" t="str">
        <f t="shared" si="25"/>
        <v/>
      </c>
      <c r="W90" s="74" t="str">
        <f>IF(AND(Include_study?="Yes",Sufficient_data="Yes"),((E:E-I$29)*SQRT(Calculations!FU:FU))/SQRT(1-Calculations!FU:FU/SUM(Calculations!FU:FU)),"")</f>
        <v/>
      </c>
      <c r="AE90" s="176"/>
      <c r="AG90" s="130" t="str">
        <f t="shared" si="26"/>
        <v/>
      </c>
      <c r="AH90" s="39" t="str">
        <f t="shared" si="27"/>
        <v/>
      </c>
      <c r="AI90" s="74" t="str">
        <f t="shared" si="28"/>
        <v/>
      </c>
      <c r="AR90" s="176"/>
      <c r="AT90" s="130" t="str">
        <f t="shared" si="29"/>
        <v/>
      </c>
      <c r="AU90" s="39" t="str">
        <f t="shared" si="30"/>
        <v/>
      </c>
      <c r="AV90" s="74" t="str">
        <f t="shared" si="31"/>
        <v/>
      </c>
      <c r="BC90" s="176"/>
      <c r="BE90" s="130" t="str">
        <f t="shared" si="32"/>
        <v/>
      </c>
      <c r="BF90" s="39" t="str">
        <f>IF(AND(Include_study?="Yes",Sufficient_data="Yes"),NORMSINV(Calculations!IW90),"")</f>
        <v/>
      </c>
      <c r="BG90" s="74" t="str">
        <f t="shared" si="33"/>
        <v/>
      </c>
      <c r="BP90" s="176"/>
      <c r="BT90" s="176"/>
    </row>
    <row r="91" spans="4:72" x14ac:dyDescent="0.2">
      <c r="D91" s="84" t="str">
        <f t="shared" si="22"/>
        <v/>
      </c>
      <c r="E91" s="132" t="str">
        <f t="shared" si="23"/>
        <v/>
      </c>
      <c r="F91" s="39" t="str">
        <f t="shared" si="24"/>
        <v/>
      </c>
      <c r="M91" s="176"/>
      <c r="T91" s="176"/>
      <c r="V91" s="130" t="str">
        <f t="shared" si="25"/>
        <v/>
      </c>
      <c r="W91" s="74" t="str">
        <f>IF(AND(Include_study?="Yes",Sufficient_data="Yes"),((E:E-I$29)*SQRT(Calculations!FU:FU))/SQRT(1-Calculations!FU:FU/SUM(Calculations!FU:FU)),"")</f>
        <v/>
      </c>
      <c r="AE91" s="176"/>
      <c r="AG91" s="130" t="str">
        <f t="shared" si="26"/>
        <v/>
      </c>
      <c r="AH91" s="39" t="str">
        <f t="shared" si="27"/>
        <v/>
      </c>
      <c r="AI91" s="74" t="str">
        <f t="shared" si="28"/>
        <v/>
      </c>
      <c r="AR91" s="176"/>
      <c r="AT91" s="130" t="str">
        <f t="shared" si="29"/>
        <v/>
      </c>
      <c r="AU91" s="39" t="str">
        <f t="shared" si="30"/>
        <v/>
      </c>
      <c r="AV91" s="74" t="str">
        <f t="shared" si="31"/>
        <v/>
      </c>
      <c r="BC91" s="176"/>
      <c r="BE91" s="130" t="str">
        <f t="shared" si="32"/>
        <v/>
      </c>
      <c r="BF91" s="39" t="str">
        <f>IF(AND(Include_study?="Yes",Sufficient_data="Yes"),NORMSINV(Calculations!IW91),"")</f>
        <v/>
      </c>
      <c r="BG91" s="74" t="str">
        <f t="shared" si="33"/>
        <v/>
      </c>
      <c r="BP91" s="176"/>
      <c r="BT91" s="176"/>
    </row>
    <row r="92" spans="4:72" x14ac:dyDescent="0.2">
      <c r="D92" s="84" t="str">
        <f t="shared" si="22"/>
        <v/>
      </c>
      <c r="E92" s="132" t="str">
        <f t="shared" si="23"/>
        <v/>
      </c>
      <c r="F92" s="39" t="str">
        <f t="shared" si="24"/>
        <v/>
      </c>
      <c r="M92" s="176"/>
      <c r="T92" s="176"/>
      <c r="V92" s="130" t="str">
        <f t="shared" si="25"/>
        <v/>
      </c>
      <c r="W92" s="74" t="str">
        <f>IF(AND(Include_study?="Yes",Sufficient_data="Yes"),((E:E-I$29)*SQRT(Calculations!FU:FU))/SQRT(1-Calculations!FU:FU/SUM(Calculations!FU:FU)),"")</f>
        <v/>
      </c>
      <c r="AE92" s="176"/>
      <c r="AG92" s="130" t="str">
        <f t="shared" si="26"/>
        <v/>
      </c>
      <c r="AH92" s="39" t="str">
        <f t="shared" si="27"/>
        <v/>
      </c>
      <c r="AI92" s="74" t="str">
        <f t="shared" si="28"/>
        <v/>
      </c>
      <c r="AR92" s="176"/>
      <c r="AT92" s="130" t="str">
        <f t="shared" si="29"/>
        <v/>
      </c>
      <c r="AU92" s="39" t="str">
        <f t="shared" si="30"/>
        <v/>
      </c>
      <c r="AV92" s="74" t="str">
        <f t="shared" si="31"/>
        <v/>
      </c>
      <c r="BC92" s="176"/>
      <c r="BE92" s="130" t="str">
        <f t="shared" si="32"/>
        <v/>
      </c>
      <c r="BF92" s="39" t="str">
        <f>IF(AND(Include_study?="Yes",Sufficient_data="Yes"),NORMSINV(Calculations!IW92),"")</f>
        <v/>
      </c>
      <c r="BG92" s="74" t="str">
        <f t="shared" si="33"/>
        <v/>
      </c>
      <c r="BP92" s="176"/>
      <c r="BT92" s="176"/>
    </row>
    <row r="93" spans="4:72" x14ac:dyDescent="0.2">
      <c r="D93" s="84" t="str">
        <f t="shared" si="22"/>
        <v/>
      </c>
      <c r="E93" s="132" t="str">
        <f t="shared" si="23"/>
        <v/>
      </c>
      <c r="F93" s="39" t="str">
        <f t="shared" si="24"/>
        <v/>
      </c>
      <c r="M93" s="176"/>
      <c r="T93" s="176"/>
      <c r="V93" s="130" t="str">
        <f t="shared" si="25"/>
        <v/>
      </c>
      <c r="W93" s="74" t="str">
        <f>IF(AND(Include_study?="Yes",Sufficient_data="Yes"),((E:E-I$29)*SQRT(Calculations!FU:FU))/SQRT(1-Calculations!FU:FU/SUM(Calculations!FU:FU)),"")</f>
        <v/>
      </c>
      <c r="AE93" s="176"/>
      <c r="AG93" s="130" t="str">
        <f t="shared" si="26"/>
        <v/>
      </c>
      <c r="AH93" s="39" t="str">
        <f t="shared" si="27"/>
        <v/>
      </c>
      <c r="AI93" s="74" t="str">
        <f t="shared" si="28"/>
        <v/>
      </c>
      <c r="AR93" s="176"/>
      <c r="AT93" s="130" t="str">
        <f t="shared" si="29"/>
        <v/>
      </c>
      <c r="AU93" s="39" t="str">
        <f t="shared" si="30"/>
        <v/>
      </c>
      <c r="AV93" s="74" t="str">
        <f t="shared" si="31"/>
        <v/>
      </c>
      <c r="BC93" s="176"/>
      <c r="BE93" s="130" t="str">
        <f t="shared" si="32"/>
        <v/>
      </c>
      <c r="BF93" s="39" t="str">
        <f>IF(AND(Include_study?="Yes",Sufficient_data="Yes"),NORMSINV(Calculations!IW93),"")</f>
        <v/>
      </c>
      <c r="BG93" s="74" t="str">
        <f t="shared" si="33"/>
        <v/>
      </c>
      <c r="BP93" s="176"/>
      <c r="BT93" s="176"/>
    </row>
    <row r="94" spans="4:72" x14ac:dyDescent="0.2">
      <c r="D94" s="84" t="str">
        <f t="shared" si="22"/>
        <v/>
      </c>
      <c r="E94" s="132" t="str">
        <f t="shared" si="23"/>
        <v/>
      </c>
      <c r="F94" s="39" t="str">
        <f t="shared" si="24"/>
        <v/>
      </c>
      <c r="M94" s="176"/>
      <c r="T94" s="176"/>
      <c r="V94" s="130" t="str">
        <f t="shared" si="25"/>
        <v/>
      </c>
      <c r="W94" s="74" t="str">
        <f>IF(AND(Include_study?="Yes",Sufficient_data="Yes"),((E:E-I$29)*SQRT(Calculations!FU:FU))/SQRT(1-Calculations!FU:FU/SUM(Calculations!FU:FU)),"")</f>
        <v/>
      </c>
      <c r="AE94" s="176"/>
      <c r="AG94" s="130" t="str">
        <f t="shared" si="26"/>
        <v/>
      </c>
      <c r="AH94" s="39" t="str">
        <f t="shared" si="27"/>
        <v/>
      </c>
      <c r="AI94" s="74" t="str">
        <f t="shared" si="28"/>
        <v/>
      </c>
      <c r="AR94" s="176"/>
      <c r="AT94" s="130" t="str">
        <f t="shared" si="29"/>
        <v/>
      </c>
      <c r="AU94" s="39" t="str">
        <f t="shared" si="30"/>
        <v/>
      </c>
      <c r="AV94" s="74" t="str">
        <f t="shared" si="31"/>
        <v/>
      </c>
      <c r="BC94" s="176"/>
      <c r="BE94" s="130" t="str">
        <f t="shared" si="32"/>
        <v/>
      </c>
      <c r="BF94" s="39" t="str">
        <f>IF(AND(Include_study?="Yes",Sufficient_data="Yes"),NORMSINV(Calculations!IW94),"")</f>
        <v/>
      </c>
      <c r="BG94" s="74" t="str">
        <f t="shared" si="33"/>
        <v/>
      </c>
      <c r="BP94" s="176"/>
      <c r="BT94" s="176"/>
    </row>
    <row r="95" spans="4:72" x14ac:dyDescent="0.2">
      <c r="D95" s="84" t="str">
        <f t="shared" si="22"/>
        <v/>
      </c>
      <c r="E95" s="132" t="str">
        <f t="shared" si="23"/>
        <v/>
      </c>
      <c r="F95" s="39" t="str">
        <f t="shared" si="24"/>
        <v/>
      </c>
      <c r="M95" s="176"/>
      <c r="T95" s="176"/>
      <c r="V95" s="130" t="str">
        <f t="shared" si="25"/>
        <v/>
      </c>
      <c r="W95" s="74" t="str">
        <f>IF(AND(Include_study?="Yes",Sufficient_data="Yes"),((E:E-I$29)*SQRT(Calculations!FU:FU))/SQRT(1-Calculations!FU:FU/SUM(Calculations!FU:FU)),"")</f>
        <v/>
      </c>
      <c r="AE95" s="176"/>
      <c r="AG95" s="130" t="str">
        <f t="shared" si="26"/>
        <v/>
      </c>
      <c r="AH95" s="39" t="str">
        <f t="shared" si="27"/>
        <v/>
      </c>
      <c r="AI95" s="74" t="str">
        <f t="shared" si="28"/>
        <v/>
      </c>
      <c r="AR95" s="176"/>
      <c r="AT95" s="130" t="str">
        <f t="shared" si="29"/>
        <v/>
      </c>
      <c r="AU95" s="39" t="str">
        <f t="shared" si="30"/>
        <v/>
      </c>
      <c r="AV95" s="74" t="str">
        <f t="shared" si="31"/>
        <v/>
      </c>
      <c r="BC95" s="176"/>
      <c r="BE95" s="130" t="str">
        <f t="shared" si="32"/>
        <v/>
      </c>
      <c r="BF95" s="39" t="str">
        <f>IF(AND(Include_study?="Yes",Sufficient_data="Yes"),NORMSINV(Calculations!IW95),"")</f>
        <v/>
      </c>
      <c r="BG95" s="74" t="str">
        <f t="shared" si="33"/>
        <v/>
      </c>
      <c r="BP95" s="176"/>
      <c r="BT95" s="176"/>
    </row>
    <row r="96" spans="4:72" x14ac:dyDescent="0.2">
      <c r="D96" s="84" t="str">
        <f t="shared" si="22"/>
        <v/>
      </c>
      <c r="E96" s="132" t="str">
        <f t="shared" si="23"/>
        <v/>
      </c>
      <c r="F96" s="39" t="str">
        <f t="shared" si="24"/>
        <v/>
      </c>
      <c r="M96" s="176"/>
      <c r="T96" s="176"/>
      <c r="V96" s="130" t="str">
        <f t="shared" si="25"/>
        <v/>
      </c>
      <c r="W96" s="74" t="str">
        <f>IF(AND(Include_study?="Yes",Sufficient_data="Yes"),((E:E-I$29)*SQRT(Calculations!FU:FU))/SQRT(1-Calculations!FU:FU/SUM(Calculations!FU:FU)),"")</f>
        <v/>
      </c>
      <c r="AE96" s="176"/>
      <c r="AG96" s="130" t="str">
        <f t="shared" si="26"/>
        <v/>
      </c>
      <c r="AH96" s="39" t="str">
        <f t="shared" si="27"/>
        <v/>
      </c>
      <c r="AI96" s="74" t="str">
        <f t="shared" si="28"/>
        <v/>
      </c>
      <c r="AR96" s="176"/>
      <c r="AT96" s="130" t="str">
        <f t="shared" si="29"/>
        <v/>
      </c>
      <c r="AU96" s="39" t="str">
        <f t="shared" si="30"/>
        <v/>
      </c>
      <c r="AV96" s="74" t="str">
        <f t="shared" si="31"/>
        <v/>
      </c>
      <c r="BC96" s="176"/>
      <c r="BE96" s="130" t="str">
        <f t="shared" si="32"/>
        <v/>
      </c>
      <c r="BF96" s="39" t="str">
        <f>IF(AND(Include_study?="Yes",Sufficient_data="Yes"),NORMSINV(Calculations!IW96),"")</f>
        <v/>
      </c>
      <c r="BG96" s="74" t="str">
        <f t="shared" si="33"/>
        <v/>
      </c>
      <c r="BP96" s="176"/>
      <c r="BT96" s="176"/>
    </row>
    <row r="97" spans="4:72" x14ac:dyDescent="0.2">
      <c r="D97" s="84" t="str">
        <f t="shared" si="22"/>
        <v/>
      </c>
      <c r="E97" s="132" t="str">
        <f t="shared" si="23"/>
        <v/>
      </c>
      <c r="F97" s="39" t="str">
        <f t="shared" si="24"/>
        <v/>
      </c>
      <c r="M97" s="176"/>
      <c r="T97" s="176"/>
      <c r="V97" s="130" t="str">
        <f t="shared" si="25"/>
        <v/>
      </c>
      <c r="W97" s="74" t="str">
        <f>IF(AND(Include_study?="Yes",Sufficient_data="Yes"),((E:E-I$29)*SQRT(Calculations!FU:FU))/SQRT(1-Calculations!FU:FU/SUM(Calculations!FU:FU)),"")</f>
        <v/>
      </c>
      <c r="AE97" s="176"/>
      <c r="AG97" s="130" t="str">
        <f t="shared" si="26"/>
        <v/>
      </c>
      <c r="AH97" s="39" t="str">
        <f t="shared" si="27"/>
        <v/>
      </c>
      <c r="AI97" s="74" t="str">
        <f t="shared" si="28"/>
        <v/>
      </c>
      <c r="AR97" s="176"/>
      <c r="AT97" s="130" t="str">
        <f t="shared" si="29"/>
        <v/>
      </c>
      <c r="AU97" s="39" t="str">
        <f t="shared" si="30"/>
        <v/>
      </c>
      <c r="AV97" s="74" t="str">
        <f t="shared" si="31"/>
        <v/>
      </c>
      <c r="BC97" s="176"/>
      <c r="BE97" s="130" t="str">
        <f t="shared" si="32"/>
        <v/>
      </c>
      <c r="BF97" s="39" t="str">
        <f>IF(AND(Include_study?="Yes",Sufficient_data="Yes"),NORMSINV(Calculations!IW97),"")</f>
        <v/>
      </c>
      <c r="BG97" s="74" t="str">
        <f t="shared" si="33"/>
        <v/>
      </c>
      <c r="BP97" s="176"/>
      <c r="BT97" s="176"/>
    </row>
    <row r="98" spans="4:72" x14ac:dyDescent="0.2">
      <c r="D98" s="84" t="str">
        <f t="shared" ref="D98:D129" si="34">IF(AND(Include_study?="Yes",Sufficient_data="Yes"),Study_name,"")</f>
        <v/>
      </c>
      <c r="E98" s="132" t="str">
        <f t="shared" ref="E98:E129" si="35"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/>
      </c>
      <c r="F98" s="39" t="str">
        <f t="shared" ref="F98:F129" si="36">IF(AND(Include_study?="Yes",Sufficient_data="Yes"),IF(Additional_effect_size_measure="Log Peto Odds Ratio",SELogPetoOddsRatio,IF(Additional_effect_size_measure="Log Risk Ratio",SELogRiskRatio,IF(Additional_effect_size_measure="Risk Difference",SERiskDifference,SELogOddsRatio))),"")</f>
        <v/>
      </c>
      <c r="M98" s="176"/>
      <c r="T98" s="176"/>
      <c r="V98" s="130" t="str">
        <f t="shared" ref="V98:V129" si="37">IF(AND(Include_study?="Yes",Sufficient_data="Yes"),Study_name,"")</f>
        <v/>
      </c>
      <c r="W98" s="74" t="str">
        <f>IF(AND(Include_study?="Yes",Sufficient_data="Yes"),((E:E-I$29)*SQRT(Calculations!FU:FU))/SQRT(1-Calculations!FU:FU/SUM(Calculations!FU:FU)),"")</f>
        <v/>
      </c>
      <c r="AE98" s="176"/>
      <c r="AG98" s="130" t="str">
        <f t="shared" ref="AG98:AG129" si="38">IF(AND(Include_study?="Yes",Sufficient_data="Yes"),Study_name,"")</f>
        <v/>
      </c>
      <c r="AH98" s="39" t="str">
        <f t="shared" si="27"/>
        <v/>
      </c>
      <c r="AI98" s="74" t="str">
        <f t="shared" si="28"/>
        <v/>
      </c>
      <c r="AR98" s="176"/>
      <c r="AT98" s="130" t="str">
        <f t="shared" ref="AT98:AT129" si="39">IF(AND(Include_study?="Yes",Sufficient_data="Yes"),Study_name,"")</f>
        <v/>
      </c>
      <c r="AU98" s="39" t="str">
        <f t="shared" ref="AU98:AU129" si="40">IF(AND(Include_study?="Yes",Sufficient_data="Yes"),IF(AND(Additional_valid_options="No",Additional_model="Random effects"),NA(),Inverse_standard_error),"")</f>
        <v/>
      </c>
      <c r="AV98" s="74" t="str">
        <f t="shared" ref="AV98:AV129" si="41">IF(AND(Include_study?="Yes",Sufficient_data="Yes"),IF(AND(Additional_valid_options="No",Additional_model="Random effects"),NA(),Z_score),"")</f>
        <v/>
      </c>
      <c r="BC98" s="176"/>
      <c r="BE98" s="130" t="str">
        <f t="shared" ref="BE98:BE129" si="42">IF(AND(Include_study?="Yes",Sufficient_data="Yes"),Study_name,"")</f>
        <v/>
      </c>
      <c r="BF98" s="39" t="str">
        <f>IF(AND(Include_study?="Yes",Sufficient_data="Yes"),NORMSINV(Calculations!IW98),"")</f>
        <v/>
      </c>
      <c r="BG98" s="74" t="str">
        <f t="shared" ref="BG98:BG129" si="43">IF(AND(Include_study?="Yes",Sufficient_data="Yes"),IF(AND(Additional_valid_options="No",Additional_model="Random effects"),NA(),IF(BJ$33="Standardized residuals",Standardized_residual,Z_score)),"")</f>
        <v/>
      </c>
      <c r="BP98" s="176"/>
      <c r="BT98" s="176"/>
    </row>
    <row r="99" spans="4:72" x14ac:dyDescent="0.2">
      <c r="D99" s="84" t="str">
        <f t="shared" si="34"/>
        <v/>
      </c>
      <c r="E99" s="132" t="str">
        <f t="shared" si="35"/>
        <v/>
      </c>
      <c r="F99" s="39" t="str">
        <f t="shared" si="36"/>
        <v/>
      </c>
      <c r="M99" s="176"/>
      <c r="T99" s="176"/>
      <c r="V99" s="130" t="str">
        <f t="shared" si="37"/>
        <v/>
      </c>
      <c r="W99" s="74" t="str">
        <f>IF(AND(Include_study?="Yes",Sufficient_data="Yes"),((E:E-I$29)*SQRT(Calculations!FU:FU))/SQRT(1-Calculations!FU:FU/SUM(Calculations!FU:FU)),"")</f>
        <v/>
      </c>
      <c r="AE99" s="176"/>
      <c r="AG99" s="130" t="str">
        <f t="shared" si="38"/>
        <v/>
      </c>
      <c r="AH99" s="39" t="str">
        <f t="shared" si="27"/>
        <v/>
      </c>
      <c r="AI99" s="74" t="str">
        <f t="shared" si="28"/>
        <v/>
      </c>
      <c r="AR99" s="176"/>
      <c r="AT99" s="130" t="str">
        <f t="shared" si="39"/>
        <v/>
      </c>
      <c r="AU99" s="39" t="str">
        <f t="shared" si="40"/>
        <v/>
      </c>
      <c r="AV99" s="74" t="str">
        <f t="shared" si="41"/>
        <v/>
      </c>
      <c r="BC99" s="176"/>
      <c r="BE99" s="130" t="str">
        <f t="shared" si="42"/>
        <v/>
      </c>
      <c r="BF99" s="39" t="str">
        <f>IF(AND(Include_study?="Yes",Sufficient_data="Yes"),NORMSINV(Calculations!IW99),"")</f>
        <v/>
      </c>
      <c r="BG99" s="74" t="str">
        <f t="shared" si="43"/>
        <v/>
      </c>
      <c r="BP99" s="176"/>
      <c r="BT99" s="176"/>
    </row>
    <row r="100" spans="4:72" x14ac:dyDescent="0.2">
      <c r="D100" s="84" t="str">
        <f t="shared" si="34"/>
        <v/>
      </c>
      <c r="E100" s="132" t="str">
        <f t="shared" si="35"/>
        <v/>
      </c>
      <c r="F100" s="39" t="str">
        <f t="shared" si="36"/>
        <v/>
      </c>
      <c r="M100" s="176"/>
      <c r="T100" s="176"/>
      <c r="V100" s="130" t="str">
        <f t="shared" si="37"/>
        <v/>
      </c>
      <c r="W100" s="74" t="str">
        <f>IF(AND(Include_study?="Yes",Sufficient_data="Yes"),((E:E-I$29)*SQRT(Calculations!FU:FU))/SQRT(1-Calculations!FU:FU/SUM(Calculations!FU:FU)),"")</f>
        <v/>
      </c>
      <c r="AE100" s="176"/>
      <c r="AG100" s="130" t="str">
        <f t="shared" si="38"/>
        <v/>
      </c>
      <c r="AH100" s="39" t="str">
        <f t="shared" si="27"/>
        <v/>
      </c>
      <c r="AI100" s="74" t="str">
        <f t="shared" si="28"/>
        <v/>
      </c>
      <c r="AR100" s="176"/>
      <c r="AT100" s="130" t="str">
        <f t="shared" si="39"/>
        <v/>
      </c>
      <c r="AU100" s="39" t="str">
        <f t="shared" si="40"/>
        <v/>
      </c>
      <c r="AV100" s="74" t="str">
        <f t="shared" si="41"/>
        <v/>
      </c>
      <c r="BC100" s="176"/>
      <c r="BE100" s="130" t="str">
        <f t="shared" si="42"/>
        <v/>
      </c>
      <c r="BF100" s="39" t="str">
        <f>IF(AND(Include_study?="Yes",Sufficient_data="Yes"),NORMSINV(Calculations!IW100),"")</f>
        <v/>
      </c>
      <c r="BG100" s="74" t="str">
        <f t="shared" si="43"/>
        <v/>
      </c>
      <c r="BP100" s="176"/>
      <c r="BT100" s="176"/>
    </row>
    <row r="101" spans="4:72" x14ac:dyDescent="0.2">
      <c r="D101" s="84" t="str">
        <f t="shared" si="34"/>
        <v/>
      </c>
      <c r="E101" s="132" t="str">
        <f t="shared" si="35"/>
        <v/>
      </c>
      <c r="F101" s="39" t="str">
        <f t="shared" si="36"/>
        <v/>
      </c>
      <c r="M101" s="176"/>
      <c r="T101" s="176"/>
      <c r="V101" s="130" t="str">
        <f t="shared" si="37"/>
        <v/>
      </c>
      <c r="W101" s="74" t="str">
        <f>IF(AND(Include_study?="Yes",Sufficient_data="Yes"),((E:E-I$29)*SQRT(Calculations!FU:FU))/SQRT(1-Calculations!FU:FU/SUM(Calculations!FU:FU)),"")</f>
        <v/>
      </c>
      <c r="AE101" s="176"/>
      <c r="AG101" s="130" t="str">
        <f t="shared" si="38"/>
        <v/>
      </c>
      <c r="AH101" s="39" t="str">
        <f t="shared" si="27"/>
        <v/>
      </c>
      <c r="AI101" s="74" t="str">
        <f t="shared" si="28"/>
        <v/>
      </c>
      <c r="AR101" s="176"/>
      <c r="AT101" s="130" t="str">
        <f t="shared" si="39"/>
        <v/>
      </c>
      <c r="AU101" s="39" t="str">
        <f t="shared" si="40"/>
        <v/>
      </c>
      <c r="AV101" s="74" t="str">
        <f t="shared" si="41"/>
        <v/>
      </c>
      <c r="BC101" s="176"/>
      <c r="BE101" s="130" t="str">
        <f t="shared" si="42"/>
        <v/>
      </c>
      <c r="BF101" s="39" t="str">
        <f>IF(AND(Include_study?="Yes",Sufficient_data="Yes"),NORMSINV(Calculations!IW101),"")</f>
        <v/>
      </c>
      <c r="BG101" s="74" t="str">
        <f t="shared" si="43"/>
        <v/>
      </c>
      <c r="BP101" s="176"/>
      <c r="BT101" s="176"/>
    </row>
    <row r="102" spans="4:72" x14ac:dyDescent="0.2">
      <c r="D102" s="84" t="str">
        <f t="shared" si="34"/>
        <v/>
      </c>
      <c r="E102" s="132" t="str">
        <f t="shared" si="35"/>
        <v/>
      </c>
      <c r="F102" s="39" t="str">
        <f t="shared" si="36"/>
        <v/>
      </c>
      <c r="M102" s="176"/>
      <c r="T102" s="176"/>
      <c r="V102" s="130" t="str">
        <f t="shared" si="37"/>
        <v/>
      </c>
      <c r="W102" s="74" t="str">
        <f>IF(AND(Include_study?="Yes",Sufficient_data="Yes"),((E:E-I$29)*SQRT(Calculations!FU:FU))/SQRT(1-Calculations!FU:FU/SUM(Calculations!FU:FU)),"")</f>
        <v/>
      </c>
      <c r="AE102" s="176"/>
      <c r="AG102" s="130" t="str">
        <f t="shared" si="38"/>
        <v/>
      </c>
      <c r="AH102" s="39" t="str">
        <f t="shared" si="27"/>
        <v/>
      </c>
      <c r="AI102" s="74" t="str">
        <f t="shared" si="28"/>
        <v/>
      </c>
      <c r="AR102" s="176"/>
      <c r="AT102" s="130" t="str">
        <f t="shared" si="39"/>
        <v/>
      </c>
      <c r="AU102" s="39" t="str">
        <f t="shared" si="40"/>
        <v/>
      </c>
      <c r="AV102" s="74" t="str">
        <f t="shared" si="41"/>
        <v/>
      </c>
      <c r="BC102" s="176"/>
      <c r="BE102" s="130" t="str">
        <f t="shared" si="42"/>
        <v/>
      </c>
      <c r="BF102" s="39" t="str">
        <f>IF(AND(Include_study?="Yes",Sufficient_data="Yes"),NORMSINV(Calculations!IW102),"")</f>
        <v/>
      </c>
      <c r="BG102" s="74" t="str">
        <f t="shared" si="43"/>
        <v/>
      </c>
      <c r="BP102" s="176"/>
      <c r="BT102" s="176"/>
    </row>
    <row r="103" spans="4:72" x14ac:dyDescent="0.2">
      <c r="D103" s="84" t="str">
        <f t="shared" si="34"/>
        <v/>
      </c>
      <c r="E103" s="132" t="str">
        <f t="shared" si="35"/>
        <v/>
      </c>
      <c r="F103" s="39" t="str">
        <f t="shared" si="36"/>
        <v/>
      </c>
      <c r="M103" s="176"/>
      <c r="T103" s="176"/>
      <c r="V103" s="130" t="str">
        <f t="shared" si="37"/>
        <v/>
      </c>
      <c r="W103" s="74" t="str">
        <f>IF(AND(Include_study?="Yes",Sufficient_data="Yes"),((E:E-I$29)*SQRT(Calculations!FU:FU))/SQRT(1-Calculations!FU:FU/SUM(Calculations!FU:FU)),"")</f>
        <v/>
      </c>
      <c r="AE103" s="176"/>
      <c r="AG103" s="130" t="str">
        <f t="shared" si="38"/>
        <v/>
      </c>
      <c r="AH103" s="39" t="str">
        <f t="shared" si="27"/>
        <v/>
      </c>
      <c r="AI103" s="74" t="str">
        <f t="shared" si="28"/>
        <v/>
      </c>
      <c r="AR103" s="176"/>
      <c r="AT103" s="130" t="str">
        <f t="shared" si="39"/>
        <v/>
      </c>
      <c r="AU103" s="39" t="str">
        <f t="shared" si="40"/>
        <v/>
      </c>
      <c r="AV103" s="74" t="str">
        <f t="shared" si="41"/>
        <v/>
      </c>
      <c r="BC103" s="176"/>
      <c r="BE103" s="130" t="str">
        <f t="shared" si="42"/>
        <v/>
      </c>
      <c r="BF103" s="39" t="str">
        <f>IF(AND(Include_study?="Yes",Sufficient_data="Yes"),NORMSINV(Calculations!IW103),"")</f>
        <v/>
      </c>
      <c r="BG103" s="74" t="str">
        <f t="shared" si="43"/>
        <v/>
      </c>
      <c r="BP103" s="176"/>
      <c r="BT103" s="176"/>
    </row>
    <row r="104" spans="4:72" x14ac:dyDescent="0.2">
      <c r="D104" s="84" t="str">
        <f t="shared" si="34"/>
        <v/>
      </c>
      <c r="E104" s="132" t="str">
        <f t="shared" si="35"/>
        <v/>
      </c>
      <c r="F104" s="39" t="str">
        <f t="shared" si="36"/>
        <v/>
      </c>
      <c r="M104" s="176"/>
      <c r="T104" s="176"/>
      <c r="V104" s="130" t="str">
        <f t="shared" si="37"/>
        <v/>
      </c>
      <c r="W104" s="74" t="str">
        <f>IF(AND(Include_study?="Yes",Sufficient_data="Yes"),((E:E-I$29)*SQRT(Calculations!FU:FU))/SQRT(1-Calculations!FU:FU/SUM(Calculations!FU:FU)),"")</f>
        <v/>
      </c>
      <c r="AE104" s="176"/>
      <c r="AG104" s="130" t="str">
        <f t="shared" si="38"/>
        <v/>
      </c>
      <c r="AH104" s="39" t="str">
        <f t="shared" si="27"/>
        <v/>
      </c>
      <c r="AI104" s="74" t="str">
        <f t="shared" si="28"/>
        <v/>
      </c>
      <c r="AR104" s="176"/>
      <c r="AT104" s="130" t="str">
        <f t="shared" si="39"/>
        <v/>
      </c>
      <c r="AU104" s="39" t="str">
        <f t="shared" si="40"/>
        <v/>
      </c>
      <c r="AV104" s="74" t="str">
        <f t="shared" si="41"/>
        <v/>
      </c>
      <c r="BC104" s="176"/>
      <c r="BE104" s="130" t="str">
        <f t="shared" si="42"/>
        <v/>
      </c>
      <c r="BF104" s="39" t="str">
        <f>IF(AND(Include_study?="Yes",Sufficient_data="Yes"),NORMSINV(Calculations!IW104),"")</f>
        <v/>
      </c>
      <c r="BG104" s="74" t="str">
        <f t="shared" si="43"/>
        <v/>
      </c>
      <c r="BP104" s="176"/>
      <c r="BT104" s="176"/>
    </row>
    <row r="105" spans="4:72" x14ac:dyDescent="0.2">
      <c r="D105" s="84" t="str">
        <f t="shared" si="34"/>
        <v/>
      </c>
      <c r="E105" s="132" t="str">
        <f t="shared" si="35"/>
        <v/>
      </c>
      <c r="F105" s="39" t="str">
        <f t="shared" si="36"/>
        <v/>
      </c>
      <c r="M105" s="176"/>
      <c r="T105" s="176"/>
      <c r="V105" s="130" t="str">
        <f t="shared" si="37"/>
        <v/>
      </c>
      <c r="W105" s="74" t="str">
        <f>IF(AND(Include_study?="Yes",Sufficient_data="Yes"),((E:E-I$29)*SQRT(Calculations!FU:FU))/SQRT(1-Calculations!FU:FU/SUM(Calculations!FU:FU)),"")</f>
        <v/>
      </c>
      <c r="AE105" s="176"/>
      <c r="AG105" s="130" t="str">
        <f t="shared" si="38"/>
        <v/>
      </c>
      <c r="AH105" s="39" t="str">
        <f t="shared" si="27"/>
        <v/>
      </c>
      <c r="AI105" s="74" t="str">
        <f t="shared" si="28"/>
        <v/>
      </c>
      <c r="AR105" s="176"/>
      <c r="AT105" s="130" t="str">
        <f t="shared" si="39"/>
        <v/>
      </c>
      <c r="AU105" s="39" t="str">
        <f t="shared" si="40"/>
        <v/>
      </c>
      <c r="AV105" s="74" t="str">
        <f t="shared" si="41"/>
        <v/>
      </c>
      <c r="BC105" s="176"/>
      <c r="BE105" s="130" t="str">
        <f t="shared" si="42"/>
        <v/>
      </c>
      <c r="BF105" s="39" t="str">
        <f>IF(AND(Include_study?="Yes",Sufficient_data="Yes"),NORMSINV(Calculations!IW105),"")</f>
        <v/>
      </c>
      <c r="BG105" s="74" t="str">
        <f t="shared" si="43"/>
        <v/>
      </c>
      <c r="BP105" s="176"/>
      <c r="BT105" s="176"/>
    </row>
    <row r="106" spans="4:72" x14ac:dyDescent="0.2">
      <c r="D106" s="84" t="str">
        <f t="shared" si="34"/>
        <v/>
      </c>
      <c r="E106" s="132" t="str">
        <f t="shared" si="35"/>
        <v/>
      </c>
      <c r="F106" s="39" t="str">
        <f t="shared" si="36"/>
        <v/>
      </c>
      <c r="M106" s="176"/>
      <c r="T106" s="176"/>
      <c r="V106" s="130" t="str">
        <f t="shared" si="37"/>
        <v/>
      </c>
      <c r="W106" s="74" t="str">
        <f>IF(AND(Include_study?="Yes",Sufficient_data="Yes"),((E:E-I$29)*SQRT(Calculations!FU:FU))/SQRT(1-Calculations!FU:FU/SUM(Calculations!FU:FU)),"")</f>
        <v/>
      </c>
      <c r="AE106" s="176"/>
      <c r="AG106" s="130" t="str">
        <f t="shared" si="38"/>
        <v/>
      </c>
      <c r="AH106" s="39" t="str">
        <f t="shared" si="27"/>
        <v/>
      </c>
      <c r="AI106" s="74" t="str">
        <f t="shared" si="28"/>
        <v/>
      </c>
      <c r="AR106" s="176"/>
      <c r="AT106" s="130" t="str">
        <f t="shared" si="39"/>
        <v/>
      </c>
      <c r="AU106" s="39" t="str">
        <f t="shared" si="40"/>
        <v/>
      </c>
      <c r="AV106" s="74" t="str">
        <f t="shared" si="41"/>
        <v/>
      </c>
      <c r="BC106" s="176"/>
      <c r="BE106" s="130" t="str">
        <f t="shared" si="42"/>
        <v/>
      </c>
      <c r="BF106" s="39" t="str">
        <f>IF(AND(Include_study?="Yes",Sufficient_data="Yes"),NORMSINV(Calculations!IW106),"")</f>
        <v/>
      </c>
      <c r="BG106" s="74" t="str">
        <f t="shared" si="43"/>
        <v/>
      </c>
      <c r="BP106" s="176"/>
      <c r="BT106" s="176"/>
    </row>
    <row r="107" spans="4:72" x14ac:dyDescent="0.2">
      <c r="D107" s="84" t="str">
        <f t="shared" si="34"/>
        <v/>
      </c>
      <c r="E107" s="132" t="str">
        <f t="shared" si="35"/>
        <v/>
      </c>
      <c r="F107" s="39" t="str">
        <f t="shared" si="36"/>
        <v/>
      </c>
      <c r="M107" s="176"/>
      <c r="T107" s="176"/>
      <c r="V107" s="130" t="str">
        <f t="shared" si="37"/>
        <v/>
      </c>
      <c r="W107" s="74" t="str">
        <f>IF(AND(Include_study?="Yes",Sufficient_data="Yes"),((E:E-I$29)*SQRT(Calculations!FU:FU))/SQRT(1-Calculations!FU:FU/SUM(Calculations!FU:FU)),"")</f>
        <v/>
      </c>
      <c r="AE107" s="176"/>
      <c r="AG107" s="130" t="str">
        <f t="shared" si="38"/>
        <v/>
      </c>
      <c r="AH107" s="39" t="str">
        <f t="shared" si="27"/>
        <v/>
      </c>
      <c r="AI107" s="74" t="str">
        <f t="shared" si="28"/>
        <v/>
      </c>
      <c r="AR107" s="176"/>
      <c r="AT107" s="130" t="str">
        <f t="shared" si="39"/>
        <v/>
      </c>
      <c r="AU107" s="39" t="str">
        <f t="shared" si="40"/>
        <v/>
      </c>
      <c r="AV107" s="74" t="str">
        <f t="shared" si="41"/>
        <v/>
      </c>
      <c r="BC107" s="176"/>
      <c r="BE107" s="130" t="str">
        <f t="shared" si="42"/>
        <v/>
      </c>
      <c r="BF107" s="39" t="str">
        <f>IF(AND(Include_study?="Yes",Sufficient_data="Yes"),NORMSINV(Calculations!IW107),"")</f>
        <v/>
      </c>
      <c r="BG107" s="74" t="str">
        <f t="shared" si="43"/>
        <v/>
      </c>
      <c r="BP107" s="176"/>
      <c r="BT107" s="176"/>
    </row>
    <row r="108" spans="4:72" x14ac:dyDescent="0.2">
      <c r="D108" s="84" t="str">
        <f t="shared" si="34"/>
        <v/>
      </c>
      <c r="E108" s="132" t="str">
        <f t="shared" si="35"/>
        <v/>
      </c>
      <c r="F108" s="39" t="str">
        <f t="shared" si="36"/>
        <v/>
      </c>
      <c r="M108" s="176"/>
      <c r="T108" s="176"/>
      <c r="V108" s="130" t="str">
        <f t="shared" si="37"/>
        <v/>
      </c>
      <c r="W108" s="74" t="str">
        <f>IF(AND(Include_study?="Yes",Sufficient_data="Yes"),((E:E-I$29)*SQRT(Calculations!FU:FU))/SQRT(1-Calculations!FU:FU/SUM(Calculations!FU:FU)),"")</f>
        <v/>
      </c>
      <c r="AE108" s="176"/>
      <c r="AG108" s="130" t="str">
        <f t="shared" si="38"/>
        <v/>
      </c>
      <c r="AH108" s="39" t="str">
        <f t="shared" si="27"/>
        <v/>
      </c>
      <c r="AI108" s="74" t="str">
        <f t="shared" si="28"/>
        <v/>
      </c>
      <c r="AR108" s="176"/>
      <c r="AT108" s="130" t="str">
        <f t="shared" si="39"/>
        <v/>
      </c>
      <c r="AU108" s="39" t="str">
        <f t="shared" si="40"/>
        <v/>
      </c>
      <c r="AV108" s="74" t="str">
        <f t="shared" si="41"/>
        <v/>
      </c>
      <c r="BC108" s="176"/>
      <c r="BE108" s="130" t="str">
        <f t="shared" si="42"/>
        <v/>
      </c>
      <c r="BF108" s="39" t="str">
        <f>IF(AND(Include_study?="Yes",Sufficient_data="Yes"),NORMSINV(Calculations!IW108),"")</f>
        <v/>
      </c>
      <c r="BG108" s="74" t="str">
        <f t="shared" si="43"/>
        <v/>
      </c>
      <c r="BP108" s="176"/>
      <c r="BT108" s="176"/>
    </row>
    <row r="109" spans="4:72" x14ac:dyDescent="0.2">
      <c r="D109" s="84" t="str">
        <f t="shared" si="34"/>
        <v/>
      </c>
      <c r="E109" s="132" t="str">
        <f t="shared" si="35"/>
        <v/>
      </c>
      <c r="F109" s="39" t="str">
        <f t="shared" si="36"/>
        <v/>
      </c>
      <c r="M109" s="176"/>
      <c r="T109" s="176"/>
      <c r="V109" s="130" t="str">
        <f t="shared" si="37"/>
        <v/>
      </c>
      <c r="W109" s="74" t="str">
        <f>IF(AND(Include_study?="Yes",Sufficient_data="Yes"),((E:E-I$29)*SQRT(Calculations!FU:FU))/SQRT(1-Calculations!FU:FU/SUM(Calculations!FU:FU)),"")</f>
        <v/>
      </c>
      <c r="AE109" s="176"/>
      <c r="AG109" s="130" t="str">
        <f t="shared" si="38"/>
        <v/>
      </c>
      <c r="AH109" s="39" t="str">
        <f t="shared" si="27"/>
        <v/>
      </c>
      <c r="AI109" s="74" t="str">
        <f t="shared" si="28"/>
        <v/>
      </c>
      <c r="AR109" s="176"/>
      <c r="AT109" s="130" t="str">
        <f t="shared" si="39"/>
        <v/>
      </c>
      <c r="AU109" s="39" t="str">
        <f t="shared" si="40"/>
        <v/>
      </c>
      <c r="AV109" s="74" t="str">
        <f t="shared" si="41"/>
        <v/>
      </c>
      <c r="BC109" s="176"/>
      <c r="BE109" s="130" t="str">
        <f t="shared" si="42"/>
        <v/>
      </c>
      <c r="BF109" s="39" t="str">
        <f>IF(AND(Include_study?="Yes",Sufficient_data="Yes"),NORMSINV(Calculations!IW109),"")</f>
        <v/>
      </c>
      <c r="BG109" s="74" t="str">
        <f t="shared" si="43"/>
        <v/>
      </c>
      <c r="BP109" s="176"/>
      <c r="BT109" s="176"/>
    </row>
    <row r="110" spans="4:72" x14ac:dyDescent="0.2">
      <c r="D110" s="84" t="str">
        <f t="shared" si="34"/>
        <v/>
      </c>
      <c r="E110" s="132" t="str">
        <f t="shared" si="35"/>
        <v/>
      </c>
      <c r="F110" s="39" t="str">
        <f t="shared" si="36"/>
        <v/>
      </c>
      <c r="M110" s="176"/>
      <c r="T110" s="176"/>
      <c r="V110" s="130" t="str">
        <f t="shared" si="37"/>
        <v/>
      </c>
      <c r="W110" s="74" t="str">
        <f>IF(AND(Include_study?="Yes",Sufficient_data="Yes"),((E:E-I$29)*SQRT(Calculations!FU:FU))/SQRT(1-Calculations!FU:FU/SUM(Calculations!FU:FU)),"")</f>
        <v/>
      </c>
      <c r="AE110" s="176"/>
      <c r="AG110" s="130" t="str">
        <f t="shared" si="38"/>
        <v/>
      </c>
      <c r="AH110" s="39" t="str">
        <f t="shared" si="27"/>
        <v/>
      </c>
      <c r="AI110" s="74" t="str">
        <f t="shared" si="28"/>
        <v/>
      </c>
      <c r="AR110" s="176"/>
      <c r="AT110" s="130" t="str">
        <f t="shared" si="39"/>
        <v/>
      </c>
      <c r="AU110" s="39" t="str">
        <f t="shared" si="40"/>
        <v/>
      </c>
      <c r="AV110" s="74" t="str">
        <f t="shared" si="41"/>
        <v/>
      </c>
      <c r="BC110" s="176"/>
      <c r="BE110" s="130" t="str">
        <f t="shared" si="42"/>
        <v/>
      </c>
      <c r="BF110" s="39" t="str">
        <f>IF(AND(Include_study?="Yes",Sufficient_data="Yes"),NORMSINV(Calculations!IW110),"")</f>
        <v/>
      </c>
      <c r="BG110" s="74" t="str">
        <f t="shared" si="43"/>
        <v/>
      </c>
      <c r="BP110" s="176"/>
      <c r="BT110" s="176"/>
    </row>
    <row r="111" spans="4:72" x14ac:dyDescent="0.2">
      <c r="D111" s="84" t="str">
        <f t="shared" si="34"/>
        <v/>
      </c>
      <c r="E111" s="132" t="str">
        <f t="shared" si="35"/>
        <v/>
      </c>
      <c r="F111" s="39" t="str">
        <f t="shared" si="36"/>
        <v/>
      </c>
      <c r="M111" s="176"/>
      <c r="T111" s="176"/>
      <c r="V111" s="130" t="str">
        <f t="shared" si="37"/>
        <v/>
      </c>
      <c r="W111" s="74" t="str">
        <f>IF(AND(Include_study?="Yes",Sufficient_data="Yes"),((E:E-I$29)*SQRT(Calculations!FU:FU))/SQRT(1-Calculations!FU:FU/SUM(Calculations!FU:FU)),"")</f>
        <v/>
      </c>
      <c r="AE111" s="176"/>
      <c r="AG111" s="130" t="str">
        <f t="shared" si="38"/>
        <v/>
      </c>
      <c r="AH111" s="39" t="str">
        <f t="shared" si="27"/>
        <v/>
      </c>
      <c r="AI111" s="74" t="str">
        <f t="shared" si="28"/>
        <v/>
      </c>
      <c r="AR111" s="176"/>
      <c r="AT111" s="130" t="str">
        <f t="shared" si="39"/>
        <v/>
      </c>
      <c r="AU111" s="39" t="str">
        <f t="shared" si="40"/>
        <v/>
      </c>
      <c r="AV111" s="74" t="str">
        <f t="shared" si="41"/>
        <v/>
      </c>
      <c r="BC111" s="176"/>
      <c r="BE111" s="130" t="str">
        <f t="shared" si="42"/>
        <v/>
      </c>
      <c r="BF111" s="39" t="str">
        <f>IF(AND(Include_study?="Yes",Sufficient_data="Yes"),NORMSINV(Calculations!IW111),"")</f>
        <v/>
      </c>
      <c r="BG111" s="74" t="str">
        <f t="shared" si="43"/>
        <v/>
      </c>
      <c r="BP111" s="176"/>
      <c r="BT111" s="176"/>
    </row>
    <row r="112" spans="4:72" x14ac:dyDescent="0.2">
      <c r="D112" s="84" t="str">
        <f t="shared" si="34"/>
        <v/>
      </c>
      <c r="E112" s="132" t="str">
        <f t="shared" si="35"/>
        <v/>
      </c>
      <c r="F112" s="39" t="str">
        <f t="shared" si="36"/>
        <v/>
      </c>
      <c r="M112" s="176"/>
      <c r="T112" s="176"/>
      <c r="V112" s="130" t="str">
        <f t="shared" si="37"/>
        <v/>
      </c>
      <c r="W112" s="74" t="str">
        <f>IF(AND(Include_study?="Yes",Sufficient_data="Yes"),((E:E-I$29)*SQRT(Calculations!FU:FU))/SQRT(1-Calculations!FU:FU/SUM(Calculations!FU:FU)),"")</f>
        <v/>
      </c>
      <c r="AE112" s="176"/>
      <c r="AG112" s="130" t="str">
        <f t="shared" si="38"/>
        <v/>
      </c>
      <c r="AH112" s="39" t="str">
        <f t="shared" si="27"/>
        <v/>
      </c>
      <c r="AI112" s="74" t="str">
        <f t="shared" si="28"/>
        <v/>
      </c>
      <c r="AR112" s="176"/>
      <c r="AT112" s="130" t="str">
        <f t="shared" si="39"/>
        <v/>
      </c>
      <c r="AU112" s="39" t="str">
        <f t="shared" si="40"/>
        <v/>
      </c>
      <c r="AV112" s="74" t="str">
        <f t="shared" si="41"/>
        <v/>
      </c>
      <c r="BC112" s="176"/>
      <c r="BE112" s="130" t="str">
        <f t="shared" si="42"/>
        <v/>
      </c>
      <c r="BF112" s="39" t="str">
        <f>IF(AND(Include_study?="Yes",Sufficient_data="Yes"),NORMSINV(Calculations!IW112),"")</f>
        <v/>
      </c>
      <c r="BG112" s="74" t="str">
        <f t="shared" si="43"/>
        <v/>
      </c>
      <c r="BP112" s="176"/>
      <c r="BT112" s="176"/>
    </row>
    <row r="113" spans="4:72" x14ac:dyDescent="0.2">
      <c r="D113" s="84" t="str">
        <f t="shared" si="34"/>
        <v/>
      </c>
      <c r="E113" s="132" t="str">
        <f t="shared" si="35"/>
        <v/>
      </c>
      <c r="F113" s="39" t="str">
        <f t="shared" si="36"/>
        <v/>
      </c>
      <c r="M113" s="176"/>
      <c r="T113" s="176"/>
      <c r="V113" s="130" t="str">
        <f t="shared" si="37"/>
        <v/>
      </c>
      <c r="W113" s="74" t="str">
        <f>IF(AND(Include_study?="Yes",Sufficient_data="Yes"),((E:E-I$29)*SQRT(Calculations!FU:FU))/SQRT(1-Calculations!FU:FU/SUM(Calculations!FU:FU)),"")</f>
        <v/>
      </c>
      <c r="AE113" s="176"/>
      <c r="AG113" s="130" t="str">
        <f t="shared" si="38"/>
        <v/>
      </c>
      <c r="AH113" s="39" t="str">
        <f t="shared" si="27"/>
        <v/>
      </c>
      <c r="AI113" s="74" t="str">
        <f t="shared" si="28"/>
        <v/>
      </c>
      <c r="AR113" s="176"/>
      <c r="AT113" s="130" t="str">
        <f t="shared" si="39"/>
        <v/>
      </c>
      <c r="AU113" s="39" t="str">
        <f t="shared" si="40"/>
        <v/>
      </c>
      <c r="AV113" s="74" t="str">
        <f t="shared" si="41"/>
        <v/>
      </c>
      <c r="BC113" s="176"/>
      <c r="BE113" s="130" t="str">
        <f t="shared" si="42"/>
        <v/>
      </c>
      <c r="BF113" s="39" t="str">
        <f>IF(AND(Include_study?="Yes",Sufficient_data="Yes"),NORMSINV(Calculations!IW113),"")</f>
        <v/>
      </c>
      <c r="BG113" s="74" t="str">
        <f t="shared" si="43"/>
        <v/>
      </c>
      <c r="BP113" s="176"/>
      <c r="BT113" s="176"/>
    </row>
    <row r="114" spans="4:72" x14ac:dyDescent="0.2">
      <c r="D114" s="84" t="str">
        <f t="shared" si="34"/>
        <v/>
      </c>
      <c r="E114" s="132" t="str">
        <f t="shared" si="35"/>
        <v/>
      </c>
      <c r="F114" s="39" t="str">
        <f t="shared" si="36"/>
        <v/>
      </c>
      <c r="M114" s="176"/>
      <c r="T114" s="176"/>
      <c r="V114" s="130" t="str">
        <f t="shared" si="37"/>
        <v/>
      </c>
      <c r="W114" s="74" t="str">
        <f>IF(AND(Include_study?="Yes",Sufficient_data="Yes"),((E:E-I$29)*SQRT(Calculations!FU:FU))/SQRT(1-Calculations!FU:FU/SUM(Calculations!FU:FU)),"")</f>
        <v/>
      </c>
      <c r="AE114" s="176"/>
      <c r="AG114" s="130" t="str">
        <f t="shared" si="38"/>
        <v/>
      </c>
      <c r="AH114" s="39" t="str">
        <f t="shared" si="27"/>
        <v/>
      </c>
      <c r="AI114" s="74" t="str">
        <f t="shared" si="28"/>
        <v/>
      </c>
      <c r="AR114" s="176"/>
      <c r="AT114" s="130" t="str">
        <f t="shared" si="39"/>
        <v/>
      </c>
      <c r="AU114" s="39" t="str">
        <f t="shared" si="40"/>
        <v/>
      </c>
      <c r="AV114" s="74" t="str">
        <f t="shared" si="41"/>
        <v/>
      </c>
      <c r="BC114" s="176"/>
      <c r="BE114" s="130" t="str">
        <f t="shared" si="42"/>
        <v/>
      </c>
      <c r="BF114" s="39" t="str">
        <f>IF(AND(Include_study?="Yes",Sufficient_data="Yes"),NORMSINV(Calculations!IW114),"")</f>
        <v/>
      </c>
      <c r="BG114" s="74" t="str">
        <f t="shared" si="43"/>
        <v/>
      </c>
      <c r="BP114" s="176"/>
      <c r="BT114" s="176"/>
    </row>
    <row r="115" spans="4:72" x14ac:dyDescent="0.2">
      <c r="D115" s="84" t="str">
        <f t="shared" si="34"/>
        <v/>
      </c>
      <c r="E115" s="132" t="str">
        <f t="shared" si="35"/>
        <v/>
      </c>
      <c r="F115" s="39" t="str">
        <f t="shared" si="36"/>
        <v/>
      </c>
      <c r="M115" s="176"/>
      <c r="T115" s="176"/>
      <c r="V115" s="130" t="str">
        <f t="shared" si="37"/>
        <v/>
      </c>
      <c r="W115" s="74" t="str">
        <f>IF(AND(Include_study?="Yes",Sufficient_data="Yes"),((E:E-I$29)*SQRT(Calculations!FU:FU))/SQRT(1-Calculations!FU:FU/SUM(Calculations!FU:FU)),"")</f>
        <v/>
      </c>
      <c r="AE115" s="176"/>
      <c r="AG115" s="130" t="str">
        <f t="shared" si="38"/>
        <v/>
      </c>
      <c r="AH115" s="39" t="str">
        <f t="shared" si="27"/>
        <v/>
      </c>
      <c r="AI115" s="74" t="str">
        <f t="shared" si="28"/>
        <v/>
      </c>
      <c r="AR115" s="176"/>
      <c r="AT115" s="130" t="str">
        <f t="shared" si="39"/>
        <v/>
      </c>
      <c r="AU115" s="39" t="str">
        <f t="shared" si="40"/>
        <v/>
      </c>
      <c r="AV115" s="74" t="str">
        <f t="shared" si="41"/>
        <v/>
      </c>
      <c r="BC115" s="176"/>
      <c r="BE115" s="130" t="str">
        <f t="shared" si="42"/>
        <v/>
      </c>
      <c r="BF115" s="39" t="str">
        <f>IF(AND(Include_study?="Yes",Sufficient_data="Yes"),NORMSINV(Calculations!IW115),"")</f>
        <v/>
      </c>
      <c r="BG115" s="74" t="str">
        <f t="shared" si="43"/>
        <v/>
      </c>
      <c r="BP115" s="176"/>
      <c r="BT115" s="176"/>
    </row>
    <row r="116" spans="4:72" x14ac:dyDescent="0.2">
      <c r="D116" s="84" t="str">
        <f t="shared" si="34"/>
        <v/>
      </c>
      <c r="E116" s="132" t="str">
        <f t="shared" si="35"/>
        <v/>
      </c>
      <c r="F116" s="39" t="str">
        <f t="shared" si="36"/>
        <v/>
      </c>
      <c r="M116" s="176"/>
      <c r="T116" s="176"/>
      <c r="V116" s="130" t="str">
        <f t="shared" si="37"/>
        <v/>
      </c>
      <c r="W116" s="74" t="str">
        <f>IF(AND(Include_study?="Yes",Sufficient_data="Yes"),((E:E-I$29)*SQRT(Calculations!FU:FU))/SQRT(1-Calculations!FU:FU/SUM(Calculations!FU:FU)),"")</f>
        <v/>
      </c>
      <c r="AE116" s="176"/>
      <c r="AG116" s="130" t="str">
        <f t="shared" si="38"/>
        <v/>
      </c>
      <c r="AH116" s="39" t="str">
        <f t="shared" si="27"/>
        <v/>
      </c>
      <c r="AI116" s="74" t="str">
        <f t="shared" si="28"/>
        <v/>
      </c>
      <c r="AR116" s="176"/>
      <c r="AT116" s="130" t="str">
        <f t="shared" si="39"/>
        <v/>
      </c>
      <c r="AU116" s="39" t="str">
        <f t="shared" si="40"/>
        <v/>
      </c>
      <c r="AV116" s="74" t="str">
        <f t="shared" si="41"/>
        <v/>
      </c>
      <c r="BC116" s="176"/>
      <c r="BE116" s="130" t="str">
        <f t="shared" si="42"/>
        <v/>
      </c>
      <c r="BF116" s="39" t="str">
        <f>IF(AND(Include_study?="Yes",Sufficient_data="Yes"),NORMSINV(Calculations!IW116),"")</f>
        <v/>
      </c>
      <c r="BG116" s="74" t="str">
        <f t="shared" si="43"/>
        <v/>
      </c>
      <c r="BP116" s="176"/>
      <c r="BT116" s="176"/>
    </row>
    <row r="117" spans="4:72" x14ac:dyDescent="0.2">
      <c r="D117" s="84" t="str">
        <f t="shared" si="34"/>
        <v/>
      </c>
      <c r="E117" s="132" t="str">
        <f t="shared" si="35"/>
        <v/>
      </c>
      <c r="F117" s="39" t="str">
        <f t="shared" si="36"/>
        <v/>
      </c>
      <c r="M117" s="176"/>
      <c r="T117" s="176"/>
      <c r="V117" s="130" t="str">
        <f t="shared" si="37"/>
        <v/>
      </c>
      <c r="W117" s="74" t="str">
        <f>IF(AND(Include_study?="Yes",Sufficient_data="Yes"),((E:E-I$29)*SQRT(Calculations!FU:FU))/SQRT(1-Calculations!FU:FU/SUM(Calculations!FU:FU)),"")</f>
        <v/>
      </c>
      <c r="AE117" s="176"/>
      <c r="AG117" s="130" t="str">
        <f t="shared" si="38"/>
        <v/>
      </c>
      <c r="AH117" s="39" t="str">
        <f t="shared" si="27"/>
        <v/>
      </c>
      <c r="AI117" s="74" t="str">
        <f t="shared" si="28"/>
        <v/>
      </c>
      <c r="AR117" s="176"/>
      <c r="AT117" s="130" t="str">
        <f t="shared" si="39"/>
        <v/>
      </c>
      <c r="AU117" s="39" t="str">
        <f t="shared" si="40"/>
        <v/>
      </c>
      <c r="AV117" s="74" t="str">
        <f t="shared" si="41"/>
        <v/>
      </c>
      <c r="BC117" s="176"/>
      <c r="BE117" s="130" t="str">
        <f t="shared" si="42"/>
        <v/>
      </c>
      <c r="BF117" s="39" t="str">
        <f>IF(AND(Include_study?="Yes",Sufficient_data="Yes"),NORMSINV(Calculations!IW117),"")</f>
        <v/>
      </c>
      <c r="BG117" s="74" t="str">
        <f t="shared" si="43"/>
        <v/>
      </c>
      <c r="BP117" s="176"/>
      <c r="BT117" s="176"/>
    </row>
    <row r="118" spans="4:72" x14ac:dyDescent="0.2">
      <c r="D118" s="84" t="str">
        <f t="shared" si="34"/>
        <v/>
      </c>
      <c r="E118" s="132" t="str">
        <f t="shared" si="35"/>
        <v/>
      </c>
      <c r="F118" s="39" t="str">
        <f t="shared" si="36"/>
        <v/>
      </c>
      <c r="M118" s="176"/>
      <c r="T118" s="176"/>
      <c r="V118" s="130" t="str">
        <f t="shared" si="37"/>
        <v/>
      </c>
      <c r="W118" s="74" t="str">
        <f>IF(AND(Include_study?="Yes",Sufficient_data="Yes"),((E:E-I$29)*SQRT(Calculations!FU:FU))/SQRT(1-Calculations!FU:FU/SUM(Calculations!FU:FU)),"")</f>
        <v/>
      </c>
      <c r="AE118" s="176"/>
      <c r="AG118" s="130" t="str">
        <f t="shared" si="38"/>
        <v/>
      </c>
      <c r="AH118" s="39" t="str">
        <f t="shared" si="27"/>
        <v/>
      </c>
      <c r="AI118" s="74" t="str">
        <f t="shared" si="28"/>
        <v/>
      </c>
      <c r="AR118" s="176"/>
      <c r="AT118" s="130" t="str">
        <f t="shared" si="39"/>
        <v/>
      </c>
      <c r="AU118" s="39" t="str">
        <f t="shared" si="40"/>
        <v/>
      </c>
      <c r="AV118" s="74" t="str">
        <f t="shared" si="41"/>
        <v/>
      </c>
      <c r="BC118" s="176"/>
      <c r="BE118" s="130" t="str">
        <f t="shared" si="42"/>
        <v/>
      </c>
      <c r="BF118" s="39" t="str">
        <f>IF(AND(Include_study?="Yes",Sufficient_data="Yes"),NORMSINV(Calculations!IW118),"")</f>
        <v/>
      </c>
      <c r="BG118" s="74" t="str">
        <f t="shared" si="43"/>
        <v/>
      </c>
      <c r="BP118" s="176"/>
      <c r="BT118" s="176"/>
    </row>
    <row r="119" spans="4:72" x14ac:dyDescent="0.2">
      <c r="D119" s="84" t="str">
        <f t="shared" si="34"/>
        <v/>
      </c>
      <c r="E119" s="132" t="str">
        <f t="shared" si="35"/>
        <v/>
      </c>
      <c r="F119" s="39" t="str">
        <f t="shared" si="36"/>
        <v/>
      </c>
      <c r="M119" s="176"/>
      <c r="T119" s="176"/>
      <c r="V119" s="130" t="str">
        <f t="shared" si="37"/>
        <v/>
      </c>
      <c r="W119" s="74" t="str">
        <f>IF(AND(Include_study?="Yes",Sufficient_data="Yes"),((E:E-I$29)*SQRT(Calculations!FU:FU))/SQRT(1-Calculations!FU:FU/SUM(Calculations!FU:FU)),"")</f>
        <v/>
      </c>
      <c r="AE119" s="176"/>
      <c r="AG119" s="130" t="str">
        <f t="shared" si="38"/>
        <v/>
      </c>
      <c r="AH119" s="39" t="str">
        <f t="shared" si="27"/>
        <v/>
      </c>
      <c r="AI119" s="74" t="str">
        <f t="shared" si="28"/>
        <v/>
      </c>
      <c r="AR119" s="176"/>
      <c r="AT119" s="130" t="str">
        <f t="shared" si="39"/>
        <v/>
      </c>
      <c r="AU119" s="39" t="str">
        <f t="shared" si="40"/>
        <v/>
      </c>
      <c r="AV119" s="74" t="str">
        <f t="shared" si="41"/>
        <v/>
      </c>
      <c r="BC119" s="176"/>
      <c r="BE119" s="130" t="str">
        <f t="shared" si="42"/>
        <v/>
      </c>
      <c r="BF119" s="39" t="str">
        <f>IF(AND(Include_study?="Yes",Sufficient_data="Yes"),NORMSINV(Calculations!IW119),"")</f>
        <v/>
      </c>
      <c r="BG119" s="74" t="str">
        <f t="shared" si="43"/>
        <v/>
      </c>
      <c r="BP119" s="176"/>
      <c r="BT119" s="176"/>
    </row>
    <row r="120" spans="4:72" x14ac:dyDescent="0.2">
      <c r="D120" s="84" t="str">
        <f t="shared" si="34"/>
        <v/>
      </c>
      <c r="E120" s="132" t="str">
        <f t="shared" si="35"/>
        <v/>
      </c>
      <c r="F120" s="39" t="str">
        <f t="shared" si="36"/>
        <v/>
      </c>
      <c r="M120" s="176"/>
      <c r="T120" s="176"/>
      <c r="V120" s="130" t="str">
        <f t="shared" si="37"/>
        <v/>
      </c>
      <c r="W120" s="74" t="str">
        <f>IF(AND(Include_study?="Yes",Sufficient_data="Yes"),((E:E-I$29)*SQRT(Calculations!FU:FU))/SQRT(1-Calculations!FU:FU/SUM(Calculations!FU:FU)),"")</f>
        <v/>
      </c>
      <c r="AE120" s="176"/>
      <c r="AG120" s="130" t="str">
        <f t="shared" si="38"/>
        <v/>
      </c>
      <c r="AH120" s="39" t="str">
        <f t="shared" si="27"/>
        <v/>
      </c>
      <c r="AI120" s="74" t="str">
        <f t="shared" si="28"/>
        <v/>
      </c>
      <c r="AR120" s="176"/>
      <c r="AT120" s="130" t="str">
        <f t="shared" si="39"/>
        <v/>
      </c>
      <c r="AU120" s="39" t="str">
        <f t="shared" si="40"/>
        <v/>
      </c>
      <c r="AV120" s="74" t="str">
        <f t="shared" si="41"/>
        <v/>
      </c>
      <c r="BC120" s="176"/>
      <c r="BE120" s="130" t="str">
        <f t="shared" si="42"/>
        <v/>
      </c>
      <c r="BF120" s="39" t="str">
        <f>IF(AND(Include_study?="Yes",Sufficient_data="Yes"),NORMSINV(Calculations!IW120),"")</f>
        <v/>
      </c>
      <c r="BG120" s="74" t="str">
        <f t="shared" si="43"/>
        <v/>
      </c>
      <c r="BP120" s="176"/>
      <c r="BT120" s="176"/>
    </row>
    <row r="121" spans="4:72" x14ac:dyDescent="0.2">
      <c r="D121" s="84" t="str">
        <f t="shared" si="34"/>
        <v/>
      </c>
      <c r="E121" s="132" t="str">
        <f t="shared" si="35"/>
        <v/>
      </c>
      <c r="F121" s="39" t="str">
        <f t="shared" si="36"/>
        <v/>
      </c>
      <c r="M121" s="176"/>
      <c r="T121" s="176"/>
      <c r="V121" s="130" t="str">
        <f t="shared" si="37"/>
        <v/>
      </c>
      <c r="W121" s="74" t="str">
        <f>IF(AND(Include_study?="Yes",Sufficient_data="Yes"),((E:E-I$29)*SQRT(Calculations!FU:FU))/SQRT(1-Calculations!FU:FU/SUM(Calculations!FU:FU)),"")</f>
        <v/>
      </c>
      <c r="AE121" s="176"/>
      <c r="AG121" s="130" t="str">
        <f t="shared" si="38"/>
        <v/>
      </c>
      <c r="AH121" s="39" t="str">
        <f t="shared" si="27"/>
        <v/>
      </c>
      <c r="AI121" s="74" t="str">
        <f t="shared" si="28"/>
        <v/>
      </c>
      <c r="AR121" s="176"/>
      <c r="AT121" s="130" t="str">
        <f t="shared" si="39"/>
        <v/>
      </c>
      <c r="AU121" s="39" t="str">
        <f t="shared" si="40"/>
        <v/>
      </c>
      <c r="AV121" s="74" t="str">
        <f t="shared" si="41"/>
        <v/>
      </c>
      <c r="BC121" s="176"/>
      <c r="BE121" s="130" t="str">
        <f t="shared" si="42"/>
        <v/>
      </c>
      <c r="BF121" s="39" t="str">
        <f>IF(AND(Include_study?="Yes",Sufficient_data="Yes"),NORMSINV(Calculations!IW121),"")</f>
        <v/>
      </c>
      <c r="BG121" s="74" t="str">
        <f t="shared" si="43"/>
        <v/>
      </c>
      <c r="BP121" s="176"/>
      <c r="BT121" s="176"/>
    </row>
    <row r="122" spans="4:72" x14ac:dyDescent="0.2">
      <c r="D122" s="84" t="str">
        <f t="shared" si="34"/>
        <v/>
      </c>
      <c r="E122" s="132" t="str">
        <f t="shared" si="35"/>
        <v/>
      </c>
      <c r="F122" s="39" t="str">
        <f t="shared" si="36"/>
        <v/>
      </c>
      <c r="M122" s="176"/>
      <c r="T122" s="176"/>
      <c r="V122" s="130" t="str">
        <f t="shared" si="37"/>
        <v/>
      </c>
      <c r="W122" s="74" t="str">
        <f>IF(AND(Include_study?="Yes",Sufficient_data="Yes"),((E:E-I$29)*SQRT(Calculations!FU:FU))/SQRT(1-Calculations!FU:FU/SUM(Calculations!FU:FU)),"")</f>
        <v/>
      </c>
      <c r="AE122" s="176"/>
      <c r="AG122" s="130" t="str">
        <f t="shared" si="38"/>
        <v/>
      </c>
      <c r="AH122" s="39" t="str">
        <f t="shared" si="27"/>
        <v/>
      </c>
      <c r="AI122" s="74" t="str">
        <f t="shared" si="28"/>
        <v/>
      </c>
      <c r="AR122" s="176"/>
      <c r="AT122" s="130" t="str">
        <f t="shared" si="39"/>
        <v/>
      </c>
      <c r="AU122" s="39" t="str">
        <f t="shared" si="40"/>
        <v/>
      </c>
      <c r="AV122" s="74" t="str">
        <f t="shared" si="41"/>
        <v/>
      </c>
      <c r="BC122" s="176"/>
      <c r="BE122" s="130" t="str">
        <f t="shared" si="42"/>
        <v/>
      </c>
      <c r="BF122" s="39" t="str">
        <f>IF(AND(Include_study?="Yes",Sufficient_data="Yes"),NORMSINV(Calculations!IW122),"")</f>
        <v/>
      </c>
      <c r="BG122" s="74" t="str">
        <f t="shared" si="43"/>
        <v/>
      </c>
      <c r="BP122" s="176"/>
      <c r="BT122" s="176"/>
    </row>
    <row r="123" spans="4:72" x14ac:dyDescent="0.2">
      <c r="D123" s="84" t="str">
        <f t="shared" si="34"/>
        <v/>
      </c>
      <c r="E123" s="132" t="str">
        <f t="shared" si="35"/>
        <v/>
      </c>
      <c r="F123" s="39" t="str">
        <f t="shared" si="36"/>
        <v/>
      </c>
      <c r="M123" s="176"/>
      <c r="T123" s="176"/>
      <c r="V123" s="130" t="str">
        <f t="shared" si="37"/>
        <v/>
      </c>
      <c r="W123" s="74" t="str">
        <f>IF(AND(Include_study?="Yes",Sufficient_data="Yes"),((E:E-I$29)*SQRT(Calculations!FU:FU))/SQRT(1-Calculations!FU:FU/SUM(Calculations!FU:FU)),"")</f>
        <v/>
      </c>
      <c r="AE123" s="176"/>
      <c r="AG123" s="130" t="str">
        <f t="shared" si="38"/>
        <v/>
      </c>
      <c r="AH123" s="39" t="str">
        <f t="shared" si="27"/>
        <v/>
      </c>
      <c r="AI123" s="74" t="str">
        <f t="shared" si="28"/>
        <v/>
      </c>
      <c r="AR123" s="176"/>
      <c r="AT123" s="130" t="str">
        <f t="shared" si="39"/>
        <v/>
      </c>
      <c r="AU123" s="39" t="str">
        <f t="shared" si="40"/>
        <v/>
      </c>
      <c r="AV123" s="74" t="str">
        <f t="shared" si="41"/>
        <v/>
      </c>
      <c r="BC123" s="176"/>
      <c r="BE123" s="130" t="str">
        <f t="shared" si="42"/>
        <v/>
      </c>
      <c r="BF123" s="39" t="str">
        <f>IF(AND(Include_study?="Yes",Sufficient_data="Yes"),NORMSINV(Calculations!IW123),"")</f>
        <v/>
      </c>
      <c r="BG123" s="74" t="str">
        <f t="shared" si="43"/>
        <v/>
      </c>
      <c r="BP123" s="176"/>
      <c r="BT123" s="176"/>
    </row>
    <row r="124" spans="4:72" x14ac:dyDescent="0.2">
      <c r="D124" s="84" t="str">
        <f t="shared" si="34"/>
        <v/>
      </c>
      <c r="E124" s="132" t="str">
        <f t="shared" si="35"/>
        <v/>
      </c>
      <c r="F124" s="39" t="str">
        <f t="shared" si="36"/>
        <v/>
      </c>
      <c r="M124" s="176"/>
      <c r="T124" s="176"/>
      <c r="V124" s="130" t="str">
        <f t="shared" si="37"/>
        <v/>
      </c>
      <c r="W124" s="74" t="str">
        <f>IF(AND(Include_study?="Yes",Sufficient_data="Yes"),((E:E-I$29)*SQRT(Calculations!FU:FU))/SQRT(1-Calculations!FU:FU/SUM(Calculations!FU:FU)),"")</f>
        <v/>
      </c>
      <c r="AE124" s="176"/>
      <c r="AG124" s="130" t="str">
        <f t="shared" si="38"/>
        <v/>
      </c>
      <c r="AH124" s="39" t="str">
        <f t="shared" si="27"/>
        <v/>
      </c>
      <c r="AI124" s="74" t="str">
        <f t="shared" si="28"/>
        <v/>
      </c>
      <c r="AR124" s="176"/>
      <c r="AT124" s="130" t="str">
        <f t="shared" si="39"/>
        <v/>
      </c>
      <c r="AU124" s="39" t="str">
        <f t="shared" si="40"/>
        <v/>
      </c>
      <c r="AV124" s="74" t="str">
        <f t="shared" si="41"/>
        <v/>
      </c>
      <c r="BC124" s="176"/>
      <c r="BE124" s="130" t="str">
        <f t="shared" si="42"/>
        <v/>
      </c>
      <c r="BF124" s="39" t="str">
        <f>IF(AND(Include_study?="Yes",Sufficient_data="Yes"),NORMSINV(Calculations!IW124),"")</f>
        <v/>
      </c>
      <c r="BG124" s="74" t="str">
        <f t="shared" si="43"/>
        <v/>
      </c>
      <c r="BP124" s="176"/>
      <c r="BT124" s="176"/>
    </row>
    <row r="125" spans="4:72" x14ac:dyDescent="0.2">
      <c r="D125" s="84" t="str">
        <f t="shared" si="34"/>
        <v/>
      </c>
      <c r="E125" s="132" t="str">
        <f t="shared" si="35"/>
        <v/>
      </c>
      <c r="F125" s="39" t="str">
        <f t="shared" si="36"/>
        <v/>
      </c>
      <c r="M125" s="176"/>
      <c r="T125" s="176"/>
      <c r="V125" s="130" t="str">
        <f t="shared" si="37"/>
        <v/>
      </c>
      <c r="W125" s="74" t="str">
        <f>IF(AND(Include_study?="Yes",Sufficient_data="Yes"),((E:E-I$29)*SQRT(Calculations!FU:FU))/SQRT(1-Calculations!FU:FU/SUM(Calculations!FU:FU)),"")</f>
        <v/>
      </c>
      <c r="AE125" s="176"/>
      <c r="AG125" s="130" t="str">
        <f t="shared" si="38"/>
        <v/>
      </c>
      <c r="AH125" s="39" t="str">
        <f t="shared" si="27"/>
        <v/>
      </c>
      <c r="AI125" s="74" t="str">
        <f t="shared" si="28"/>
        <v/>
      </c>
      <c r="AR125" s="176"/>
      <c r="AT125" s="130" t="str">
        <f t="shared" si="39"/>
        <v/>
      </c>
      <c r="AU125" s="39" t="str">
        <f t="shared" si="40"/>
        <v/>
      </c>
      <c r="AV125" s="74" t="str">
        <f t="shared" si="41"/>
        <v/>
      </c>
      <c r="BC125" s="176"/>
      <c r="BE125" s="130" t="str">
        <f t="shared" si="42"/>
        <v/>
      </c>
      <c r="BF125" s="39" t="str">
        <f>IF(AND(Include_study?="Yes",Sufficient_data="Yes"),NORMSINV(Calculations!IW125),"")</f>
        <v/>
      </c>
      <c r="BG125" s="74" t="str">
        <f t="shared" si="43"/>
        <v/>
      </c>
      <c r="BP125" s="176"/>
      <c r="BT125" s="176"/>
    </row>
    <row r="126" spans="4:72" x14ac:dyDescent="0.2">
      <c r="D126" s="84" t="str">
        <f t="shared" si="34"/>
        <v/>
      </c>
      <c r="E126" s="132" t="str">
        <f t="shared" si="35"/>
        <v/>
      </c>
      <c r="F126" s="39" t="str">
        <f t="shared" si="36"/>
        <v/>
      </c>
      <c r="M126" s="176"/>
      <c r="T126" s="176"/>
      <c r="V126" s="130" t="str">
        <f t="shared" si="37"/>
        <v/>
      </c>
      <c r="W126" s="74" t="str">
        <f>IF(AND(Include_study?="Yes",Sufficient_data="Yes"),((E:E-I$29)*SQRT(Calculations!FU:FU))/SQRT(1-Calculations!FU:FU/SUM(Calculations!FU:FU)),"")</f>
        <v/>
      </c>
      <c r="AE126" s="176"/>
      <c r="AG126" s="130" t="str">
        <f t="shared" si="38"/>
        <v/>
      </c>
      <c r="AH126" s="39" t="str">
        <f t="shared" si="27"/>
        <v/>
      </c>
      <c r="AI126" s="74" t="str">
        <f t="shared" si="28"/>
        <v/>
      </c>
      <c r="AR126" s="176"/>
      <c r="AT126" s="130" t="str">
        <f t="shared" si="39"/>
        <v/>
      </c>
      <c r="AU126" s="39" t="str">
        <f t="shared" si="40"/>
        <v/>
      </c>
      <c r="AV126" s="74" t="str">
        <f t="shared" si="41"/>
        <v/>
      </c>
      <c r="BC126" s="176"/>
      <c r="BE126" s="130" t="str">
        <f t="shared" si="42"/>
        <v/>
      </c>
      <c r="BF126" s="39" t="str">
        <f>IF(AND(Include_study?="Yes",Sufficient_data="Yes"),NORMSINV(Calculations!IW126),"")</f>
        <v/>
      </c>
      <c r="BG126" s="74" t="str">
        <f t="shared" si="43"/>
        <v/>
      </c>
      <c r="BP126" s="176"/>
      <c r="BT126" s="176"/>
    </row>
    <row r="127" spans="4:72" x14ac:dyDescent="0.2">
      <c r="D127" s="84" t="str">
        <f t="shared" si="34"/>
        <v/>
      </c>
      <c r="E127" s="132" t="str">
        <f t="shared" si="35"/>
        <v/>
      </c>
      <c r="F127" s="39" t="str">
        <f t="shared" si="36"/>
        <v/>
      </c>
      <c r="M127" s="176"/>
      <c r="T127" s="176"/>
      <c r="V127" s="130" t="str">
        <f t="shared" si="37"/>
        <v/>
      </c>
      <c r="W127" s="74" t="str">
        <f>IF(AND(Include_study?="Yes",Sufficient_data="Yes"),((E:E-I$29)*SQRT(Calculations!FU:FU))/SQRT(1-Calculations!FU:FU/SUM(Calculations!FU:FU)),"")</f>
        <v/>
      </c>
      <c r="AE127" s="176"/>
      <c r="AG127" s="130" t="str">
        <f t="shared" si="38"/>
        <v/>
      </c>
      <c r="AH127" s="39" t="str">
        <f t="shared" si="27"/>
        <v/>
      </c>
      <c r="AI127" s="74" t="str">
        <f t="shared" si="28"/>
        <v/>
      </c>
      <c r="AR127" s="176"/>
      <c r="AT127" s="130" t="str">
        <f t="shared" si="39"/>
        <v/>
      </c>
      <c r="AU127" s="39" t="str">
        <f t="shared" si="40"/>
        <v/>
      </c>
      <c r="AV127" s="74" t="str">
        <f t="shared" si="41"/>
        <v/>
      </c>
      <c r="BC127" s="176"/>
      <c r="BE127" s="130" t="str">
        <f t="shared" si="42"/>
        <v/>
      </c>
      <c r="BF127" s="39" t="str">
        <f>IF(AND(Include_study?="Yes",Sufficient_data="Yes"),NORMSINV(Calculations!IW127),"")</f>
        <v/>
      </c>
      <c r="BG127" s="74" t="str">
        <f t="shared" si="43"/>
        <v/>
      </c>
      <c r="BP127" s="176"/>
      <c r="BT127" s="176"/>
    </row>
    <row r="128" spans="4:72" x14ac:dyDescent="0.2">
      <c r="D128" s="84" t="str">
        <f t="shared" si="34"/>
        <v/>
      </c>
      <c r="E128" s="132" t="str">
        <f t="shared" si="35"/>
        <v/>
      </c>
      <c r="F128" s="39" t="str">
        <f t="shared" si="36"/>
        <v/>
      </c>
      <c r="M128" s="176"/>
      <c r="T128" s="176"/>
      <c r="V128" s="130" t="str">
        <f t="shared" si="37"/>
        <v/>
      </c>
      <c r="W128" s="74" t="str">
        <f>IF(AND(Include_study?="Yes",Sufficient_data="Yes"),((E:E-I$29)*SQRT(Calculations!FU:FU))/SQRT(1-Calculations!FU:FU/SUM(Calculations!FU:FU)),"")</f>
        <v/>
      </c>
      <c r="AE128" s="176"/>
      <c r="AG128" s="130" t="str">
        <f t="shared" si="38"/>
        <v/>
      </c>
      <c r="AH128" s="39" t="str">
        <f t="shared" si="27"/>
        <v/>
      </c>
      <c r="AI128" s="74" t="str">
        <f t="shared" si="28"/>
        <v/>
      </c>
      <c r="AR128" s="176"/>
      <c r="AT128" s="130" t="str">
        <f t="shared" si="39"/>
        <v/>
      </c>
      <c r="AU128" s="39" t="str">
        <f t="shared" si="40"/>
        <v/>
      </c>
      <c r="AV128" s="74" t="str">
        <f t="shared" si="41"/>
        <v/>
      </c>
      <c r="BC128" s="176"/>
      <c r="BE128" s="130" t="str">
        <f t="shared" si="42"/>
        <v/>
      </c>
      <c r="BF128" s="39" t="str">
        <f>IF(AND(Include_study?="Yes",Sufficient_data="Yes"),NORMSINV(Calculations!IW128),"")</f>
        <v/>
      </c>
      <c r="BG128" s="74" t="str">
        <f t="shared" si="43"/>
        <v/>
      </c>
      <c r="BP128" s="176"/>
      <c r="BT128" s="176"/>
    </row>
    <row r="129" spans="4:72" x14ac:dyDescent="0.2">
      <c r="D129" s="84" t="str">
        <f t="shared" si="34"/>
        <v/>
      </c>
      <c r="E129" s="132" t="str">
        <f t="shared" si="35"/>
        <v/>
      </c>
      <c r="F129" s="39" t="str">
        <f t="shared" si="36"/>
        <v/>
      </c>
      <c r="M129" s="176"/>
      <c r="T129" s="176"/>
      <c r="V129" s="130" t="str">
        <f t="shared" si="37"/>
        <v/>
      </c>
      <c r="W129" s="74" t="str">
        <f>IF(AND(Include_study?="Yes",Sufficient_data="Yes"),((E:E-I$29)*SQRT(Calculations!FU:FU))/SQRT(1-Calculations!FU:FU/SUM(Calculations!FU:FU)),"")</f>
        <v/>
      </c>
      <c r="AE129" s="176"/>
      <c r="AG129" s="130" t="str">
        <f t="shared" si="38"/>
        <v/>
      </c>
      <c r="AH129" s="39" t="str">
        <f t="shared" si="27"/>
        <v/>
      </c>
      <c r="AI129" s="74" t="str">
        <f t="shared" si="28"/>
        <v/>
      </c>
      <c r="AR129" s="176"/>
      <c r="AT129" s="130" t="str">
        <f t="shared" si="39"/>
        <v/>
      </c>
      <c r="AU129" s="39" t="str">
        <f t="shared" si="40"/>
        <v/>
      </c>
      <c r="AV129" s="74" t="str">
        <f t="shared" si="41"/>
        <v/>
      </c>
      <c r="BC129" s="176"/>
      <c r="BE129" s="130" t="str">
        <f t="shared" si="42"/>
        <v/>
      </c>
      <c r="BF129" s="39" t="str">
        <f>IF(AND(Include_study?="Yes",Sufficient_data="Yes"),NORMSINV(Calculations!IW129),"")</f>
        <v/>
      </c>
      <c r="BG129" s="74" t="str">
        <f t="shared" si="43"/>
        <v/>
      </c>
      <c r="BP129" s="176"/>
      <c r="BT129" s="176"/>
    </row>
    <row r="130" spans="4:72" x14ac:dyDescent="0.2">
      <c r="D130" s="84" t="str">
        <f t="shared" ref="D130:D161" si="44">IF(AND(Include_study?="Yes",Sufficient_data="Yes"),Study_name,"")</f>
        <v/>
      </c>
      <c r="E130" s="132" t="str">
        <f t="shared" ref="E130:E161" si="45"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/>
      </c>
      <c r="F130" s="39" t="str">
        <f t="shared" ref="F130:F161" si="46">IF(AND(Include_study?="Yes",Sufficient_data="Yes"),IF(Additional_effect_size_measure="Log Peto Odds Ratio",SELogPetoOddsRatio,IF(Additional_effect_size_measure="Log Risk Ratio",SELogRiskRatio,IF(Additional_effect_size_measure="Risk Difference",SERiskDifference,SELogOddsRatio))),"")</f>
        <v/>
      </c>
      <c r="M130" s="176"/>
      <c r="T130" s="176"/>
      <c r="V130" s="130" t="str">
        <f t="shared" ref="V130:V161" si="47">IF(AND(Include_study?="Yes",Sufficient_data="Yes"),Study_name,"")</f>
        <v/>
      </c>
      <c r="W130" s="74" t="str">
        <f>IF(AND(Include_study?="Yes",Sufficient_data="Yes"),((E:E-I$29)*SQRT(Calculations!FU:FU))/SQRT(1-Calculations!FU:FU/SUM(Calculations!FU:FU)),"")</f>
        <v/>
      </c>
      <c r="AE130" s="176"/>
      <c r="AG130" s="130" t="str">
        <f t="shared" ref="AG130:AG161" si="48">IF(AND(Include_study?="Yes",Sufficient_data="Yes"),Study_name,"")</f>
        <v/>
      </c>
      <c r="AH130" s="39" t="str">
        <f t="shared" ref="AH130:AH193" si="49">IF(AND(Sufficient_data="Yes",Include_study?="Yes"),c_/(c_+d_),"")</f>
        <v/>
      </c>
      <c r="AI130" s="74" t="str">
        <f t="shared" ref="AI130:AI193" si="50">IF(AND(Sufficient_data="Yes",Include_study?="Yes"),a_/(a_+b_),"")</f>
        <v/>
      </c>
      <c r="AR130" s="176"/>
      <c r="AT130" s="130" t="str">
        <f t="shared" ref="AT130:AT161" si="51">IF(AND(Include_study?="Yes",Sufficient_data="Yes"),Study_name,"")</f>
        <v/>
      </c>
      <c r="AU130" s="39" t="str">
        <f t="shared" ref="AU130:AU161" si="52">IF(AND(Include_study?="Yes",Sufficient_data="Yes"),IF(AND(Additional_valid_options="No",Additional_model="Random effects"),NA(),Inverse_standard_error),"")</f>
        <v/>
      </c>
      <c r="AV130" s="74" t="str">
        <f t="shared" ref="AV130:AV161" si="53">IF(AND(Include_study?="Yes",Sufficient_data="Yes"),IF(AND(Additional_valid_options="No",Additional_model="Random effects"),NA(),Z_score),"")</f>
        <v/>
      </c>
      <c r="BC130" s="176"/>
      <c r="BE130" s="130" t="str">
        <f t="shared" ref="BE130:BE161" si="54">IF(AND(Include_study?="Yes",Sufficient_data="Yes"),Study_name,"")</f>
        <v/>
      </c>
      <c r="BF130" s="39" t="str">
        <f>IF(AND(Include_study?="Yes",Sufficient_data="Yes"),NORMSINV(Calculations!IW130),"")</f>
        <v/>
      </c>
      <c r="BG130" s="74" t="str">
        <f t="shared" ref="BG130:BG161" si="55">IF(AND(Include_study?="Yes",Sufficient_data="Yes"),IF(AND(Additional_valid_options="No",Additional_model="Random effects"),NA(),IF(BJ$33="Standardized residuals",Standardized_residual,Z_score)),"")</f>
        <v/>
      </c>
      <c r="BP130" s="176"/>
      <c r="BT130" s="176"/>
    </row>
    <row r="131" spans="4:72" x14ac:dyDescent="0.2">
      <c r="D131" s="84" t="str">
        <f t="shared" si="44"/>
        <v/>
      </c>
      <c r="E131" s="132" t="str">
        <f t="shared" si="45"/>
        <v/>
      </c>
      <c r="F131" s="39" t="str">
        <f t="shared" si="46"/>
        <v/>
      </c>
      <c r="M131" s="176"/>
      <c r="T131" s="176"/>
      <c r="V131" s="130" t="str">
        <f t="shared" si="47"/>
        <v/>
      </c>
      <c r="W131" s="74" t="str">
        <f>IF(AND(Include_study?="Yes",Sufficient_data="Yes"),((E:E-I$29)*SQRT(Calculations!FU:FU))/SQRT(1-Calculations!FU:FU/SUM(Calculations!FU:FU)),"")</f>
        <v/>
      </c>
      <c r="AE131" s="176"/>
      <c r="AG131" s="130" t="str">
        <f t="shared" si="48"/>
        <v/>
      </c>
      <c r="AH131" s="39" t="str">
        <f t="shared" si="49"/>
        <v/>
      </c>
      <c r="AI131" s="74" t="str">
        <f t="shared" si="50"/>
        <v/>
      </c>
      <c r="AR131" s="176"/>
      <c r="AT131" s="130" t="str">
        <f t="shared" si="51"/>
        <v/>
      </c>
      <c r="AU131" s="39" t="str">
        <f t="shared" si="52"/>
        <v/>
      </c>
      <c r="AV131" s="74" t="str">
        <f t="shared" si="53"/>
        <v/>
      </c>
      <c r="BC131" s="176"/>
      <c r="BE131" s="130" t="str">
        <f t="shared" si="54"/>
        <v/>
      </c>
      <c r="BF131" s="39" t="str">
        <f>IF(AND(Include_study?="Yes",Sufficient_data="Yes"),NORMSINV(Calculations!IW131),"")</f>
        <v/>
      </c>
      <c r="BG131" s="74" t="str">
        <f t="shared" si="55"/>
        <v/>
      </c>
      <c r="BP131" s="176"/>
      <c r="BT131" s="176"/>
    </row>
    <row r="132" spans="4:72" x14ac:dyDescent="0.2">
      <c r="D132" s="84" t="str">
        <f t="shared" si="44"/>
        <v/>
      </c>
      <c r="E132" s="132" t="str">
        <f t="shared" si="45"/>
        <v/>
      </c>
      <c r="F132" s="39" t="str">
        <f t="shared" si="46"/>
        <v/>
      </c>
      <c r="M132" s="176"/>
      <c r="T132" s="176"/>
      <c r="V132" s="130" t="str">
        <f t="shared" si="47"/>
        <v/>
      </c>
      <c r="W132" s="74" t="str">
        <f>IF(AND(Include_study?="Yes",Sufficient_data="Yes"),((E:E-I$29)*SQRT(Calculations!FU:FU))/SQRT(1-Calculations!FU:FU/SUM(Calculations!FU:FU)),"")</f>
        <v/>
      </c>
      <c r="AE132" s="176"/>
      <c r="AG132" s="130" t="str">
        <f t="shared" si="48"/>
        <v/>
      </c>
      <c r="AH132" s="39" t="str">
        <f t="shared" si="49"/>
        <v/>
      </c>
      <c r="AI132" s="74" t="str">
        <f t="shared" si="50"/>
        <v/>
      </c>
      <c r="AR132" s="176"/>
      <c r="AT132" s="130" t="str">
        <f t="shared" si="51"/>
        <v/>
      </c>
      <c r="AU132" s="39" t="str">
        <f t="shared" si="52"/>
        <v/>
      </c>
      <c r="AV132" s="74" t="str">
        <f t="shared" si="53"/>
        <v/>
      </c>
      <c r="BC132" s="176"/>
      <c r="BE132" s="130" t="str">
        <f t="shared" si="54"/>
        <v/>
      </c>
      <c r="BF132" s="39" t="str">
        <f>IF(AND(Include_study?="Yes",Sufficient_data="Yes"),NORMSINV(Calculations!IW132),"")</f>
        <v/>
      </c>
      <c r="BG132" s="74" t="str">
        <f t="shared" si="55"/>
        <v/>
      </c>
      <c r="BP132" s="176"/>
      <c r="BT132" s="176"/>
    </row>
    <row r="133" spans="4:72" x14ac:dyDescent="0.2">
      <c r="D133" s="84" t="str">
        <f t="shared" si="44"/>
        <v/>
      </c>
      <c r="E133" s="132" t="str">
        <f t="shared" si="45"/>
        <v/>
      </c>
      <c r="F133" s="39" t="str">
        <f t="shared" si="46"/>
        <v/>
      </c>
      <c r="M133" s="176"/>
      <c r="T133" s="176"/>
      <c r="V133" s="130" t="str">
        <f t="shared" si="47"/>
        <v/>
      </c>
      <c r="W133" s="74" t="str">
        <f>IF(AND(Include_study?="Yes",Sufficient_data="Yes"),((E:E-I$29)*SQRT(Calculations!FU:FU))/SQRT(1-Calculations!FU:FU/SUM(Calculations!FU:FU)),"")</f>
        <v/>
      </c>
      <c r="AE133" s="176"/>
      <c r="AG133" s="130" t="str">
        <f t="shared" si="48"/>
        <v/>
      </c>
      <c r="AH133" s="39" t="str">
        <f t="shared" si="49"/>
        <v/>
      </c>
      <c r="AI133" s="74" t="str">
        <f t="shared" si="50"/>
        <v/>
      </c>
      <c r="AR133" s="176"/>
      <c r="AT133" s="130" t="str">
        <f t="shared" si="51"/>
        <v/>
      </c>
      <c r="AU133" s="39" t="str">
        <f t="shared" si="52"/>
        <v/>
      </c>
      <c r="AV133" s="74" t="str">
        <f t="shared" si="53"/>
        <v/>
      </c>
      <c r="BC133" s="176"/>
      <c r="BE133" s="130" t="str">
        <f t="shared" si="54"/>
        <v/>
      </c>
      <c r="BF133" s="39" t="str">
        <f>IF(AND(Include_study?="Yes",Sufficient_data="Yes"),NORMSINV(Calculations!IW133),"")</f>
        <v/>
      </c>
      <c r="BG133" s="74" t="str">
        <f t="shared" si="55"/>
        <v/>
      </c>
      <c r="BP133" s="176"/>
      <c r="BT133" s="176"/>
    </row>
    <row r="134" spans="4:72" x14ac:dyDescent="0.2">
      <c r="D134" s="84" t="str">
        <f t="shared" si="44"/>
        <v/>
      </c>
      <c r="E134" s="132" t="str">
        <f t="shared" si="45"/>
        <v/>
      </c>
      <c r="F134" s="39" t="str">
        <f t="shared" si="46"/>
        <v/>
      </c>
      <c r="M134" s="176"/>
      <c r="T134" s="176"/>
      <c r="V134" s="130" t="str">
        <f t="shared" si="47"/>
        <v/>
      </c>
      <c r="W134" s="74" t="str">
        <f>IF(AND(Include_study?="Yes",Sufficient_data="Yes"),((E:E-I$29)*SQRT(Calculations!FU:FU))/SQRT(1-Calculations!FU:FU/SUM(Calculations!FU:FU)),"")</f>
        <v/>
      </c>
      <c r="AE134" s="176"/>
      <c r="AG134" s="130" t="str">
        <f t="shared" si="48"/>
        <v/>
      </c>
      <c r="AH134" s="39" t="str">
        <f t="shared" si="49"/>
        <v/>
      </c>
      <c r="AI134" s="74" t="str">
        <f t="shared" si="50"/>
        <v/>
      </c>
      <c r="AR134" s="176"/>
      <c r="AT134" s="130" t="str">
        <f t="shared" si="51"/>
        <v/>
      </c>
      <c r="AU134" s="39" t="str">
        <f t="shared" si="52"/>
        <v/>
      </c>
      <c r="AV134" s="74" t="str">
        <f t="shared" si="53"/>
        <v/>
      </c>
      <c r="BC134" s="176"/>
      <c r="BE134" s="130" t="str">
        <f t="shared" si="54"/>
        <v/>
      </c>
      <c r="BF134" s="39" t="str">
        <f>IF(AND(Include_study?="Yes",Sufficient_data="Yes"),NORMSINV(Calculations!IW134),"")</f>
        <v/>
      </c>
      <c r="BG134" s="74" t="str">
        <f t="shared" si="55"/>
        <v/>
      </c>
      <c r="BP134" s="176"/>
      <c r="BT134" s="176"/>
    </row>
    <row r="135" spans="4:72" x14ac:dyDescent="0.2">
      <c r="D135" s="84" t="str">
        <f t="shared" si="44"/>
        <v/>
      </c>
      <c r="E135" s="132" t="str">
        <f t="shared" si="45"/>
        <v/>
      </c>
      <c r="F135" s="39" t="str">
        <f t="shared" si="46"/>
        <v/>
      </c>
      <c r="M135" s="176"/>
      <c r="T135" s="176"/>
      <c r="V135" s="130" t="str">
        <f t="shared" si="47"/>
        <v/>
      </c>
      <c r="W135" s="74" t="str">
        <f>IF(AND(Include_study?="Yes",Sufficient_data="Yes"),((E:E-I$29)*SQRT(Calculations!FU:FU))/SQRT(1-Calculations!FU:FU/SUM(Calculations!FU:FU)),"")</f>
        <v/>
      </c>
      <c r="AE135" s="176"/>
      <c r="AG135" s="130" t="str">
        <f t="shared" si="48"/>
        <v/>
      </c>
      <c r="AH135" s="39" t="str">
        <f t="shared" si="49"/>
        <v/>
      </c>
      <c r="AI135" s="74" t="str">
        <f t="shared" si="50"/>
        <v/>
      </c>
      <c r="AR135" s="176"/>
      <c r="AT135" s="130" t="str">
        <f t="shared" si="51"/>
        <v/>
      </c>
      <c r="AU135" s="39" t="str">
        <f t="shared" si="52"/>
        <v/>
      </c>
      <c r="AV135" s="74" t="str">
        <f t="shared" si="53"/>
        <v/>
      </c>
      <c r="BC135" s="176"/>
      <c r="BE135" s="130" t="str">
        <f t="shared" si="54"/>
        <v/>
      </c>
      <c r="BF135" s="39" t="str">
        <f>IF(AND(Include_study?="Yes",Sufficient_data="Yes"),NORMSINV(Calculations!IW135),"")</f>
        <v/>
      </c>
      <c r="BG135" s="74" t="str">
        <f t="shared" si="55"/>
        <v/>
      </c>
      <c r="BP135" s="176"/>
      <c r="BT135" s="176"/>
    </row>
    <row r="136" spans="4:72" x14ac:dyDescent="0.2">
      <c r="D136" s="84" t="str">
        <f t="shared" si="44"/>
        <v/>
      </c>
      <c r="E136" s="132" t="str">
        <f t="shared" si="45"/>
        <v/>
      </c>
      <c r="F136" s="39" t="str">
        <f t="shared" si="46"/>
        <v/>
      </c>
      <c r="M136" s="176"/>
      <c r="T136" s="176"/>
      <c r="V136" s="130" t="str">
        <f t="shared" si="47"/>
        <v/>
      </c>
      <c r="W136" s="74" t="str">
        <f>IF(AND(Include_study?="Yes",Sufficient_data="Yes"),((E:E-I$29)*SQRT(Calculations!FU:FU))/SQRT(1-Calculations!FU:FU/SUM(Calculations!FU:FU)),"")</f>
        <v/>
      </c>
      <c r="AE136" s="176"/>
      <c r="AG136" s="130" t="str">
        <f t="shared" si="48"/>
        <v/>
      </c>
      <c r="AH136" s="39" t="str">
        <f t="shared" si="49"/>
        <v/>
      </c>
      <c r="AI136" s="74" t="str">
        <f t="shared" si="50"/>
        <v/>
      </c>
      <c r="AR136" s="176"/>
      <c r="AT136" s="130" t="str">
        <f t="shared" si="51"/>
        <v/>
      </c>
      <c r="AU136" s="39" t="str">
        <f t="shared" si="52"/>
        <v/>
      </c>
      <c r="AV136" s="74" t="str">
        <f t="shared" si="53"/>
        <v/>
      </c>
      <c r="BC136" s="176"/>
      <c r="BE136" s="130" t="str">
        <f t="shared" si="54"/>
        <v/>
      </c>
      <c r="BF136" s="39" t="str">
        <f>IF(AND(Include_study?="Yes",Sufficient_data="Yes"),NORMSINV(Calculations!IW136),"")</f>
        <v/>
      </c>
      <c r="BG136" s="74" t="str">
        <f t="shared" si="55"/>
        <v/>
      </c>
      <c r="BP136" s="176"/>
      <c r="BT136" s="176"/>
    </row>
    <row r="137" spans="4:72" x14ac:dyDescent="0.2">
      <c r="D137" s="84" t="str">
        <f t="shared" si="44"/>
        <v/>
      </c>
      <c r="E137" s="132" t="str">
        <f t="shared" si="45"/>
        <v/>
      </c>
      <c r="F137" s="39" t="str">
        <f t="shared" si="46"/>
        <v/>
      </c>
      <c r="M137" s="176"/>
      <c r="T137" s="176"/>
      <c r="V137" s="130" t="str">
        <f t="shared" si="47"/>
        <v/>
      </c>
      <c r="W137" s="74" t="str">
        <f>IF(AND(Include_study?="Yes",Sufficient_data="Yes"),((E:E-I$29)*SQRT(Calculations!FU:FU))/SQRT(1-Calculations!FU:FU/SUM(Calculations!FU:FU)),"")</f>
        <v/>
      </c>
      <c r="AE137" s="176"/>
      <c r="AG137" s="130" t="str">
        <f t="shared" si="48"/>
        <v/>
      </c>
      <c r="AH137" s="39" t="str">
        <f t="shared" si="49"/>
        <v/>
      </c>
      <c r="AI137" s="74" t="str">
        <f t="shared" si="50"/>
        <v/>
      </c>
      <c r="AR137" s="176"/>
      <c r="AT137" s="130" t="str">
        <f t="shared" si="51"/>
        <v/>
      </c>
      <c r="AU137" s="39" t="str">
        <f t="shared" si="52"/>
        <v/>
      </c>
      <c r="AV137" s="74" t="str">
        <f t="shared" si="53"/>
        <v/>
      </c>
      <c r="BC137" s="176"/>
      <c r="BE137" s="130" t="str">
        <f t="shared" si="54"/>
        <v/>
      </c>
      <c r="BF137" s="39" t="str">
        <f>IF(AND(Include_study?="Yes",Sufficient_data="Yes"),NORMSINV(Calculations!IW137),"")</f>
        <v/>
      </c>
      <c r="BG137" s="74" t="str">
        <f t="shared" si="55"/>
        <v/>
      </c>
      <c r="BP137" s="176"/>
      <c r="BT137" s="176"/>
    </row>
    <row r="138" spans="4:72" x14ac:dyDescent="0.2">
      <c r="D138" s="84" t="str">
        <f t="shared" si="44"/>
        <v/>
      </c>
      <c r="E138" s="132" t="str">
        <f t="shared" si="45"/>
        <v/>
      </c>
      <c r="F138" s="39" t="str">
        <f t="shared" si="46"/>
        <v/>
      </c>
      <c r="M138" s="176"/>
      <c r="T138" s="176"/>
      <c r="V138" s="130" t="str">
        <f t="shared" si="47"/>
        <v/>
      </c>
      <c r="W138" s="74" t="str">
        <f>IF(AND(Include_study?="Yes",Sufficient_data="Yes"),((E:E-I$29)*SQRT(Calculations!FU:FU))/SQRT(1-Calculations!FU:FU/SUM(Calculations!FU:FU)),"")</f>
        <v/>
      </c>
      <c r="AE138" s="176"/>
      <c r="AG138" s="130" t="str">
        <f t="shared" si="48"/>
        <v/>
      </c>
      <c r="AH138" s="39" t="str">
        <f t="shared" si="49"/>
        <v/>
      </c>
      <c r="AI138" s="74" t="str">
        <f t="shared" si="50"/>
        <v/>
      </c>
      <c r="AR138" s="176"/>
      <c r="AT138" s="130" t="str">
        <f t="shared" si="51"/>
        <v/>
      </c>
      <c r="AU138" s="39" t="str">
        <f t="shared" si="52"/>
        <v/>
      </c>
      <c r="AV138" s="74" t="str">
        <f t="shared" si="53"/>
        <v/>
      </c>
      <c r="BC138" s="176"/>
      <c r="BE138" s="130" t="str">
        <f t="shared" si="54"/>
        <v/>
      </c>
      <c r="BF138" s="39" t="str">
        <f>IF(AND(Include_study?="Yes",Sufficient_data="Yes"),NORMSINV(Calculations!IW138),"")</f>
        <v/>
      </c>
      <c r="BG138" s="74" t="str">
        <f t="shared" si="55"/>
        <v/>
      </c>
      <c r="BP138" s="176"/>
      <c r="BT138" s="176"/>
    </row>
    <row r="139" spans="4:72" x14ac:dyDescent="0.2">
      <c r="D139" s="84" t="str">
        <f t="shared" si="44"/>
        <v/>
      </c>
      <c r="E139" s="132" t="str">
        <f t="shared" si="45"/>
        <v/>
      </c>
      <c r="F139" s="39" t="str">
        <f t="shared" si="46"/>
        <v/>
      </c>
      <c r="M139" s="176"/>
      <c r="T139" s="176"/>
      <c r="V139" s="130" t="str">
        <f t="shared" si="47"/>
        <v/>
      </c>
      <c r="W139" s="74" t="str">
        <f>IF(AND(Include_study?="Yes",Sufficient_data="Yes"),((E:E-I$29)*SQRT(Calculations!FU:FU))/SQRT(1-Calculations!FU:FU/SUM(Calculations!FU:FU)),"")</f>
        <v/>
      </c>
      <c r="AE139" s="176"/>
      <c r="AG139" s="130" t="str">
        <f t="shared" si="48"/>
        <v/>
      </c>
      <c r="AH139" s="39" t="str">
        <f t="shared" si="49"/>
        <v/>
      </c>
      <c r="AI139" s="74" t="str">
        <f t="shared" si="50"/>
        <v/>
      </c>
      <c r="AR139" s="176"/>
      <c r="AT139" s="130" t="str">
        <f t="shared" si="51"/>
        <v/>
      </c>
      <c r="AU139" s="39" t="str">
        <f t="shared" si="52"/>
        <v/>
      </c>
      <c r="AV139" s="74" t="str">
        <f t="shared" si="53"/>
        <v/>
      </c>
      <c r="BC139" s="176"/>
      <c r="BE139" s="130" t="str">
        <f t="shared" si="54"/>
        <v/>
      </c>
      <c r="BF139" s="39" t="str">
        <f>IF(AND(Include_study?="Yes",Sufficient_data="Yes"),NORMSINV(Calculations!IW139),"")</f>
        <v/>
      </c>
      <c r="BG139" s="74" t="str">
        <f t="shared" si="55"/>
        <v/>
      </c>
      <c r="BP139" s="176"/>
      <c r="BT139" s="176"/>
    </row>
    <row r="140" spans="4:72" x14ac:dyDescent="0.2">
      <c r="D140" s="84" t="str">
        <f t="shared" si="44"/>
        <v/>
      </c>
      <c r="E140" s="132" t="str">
        <f t="shared" si="45"/>
        <v/>
      </c>
      <c r="F140" s="39" t="str">
        <f t="shared" si="46"/>
        <v/>
      </c>
      <c r="M140" s="176"/>
      <c r="T140" s="176"/>
      <c r="V140" s="130" t="str">
        <f t="shared" si="47"/>
        <v/>
      </c>
      <c r="W140" s="74" t="str">
        <f>IF(AND(Include_study?="Yes",Sufficient_data="Yes"),((E:E-I$29)*SQRT(Calculations!FU:FU))/SQRT(1-Calculations!FU:FU/SUM(Calculations!FU:FU)),"")</f>
        <v/>
      </c>
      <c r="AE140" s="176"/>
      <c r="AG140" s="130" t="str">
        <f t="shared" si="48"/>
        <v/>
      </c>
      <c r="AH140" s="39" t="str">
        <f t="shared" si="49"/>
        <v/>
      </c>
      <c r="AI140" s="74" t="str">
        <f t="shared" si="50"/>
        <v/>
      </c>
      <c r="AR140" s="176"/>
      <c r="AT140" s="130" t="str">
        <f t="shared" si="51"/>
        <v/>
      </c>
      <c r="AU140" s="39" t="str">
        <f t="shared" si="52"/>
        <v/>
      </c>
      <c r="AV140" s="74" t="str">
        <f t="shared" si="53"/>
        <v/>
      </c>
      <c r="BC140" s="176"/>
      <c r="BE140" s="130" t="str">
        <f t="shared" si="54"/>
        <v/>
      </c>
      <c r="BF140" s="39" t="str">
        <f>IF(AND(Include_study?="Yes",Sufficient_data="Yes"),NORMSINV(Calculations!IW140),"")</f>
        <v/>
      </c>
      <c r="BG140" s="74" t="str">
        <f t="shared" si="55"/>
        <v/>
      </c>
      <c r="BP140" s="176"/>
      <c r="BT140" s="176"/>
    </row>
    <row r="141" spans="4:72" x14ac:dyDescent="0.2">
      <c r="D141" s="84" t="str">
        <f t="shared" si="44"/>
        <v/>
      </c>
      <c r="E141" s="132" t="str">
        <f t="shared" si="45"/>
        <v/>
      </c>
      <c r="F141" s="39" t="str">
        <f t="shared" si="46"/>
        <v/>
      </c>
      <c r="M141" s="176"/>
      <c r="T141" s="176"/>
      <c r="V141" s="130" t="str">
        <f t="shared" si="47"/>
        <v/>
      </c>
      <c r="W141" s="74" t="str">
        <f>IF(AND(Include_study?="Yes",Sufficient_data="Yes"),((E:E-I$29)*SQRT(Calculations!FU:FU))/SQRT(1-Calculations!FU:FU/SUM(Calculations!FU:FU)),"")</f>
        <v/>
      </c>
      <c r="AE141" s="176"/>
      <c r="AG141" s="130" t="str">
        <f t="shared" si="48"/>
        <v/>
      </c>
      <c r="AH141" s="39" t="str">
        <f t="shared" si="49"/>
        <v/>
      </c>
      <c r="AI141" s="74" t="str">
        <f t="shared" si="50"/>
        <v/>
      </c>
      <c r="AR141" s="176"/>
      <c r="AT141" s="130" t="str">
        <f t="shared" si="51"/>
        <v/>
      </c>
      <c r="AU141" s="39" t="str">
        <f t="shared" si="52"/>
        <v/>
      </c>
      <c r="AV141" s="74" t="str">
        <f t="shared" si="53"/>
        <v/>
      </c>
      <c r="BC141" s="176"/>
      <c r="BE141" s="130" t="str">
        <f t="shared" si="54"/>
        <v/>
      </c>
      <c r="BF141" s="39" t="str">
        <f>IF(AND(Include_study?="Yes",Sufficient_data="Yes"),NORMSINV(Calculations!IW141),"")</f>
        <v/>
      </c>
      <c r="BG141" s="74" t="str">
        <f t="shared" si="55"/>
        <v/>
      </c>
      <c r="BP141" s="176"/>
      <c r="BT141" s="176"/>
    </row>
    <row r="142" spans="4:72" x14ac:dyDescent="0.2">
      <c r="D142" s="84" t="str">
        <f t="shared" si="44"/>
        <v/>
      </c>
      <c r="E142" s="132" t="str">
        <f t="shared" si="45"/>
        <v/>
      </c>
      <c r="F142" s="39" t="str">
        <f t="shared" si="46"/>
        <v/>
      </c>
      <c r="M142" s="176"/>
      <c r="T142" s="176"/>
      <c r="V142" s="130" t="str">
        <f t="shared" si="47"/>
        <v/>
      </c>
      <c r="W142" s="74" t="str">
        <f>IF(AND(Include_study?="Yes",Sufficient_data="Yes"),((E:E-I$29)*SQRT(Calculations!FU:FU))/SQRT(1-Calculations!FU:FU/SUM(Calculations!FU:FU)),"")</f>
        <v/>
      </c>
      <c r="AE142" s="176"/>
      <c r="AG142" s="130" t="str">
        <f t="shared" si="48"/>
        <v/>
      </c>
      <c r="AH142" s="39" t="str">
        <f t="shared" si="49"/>
        <v/>
      </c>
      <c r="AI142" s="74" t="str">
        <f t="shared" si="50"/>
        <v/>
      </c>
      <c r="AR142" s="176"/>
      <c r="AT142" s="130" t="str">
        <f t="shared" si="51"/>
        <v/>
      </c>
      <c r="AU142" s="39" t="str">
        <f t="shared" si="52"/>
        <v/>
      </c>
      <c r="AV142" s="74" t="str">
        <f t="shared" si="53"/>
        <v/>
      </c>
      <c r="BC142" s="176"/>
      <c r="BE142" s="130" t="str">
        <f t="shared" si="54"/>
        <v/>
      </c>
      <c r="BF142" s="39" t="str">
        <f>IF(AND(Include_study?="Yes",Sufficient_data="Yes"),NORMSINV(Calculations!IW142),"")</f>
        <v/>
      </c>
      <c r="BG142" s="74" t="str">
        <f t="shared" si="55"/>
        <v/>
      </c>
      <c r="BP142" s="176"/>
      <c r="BT142" s="176"/>
    </row>
    <row r="143" spans="4:72" x14ac:dyDescent="0.2">
      <c r="D143" s="84" t="str">
        <f t="shared" si="44"/>
        <v/>
      </c>
      <c r="E143" s="132" t="str">
        <f t="shared" si="45"/>
        <v/>
      </c>
      <c r="F143" s="39" t="str">
        <f t="shared" si="46"/>
        <v/>
      </c>
      <c r="M143" s="176"/>
      <c r="T143" s="176"/>
      <c r="V143" s="130" t="str">
        <f t="shared" si="47"/>
        <v/>
      </c>
      <c r="W143" s="74" t="str">
        <f>IF(AND(Include_study?="Yes",Sufficient_data="Yes"),((E:E-I$29)*SQRT(Calculations!FU:FU))/SQRT(1-Calculations!FU:FU/SUM(Calculations!FU:FU)),"")</f>
        <v/>
      </c>
      <c r="AE143" s="176"/>
      <c r="AG143" s="130" t="str">
        <f t="shared" si="48"/>
        <v/>
      </c>
      <c r="AH143" s="39" t="str">
        <f t="shared" si="49"/>
        <v/>
      </c>
      <c r="AI143" s="74" t="str">
        <f t="shared" si="50"/>
        <v/>
      </c>
      <c r="AR143" s="176"/>
      <c r="AT143" s="130" t="str">
        <f t="shared" si="51"/>
        <v/>
      </c>
      <c r="AU143" s="39" t="str">
        <f t="shared" si="52"/>
        <v/>
      </c>
      <c r="AV143" s="74" t="str">
        <f t="shared" si="53"/>
        <v/>
      </c>
      <c r="BC143" s="176"/>
      <c r="BE143" s="130" t="str">
        <f t="shared" si="54"/>
        <v/>
      </c>
      <c r="BF143" s="39" t="str">
        <f>IF(AND(Include_study?="Yes",Sufficient_data="Yes"),NORMSINV(Calculations!IW143),"")</f>
        <v/>
      </c>
      <c r="BG143" s="74" t="str">
        <f t="shared" si="55"/>
        <v/>
      </c>
      <c r="BP143" s="176"/>
      <c r="BT143" s="176"/>
    </row>
    <row r="144" spans="4:72" x14ac:dyDescent="0.2">
      <c r="D144" s="84" t="str">
        <f t="shared" si="44"/>
        <v/>
      </c>
      <c r="E144" s="132" t="str">
        <f t="shared" si="45"/>
        <v/>
      </c>
      <c r="F144" s="39" t="str">
        <f t="shared" si="46"/>
        <v/>
      </c>
      <c r="M144" s="176"/>
      <c r="T144" s="176"/>
      <c r="V144" s="130" t="str">
        <f t="shared" si="47"/>
        <v/>
      </c>
      <c r="W144" s="74" t="str">
        <f>IF(AND(Include_study?="Yes",Sufficient_data="Yes"),((E:E-I$29)*SQRT(Calculations!FU:FU))/SQRT(1-Calculations!FU:FU/SUM(Calculations!FU:FU)),"")</f>
        <v/>
      </c>
      <c r="AE144" s="176"/>
      <c r="AG144" s="130" t="str">
        <f t="shared" si="48"/>
        <v/>
      </c>
      <c r="AH144" s="39" t="str">
        <f t="shared" si="49"/>
        <v/>
      </c>
      <c r="AI144" s="74" t="str">
        <f t="shared" si="50"/>
        <v/>
      </c>
      <c r="AR144" s="176"/>
      <c r="AT144" s="130" t="str">
        <f t="shared" si="51"/>
        <v/>
      </c>
      <c r="AU144" s="39" t="str">
        <f t="shared" si="52"/>
        <v/>
      </c>
      <c r="AV144" s="74" t="str">
        <f t="shared" si="53"/>
        <v/>
      </c>
      <c r="BC144" s="176"/>
      <c r="BE144" s="130" t="str">
        <f t="shared" si="54"/>
        <v/>
      </c>
      <c r="BF144" s="39" t="str">
        <f>IF(AND(Include_study?="Yes",Sufficient_data="Yes"),NORMSINV(Calculations!IW144),"")</f>
        <v/>
      </c>
      <c r="BG144" s="74" t="str">
        <f t="shared" si="55"/>
        <v/>
      </c>
      <c r="BP144" s="176"/>
      <c r="BT144" s="176"/>
    </row>
    <row r="145" spans="4:72" x14ac:dyDescent="0.2">
      <c r="D145" s="84" t="str">
        <f t="shared" si="44"/>
        <v/>
      </c>
      <c r="E145" s="132" t="str">
        <f t="shared" si="45"/>
        <v/>
      </c>
      <c r="F145" s="39" t="str">
        <f t="shared" si="46"/>
        <v/>
      </c>
      <c r="M145" s="176"/>
      <c r="T145" s="176"/>
      <c r="V145" s="130" t="str">
        <f t="shared" si="47"/>
        <v/>
      </c>
      <c r="W145" s="74" t="str">
        <f>IF(AND(Include_study?="Yes",Sufficient_data="Yes"),((E:E-I$29)*SQRT(Calculations!FU:FU))/SQRT(1-Calculations!FU:FU/SUM(Calculations!FU:FU)),"")</f>
        <v/>
      </c>
      <c r="AE145" s="176"/>
      <c r="AG145" s="130" t="str">
        <f t="shared" si="48"/>
        <v/>
      </c>
      <c r="AH145" s="39" t="str">
        <f t="shared" si="49"/>
        <v/>
      </c>
      <c r="AI145" s="74" t="str">
        <f t="shared" si="50"/>
        <v/>
      </c>
      <c r="AR145" s="176"/>
      <c r="AT145" s="130" t="str">
        <f t="shared" si="51"/>
        <v/>
      </c>
      <c r="AU145" s="39" t="str">
        <f t="shared" si="52"/>
        <v/>
      </c>
      <c r="AV145" s="74" t="str">
        <f t="shared" si="53"/>
        <v/>
      </c>
      <c r="BC145" s="176"/>
      <c r="BE145" s="130" t="str">
        <f t="shared" si="54"/>
        <v/>
      </c>
      <c r="BF145" s="39" t="str">
        <f>IF(AND(Include_study?="Yes",Sufficient_data="Yes"),NORMSINV(Calculations!IW145),"")</f>
        <v/>
      </c>
      <c r="BG145" s="74" t="str">
        <f t="shared" si="55"/>
        <v/>
      </c>
      <c r="BP145" s="176"/>
      <c r="BT145" s="176"/>
    </row>
    <row r="146" spans="4:72" x14ac:dyDescent="0.2">
      <c r="D146" s="84" t="str">
        <f t="shared" si="44"/>
        <v/>
      </c>
      <c r="E146" s="132" t="str">
        <f t="shared" si="45"/>
        <v/>
      </c>
      <c r="F146" s="39" t="str">
        <f t="shared" si="46"/>
        <v/>
      </c>
      <c r="M146" s="176"/>
      <c r="T146" s="176"/>
      <c r="V146" s="130" t="str">
        <f t="shared" si="47"/>
        <v/>
      </c>
      <c r="W146" s="74" t="str">
        <f>IF(AND(Include_study?="Yes",Sufficient_data="Yes"),((E:E-I$29)*SQRT(Calculations!FU:FU))/SQRT(1-Calculations!FU:FU/SUM(Calculations!FU:FU)),"")</f>
        <v/>
      </c>
      <c r="AE146" s="176"/>
      <c r="AG146" s="130" t="str">
        <f t="shared" si="48"/>
        <v/>
      </c>
      <c r="AH146" s="39" t="str">
        <f t="shared" si="49"/>
        <v/>
      </c>
      <c r="AI146" s="74" t="str">
        <f t="shared" si="50"/>
        <v/>
      </c>
      <c r="AR146" s="176"/>
      <c r="AT146" s="130" t="str">
        <f t="shared" si="51"/>
        <v/>
      </c>
      <c r="AU146" s="39" t="str">
        <f t="shared" si="52"/>
        <v/>
      </c>
      <c r="AV146" s="74" t="str">
        <f t="shared" si="53"/>
        <v/>
      </c>
      <c r="BC146" s="176"/>
      <c r="BE146" s="130" t="str">
        <f t="shared" si="54"/>
        <v/>
      </c>
      <c r="BF146" s="39" t="str">
        <f>IF(AND(Include_study?="Yes",Sufficient_data="Yes"),NORMSINV(Calculations!IW146),"")</f>
        <v/>
      </c>
      <c r="BG146" s="74" t="str">
        <f t="shared" si="55"/>
        <v/>
      </c>
      <c r="BP146" s="176"/>
      <c r="BT146" s="176"/>
    </row>
    <row r="147" spans="4:72" x14ac:dyDescent="0.2">
      <c r="D147" s="84" t="str">
        <f t="shared" si="44"/>
        <v/>
      </c>
      <c r="E147" s="132" t="str">
        <f t="shared" si="45"/>
        <v/>
      </c>
      <c r="F147" s="39" t="str">
        <f t="shared" si="46"/>
        <v/>
      </c>
      <c r="M147" s="176"/>
      <c r="T147" s="176"/>
      <c r="V147" s="130" t="str">
        <f t="shared" si="47"/>
        <v/>
      </c>
      <c r="W147" s="74" t="str">
        <f>IF(AND(Include_study?="Yes",Sufficient_data="Yes"),((E:E-I$29)*SQRT(Calculations!FU:FU))/SQRT(1-Calculations!FU:FU/SUM(Calculations!FU:FU)),"")</f>
        <v/>
      </c>
      <c r="AE147" s="176"/>
      <c r="AG147" s="130" t="str">
        <f t="shared" si="48"/>
        <v/>
      </c>
      <c r="AH147" s="39" t="str">
        <f t="shared" si="49"/>
        <v/>
      </c>
      <c r="AI147" s="74" t="str">
        <f t="shared" si="50"/>
        <v/>
      </c>
      <c r="AR147" s="176"/>
      <c r="AT147" s="130" t="str">
        <f t="shared" si="51"/>
        <v/>
      </c>
      <c r="AU147" s="39" t="str">
        <f t="shared" si="52"/>
        <v/>
      </c>
      <c r="AV147" s="74" t="str">
        <f t="shared" si="53"/>
        <v/>
      </c>
      <c r="BC147" s="176"/>
      <c r="BE147" s="130" t="str">
        <f t="shared" si="54"/>
        <v/>
      </c>
      <c r="BF147" s="39" t="str">
        <f>IF(AND(Include_study?="Yes",Sufficient_data="Yes"),NORMSINV(Calculations!IW147),"")</f>
        <v/>
      </c>
      <c r="BG147" s="74" t="str">
        <f t="shared" si="55"/>
        <v/>
      </c>
      <c r="BP147" s="176"/>
      <c r="BT147" s="176"/>
    </row>
    <row r="148" spans="4:72" x14ac:dyDescent="0.2">
      <c r="D148" s="84" t="str">
        <f t="shared" si="44"/>
        <v/>
      </c>
      <c r="E148" s="132" t="str">
        <f t="shared" si="45"/>
        <v/>
      </c>
      <c r="F148" s="39" t="str">
        <f t="shared" si="46"/>
        <v/>
      </c>
      <c r="M148" s="176"/>
      <c r="T148" s="176"/>
      <c r="V148" s="130" t="str">
        <f t="shared" si="47"/>
        <v/>
      </c>
      <c r="W148" s="74" t="str">
        <f>IF(AND(Include_study?="Yes",Sufficient_data="Yes"),((E:E-I$29)*SQRT(Calculations!FU:FU))/SQRT(1-Calculations!FU:FU/SUM(Calculations!FU:FU)),"")</f>
        <v/>
      </c>
      <c r="AE148" s="176"/>
      <c r="AG148" s="130" t="str">
        <f t="shared" si="48"/>
        <v/>
      </c>
      <c r="AH148" s="39" t="str">
        <f t="shared" si="49"/>
        <v/>
      </c>
      <c r="AI148" s="74" t="str">
        <f t="shared" si="50"/>
        <v/>
      </c>
      <c r="AR148" s="176"/>
      <c r="AT148" s="130" t="str">
        <f t="shared" si="51"/>
        <v/>
      </c>
      <c r="AU148" s="39" t="str">
        <f t="shared" si="52"/>
        <v/>
      </c>
      <c r="AV148" s="74" t="str">
        <f t="shared" si="53"/>
        <v/>
      </c>
      <c r="BC148" s="176"/>
      <c r="BE148" s="130" t="str">
        <f t="shared" si="54"/>
        <v/>
      </c>
      <c r="BF148" s="39" t="str">
        <f>IF(AND(Include_study?="Yes",Sufficient_data="Yes"),NORMSINV(Calculations!IW148),"")</f>
        <v/>
      </c>
      <c r="BG148" s="74" t="str">
        <f t="shared" si="55"/>
        <v/>
      </c>
      <c r="BP148" s="176"/>
      <c r="BT148" s="176"/>
    </row>
    <row r="149" spans="4:72" x14ac:dyDescent="0.2">
      <c r="D149" s="84" t="str">
        <f t="shared" si="44"/>
        <v/>
      </c>
      <c r="E149" s="132" t="str">
        <f t="shared" si="45"/>
        <v/>
      </c>
      <c r="F149" s="39" t="str">
        <f t="shared" si="46"/>
        <v/>
      </c>
      <c r="M149" s="176"/>
      <c r="T149" s="176"/>
      <c r="V149" s="130" t="str">
        <f t="shared" si="47"/>
        <v/>
      </c>
      <c r="W149" s="74" t="str">
        <f>IF(AND(Include_study?="Yes",Sufficient_data="Yes"),((E:E-I$29)*SQRT(Calculations!FU:FU))/SQRT(1-Calculations!FU:FU/SUM(Calculations!FU:FU)),"")</f>
        <v/>
      </c>
      <c r="AE149" s="176"/>
      <c r="AG149" s="130" t="str">
        <f t="shared" si="48"/>
        <v/>
      </c>
      <c r="AH149" s="39" t="str">
        <f t="shared" si="49"/>
        <v/>
      </c>
      <c r="AI149" s="74" t="str">
        <f t="shared" si="50"/>
        <v/>
      </c>
      <c r="AR149" s="176"/>
      <c r="AT149" s="130" t="str">
        <f t="shared" si="51"/>
        <v/>
      </c>
      <c r="AU149" s="39" t="str">
        <f t="shared" si="52"/>
        <v/>
      </c>
      <c r="AV149" s="74" t="str">
        <f t="shared" si="53"/>
        <v/>
      </c>
      <c r="BC149" s="176"/>
      <c r="BE149" s="130" t="str">
        <f t="shared" si="54"/>
        <v/>
      </c>
      <c r="BF149" s="39" t="str">
        <f>IF(AND(Include_study?="Yes",Sufficient_data="Yes"),NORMSINV(Calculations!IW149),"")</f>
        <v/>
      </c>
      <c r="BG149" s="74" t="str">
        <f t="shared" si="55"/>
        <v/>
      </c>
      <c r="BP149" s="176"/>
      <c r="BT149" s="176"/>
    </row>
    <row r="150" spans="4:72" x14ac:dyDescent="0.2">
      <c r="D150" s="84" t="str">
        <f t="shared" si="44"/>
        <v/>
      </c>
      <c r="E150" s="132" t="str">
        <f t="shared" si="45"/>
        <v/>
      </c>
      <c r="F150" s="39" t="str">
        <f t="shared" si="46"/>
        <v/>
      </c>
      <c r="M150" s="176"/>
      <c r="T150" s="176"/>
      <c r="V150" s="130" t="str">
        <f t="shared" si="47"/>
        <v/>
      </c>
      <c r="W150" s="74" t="str">
        <f>IF(AND(Include_study?="Yes",Sufficient_data="Yes"),((E:E-I$29)*SQRT(Calculations!FU:FU))/SQRT(1-Calculations!FU:FU/SUM(Calculations!FU:FU)),"")</f>
        <v/>
      </c>
      <c r="AE150" s="176"/>
      <c r="AG150" s="130" t="str">
        <f t="shared" si="48"/>
        <v/>
      </c>
      <c r="AH150" s="39" t="str">
        <f t="shared" si="49"/>
        <v/>
      </c>
      <c r="AI150" s="74" t="str">
        <f t="shared" si="50"/>
        <v/>
      </c>
      <c r="AR150" s="176"/>
      <c r="AT150" s="130" t="str">
        <f t="shared" si="51"/>
        <v/>
      </c>
      <c r="AU150" s="39" t="str">
        <f t="shared" si="52"/>
        <v/>
      </c>
      <c r="AV150" s="74" t="str">
        <f t="shared" si="53"/>
        <v/>
      </c>
      <c r="BC150" s="176"/>
      <c r="BE150" s="130" t="str">
        <f t="shared" si="54"/>
        <v/>
      </c>
      <c r="BF150" s="39" t="str">
        <f>IF(AND(Include_study?="Yes",Sufficient_data="Yes"),NORMSINV(Calculations!IW150),"")</f>
        <v/>
      </c>
      <c r="BG150" s="74" t="str">
        <f t="shared" si="55"/>
        <v/>
      </c>
      <c r="BP150" s="176"/>
      <c r="BT150" s="176"/>
    </row>
    <row r="151" spans="4:72" x14ac:dyDescent="0.2">
      <c r="D151" s="84" t="str">
        <f t="shared" si="44"/>
        <v/>
      </c>
      <c r="E151" s="132" t="str">
        <f t="shared" si="45"/>
        <v/>
      </c>
      <c r="F151" s="39" t="str">
        <f t="shared" si="46"/>
        <v/>
      </c>
      <c r="M151" s="176"/>
      <c r="T151" s="176"/>
      <c r="V151" s="130" t="str">
        <f t="shared" si="47"/>
        <v/>
      </c>
      <c r="W151" s="74" t="str">
        <f>IF(AND(Include_study?="Yes",Sufficient_data="Yes"),((E:E-I$29)*SQRT(Calculations!FU:FU))/SQRT(1-Calculations!FU:FU/SUM(Calculations!FU:FU)),"")</f>
        <v/>
      </c>
      <c r="AE151" s="176"/>
      <c r="AG151" s="130" t="str">
        <f t="shared" si="48"/>
        <v/>
      </c>
      <c r="AH151" s="39" t="str">
        <f t="shared" si="49"/>
        <v/>
      </c>
      <c r="AI151" s="74" t="str">
        <f t="shared" si="50"/>
        <v/>
      </c>
      <c r="AR151" s="176"/>
      <c r="AT151" s="130" t="str">
        <f t="shared" si="51"/>
        <v/>
      </c>
      <c r="AU151" s="39" t="str">
        <f t="shared" si="52"/>
        <v/>
      </c>
      <c r="AV151" s="74" t="str">
        <f t="shared" si="53"/>
        <v/>
      </c>
      <c r="BC151" s="176"/>
      <c r="BE151" s="130" t="str">
        <f t="shared" si="54"/>
        <v/>
      </c>
      <c r="BF151" s="39" t="str">
        <f>IF(AND(Include_study?="Yes",Sufficient_data="Yes"),NORMSINV(Calculations!IW151),"")</f>
        <v/>
      </c>
      <c r="BG151" s="74" t="str">
        <f t="shared" si="55"/>
        <v/>
      </c>
      <c r="BP151" s="176"/>
      <c r="BT151" s="176"/>
    </row>
    <row r="152" spans="4:72" x14ac:dyDescent="0.2">
      <c r="D152" s="84" t="str">
        <f t="shared" si="44"/>
        <v/>
      </c>
      <c r="E152" s="132" t="str">
        <f t="shared" si="45"/>
        <v/>
      </c>
      <c r="F152" s="39" t="str">
        <f t="shared" si="46"/>
        <v/>
      </c>
      <c r="M152" s="176"/>
      <c r="T152" s="176"/>
      <c r="V152" s="130" t="str">
        <f t="shared" si="47"/>
        <v/>
      </c>
      <c r="W152" s="74" t="str">
        <f>IF(AND(Include_study?="Yes",Sufficient_data="Yes"),((E:E-I$29)*SQRT(Calculations!FU:FU))/SQRT(1-Calculations!FU:FU/SUM(Calculations!FU:FU)),"")</f>
        <v/>
      </c>
      <c r="AE152" s="176"/>
      <c r="AG152" s="130" t="str">
        <f t="shared" si="48"/>
        <v/>
      </c>
      <c r="AH152" s="39" t="str">
        <f t="shared" si="49"/>
        <v/>
      </c>
      <c r="AI152" s="74" t="str">
        <f t="shared" si="50"/>
        <v/>
      </c>
      <c r="AR152" s="176"/>
      <c r="AT152" s="130" t="str">
        <f t="shared" si="51"/>
        <v/>
      </c>
      <c r="AU152" s="39" t="str">
        <f t="shared" si="52"/>
        <v/>
      </c>
      <c r="AV152" s="74" t="str">
        <f t="shared" si="53"/>
        <v/>
      </c>
      <c r="BC152" s="176"/>
      <c r="BE152" s="130" t="str">
        <f t="shared" si="54"/>
        <v/>
      </c>
      <c r="BF152" s="39" t="str">
        <f>IF(AND(Include_study?="Yes",Sufficient_data="Yes"),NORMSINV(Calculations!IW152),"")</f>
        <v/>
      </c>
      <c r="BG152" s="74" t="str">
        <f t="shared" si="55"/>
        <v/>
      </c>
      <c r="BP152" s="176"/>
      <c r="BT152" s="176"/>
    </row>
    <row r="153" spans="4:72" x14ac:dyDescent="0.2">
      <c r="D153" s="84" t="str">
        <f t="shared" si="44"/>
        <v/>
      </c>
      <c r="E153" s="132" t="str">
        <f t="shared" si="45"/>
        <v/>
      </c>
      <c r="F153" s="39" t="str">
        <f t="shared" si="46"/>
        <v/>
      </c>
      <c r="M153" s="176"/>
      <c r="T153" s="176"/>
      <c r="V153" s="130" t="str">
        <f t="shared" si="47"/>
        <v/>
      </c>
      <c r="W153" s="74" t="str">
        <f>IF(AND(Include_study?="Yes",Sufficient_data="Yes"),((E:E-I$29)*SQRT(Calculations!FU:FU))/SQRT(1-Calculations!FU:FU/SUM(Calculations!FU:FU)),"")</f>
        <v/>
      </c>
      <c r="AE153" s="176"/>
      <c r="AG153" s="130" t="str">
        <f t="shared" si="48"/>
        <v/>
      </c>
      <c r="AH153" s="39" t="str">
        <f t="shared" si="49"/>
        <v/>
      </c>
      <c r="AI153" s="74" t="str">
        <f t="shared" si="50"/>
        <v/>
      </c>
      <c r="AR153" s="176"/>
      <c r="AT153" s="130" t="str">
        <f t="shared" si="51"/>
        <v/>
      </c>
      <c r="AU153" s="39" t="str">
        <f t="shared" si="52"/>
        <v/>
      </c>
      <c r="AV153" s="74" t="str">
        <f t="shared" si="53"/>
        <v/>
      </c>
      <c r="BC153" s="176"/>
      <c r="BE153" s="130" t="str">
        <f t="shared" si="54"/>
        <v/>
      </c>
      <c r="BF153" s="39" t="str">
        <f>IF(AND(Include_study?="Yes",Sufficient_data="Yes"),NORMSINV(Calculations!IW153),"")</f>
        <v/>
      </c>
      <c r="BG153" s="74" t="str">
        <f t="shared" si="55"/>
        <v/>
      </c>
      <c r="BP153" s="176"/>
      <c r="BT153" s="176"/>
    </row>
    <row r="154" spans="4:72" x14ac:dyDescent="0.2">
      <c r="D154" s="84" t="str">
        <f t="shared" si="44"/>
        <v/>
      </c>
      <c r="E154" s="132" t="str">
        <f t="shared" si="45"/>
        <v/>
      </c>
      <c r="F154" s="39" t="str">
        <f t="shared" si="46"/>
        <v/>
      </c>
      <c r="M154" s="176"/>
      <c r="T154" s="176"/>
      <c r="V154" s="130" t="str">
        <f t="shared" si="47"/>
        <v/>
      </c>
      <c r="W154" s="74" t="str">
        <f>IF(AND(Include_study?="Yes",Sufficient_data="Yes"),((E:E-I$29)*SQRT(Calculations!FU:FU))/SQRT(1-Calculations!FU:FU/SUM(Calculations!FU:FU)),"")</f>
        <v/>
      </c>
      <c r="AE154" s="176"/>
      <c r="AG154" s="130" t="str">
        <f t="shared" si="48"/>
        <v/>
      </c>
      <c r="AH154" s="39" t="str">
        <f t="shared" si="49"/>
        <v/>
      </c>
      <c r="AI154" s="74" t="str">
        <f t="shared" si="50"/>
        <v/>
      </c>
      <c r="AR154" s="176"/>
      <c r="AT154" s="130" t="str">
        <f t="shared" si="51"/>
        <v/>
      </c>
      <c r="AU154" s="39" t="str">
        <f t="shared" si="52"/>
        <v/>
      </c>
      <c r="AV154" s="74" t="str">
        <f t="shared" si="53"/>
        <v/>
      </c>
      <c r="BC154" s="176"/>
      <c r="BE154" s="130" t="str">
        <f t="shared" si="54"/>
        <v/>
      </c>
      <c r="BF154" s="39" t="str">
        <f>IF(AND(Include_study?="Yes",Sufficient_data="Yes"),NORMSINV(Calculations!IW154),"")</f>
        <v/>
      </c>
      <c r="BG154" s="74" t="str">
        <f t="shared" si="55"/>
        <v/>
      </c>
      <c r="BP154" s="176"/>
      <c r="BT154" s="176"/>
    </row>
    <row r="155" spans="4:72" x14ac:dyDescent="0.2">
      <c r="D155" s="84" t="str">
        <f t="shared" si="44"/>
        <v/>
      </c>
      <c r="E155" s="132" t="str">
        <f t="shared" si="45"/>
        <v/>
      </c>
      <c r="F155" s="39" t="str">
        <f t="shared" si="46"/>
        <v/>
      </c>
      <c r="M155" s="176"/>
      <c r="T155" s="176"/>
      <c r="V155" s="130" t="str">
        <f t="shared" si="47"/>
        <v/>
      </c>
      <c r="W155" s="74" t="str">
        <f>IF(AND(Include_study?="Yes",Sufficient_data="Yes"),((E:E-I$29)*SQRT(Calculations!FU:FU))/SQRT(1-Calculations!FU:FU/SUM(Calculations!FU:FU)),"")</f>
        <v/>
      </c>
      <c r="AE155" s="176"/>
      <c r="AG155" s="130" t="str">
        <f t="shared" si="48"/>
        <v/>
      </c>
      <c r="AH155" s="39" t="str">
        <f t="shared" si="49"/>
        <v/>
      </c>
      <c r="AI155" s="74" t="str">
        <f t="shared" si="50"/>
        <v/>
      </c>
      <c r="AR155" s="176"/>
      <c r="AT155" s="130" t="str">
        <f t="shared" si="51"/>
        <v/>
      </c>
      <c r="AU155" s="39" t="str">
        <f t="shared" si="52"/>
        <v/>
      </c>
      <c r="AV155" s="74" t="str">
        <f t="shared" si="53"/>
        <v/>
      </c>
      <c r="BC155" s="176"/>
      <c r="BE155" s="130" t="str">
        <f t="shared" si="54"/>
        <v/>
      </c>
      <c r="BF155" s="39" t="str">
        <f>IF(AND(Include_study?="Yes",Sufficient_data="Yes"),NORMSINV(Calculations!IW155),"")</f>
        <v/>
      </c>
      <c r="BG155" s="74" t="str">
        <f t="shared" si="55"/>
        <v/>
      </c>
      <c r="BP155" s="176"/>
      <c r="BT155" s="176"/>
    </row>
    <row r="156" spans="4:72" x14ac:dyDescent="0.2">
      <c r="D156" s="84" t="str">
        <f t="shared" si="44"/>
        <v/>
      </c>
      <c r="E156" s="132" t="str">
        <f t="shared" si="45"/>
        <v/>
      </c>
      <c r="F156" s="39" t="str">
        <f t="shared" si="46"/>
        <v/>
      </c>
      <c r="M156" s="176"/>
      <c r="T156" s="176"/>
      <c r="V156" s="130" t="str">
        <f t="shared" si="47"/>
        <v/>
      </c>
      <c r="W156" s="74" t="str">
        <f>IF(AND(Include_study?="Yes",Sufficient_data="Yes"),((E:E-I$29)*SQRT(Calculations!FU:FU))/SQRT(1-Calculations!FU:FU/SUM(Calculations!FU:FU)),"")</f>
        <v/>
      </c>
      <c r="AE156" s="176"/>
      <c r="AG156" s="130" t="str">
        <f t="shared" si="48"/>
        <v/>
      </c>
      <c r="AH156" s="39" t="str">
        <f t="shared" si="49"/>
        <v/>
      </c>
      <c r="AI156" s="74" t="str">
        <f t="shared" si="50"/>
        <v/>
      </c>
      <c r="AR156" s="176"/>
      <c r="AT156" s="130" t="str">
        <f t="shared" si="51"/>
        <v/>
      </c>
      <c r="AU156" s="39" t="str">
        <f t="shared" si="52"/>
        <v/>
      </c>
      <c r="AV156" s="74" t="str">
        <f t="shared" si="53"/>
        <v/>
      </c>
      <c r="BC156" s="176"/>
      <c r="BE156" s="130" t="str">
        <f t="shared" si="54"/>
        <v/>
      </c>
      <c r="BF156" s="39" t="str">
        <f>IF(AND(Include_study?="Yes",Sufficient_data="Yes"),NORMSINV(Calculations!IW156),"")</f>
        <v/>
      </c>
      <c r="BG156" s="74" t="str">
        <f t="shared" si="55"/>
        <v/>
      </c>
      <c r="BP156" s="176"/>
      <c r="BT156" s="176"/>
    </row>
    <row r="157" spans="4:72" x14ac:dyDescent="0.2">
      <c r="D157" s="84" t="str">
        <f t="shared" si="44"/>
        <v/>
      </c>
      <c r="E157" s="132" t="str">
        <f t="shared" si="45"/>
        <v/>
      </c>
      <c r="F157" s="39" t="str">
        <f t="shared" si="46"/>
        <v/>
      </c>
      <c r="M157" s="176"/>
      <c r="T157" s="176"/>
      <c r="V157" s="130" t="str">
        <f t="shared" si="47"/>
        <v/>
      </c>
      <c r="W157" s="74" t="str">
        <f>IF(AND(Include_study?="Yes",Sufficient_data="Yes"),((E:E-I$29)*SQRT(Calculations!FU:FU))/SQRT(1-Calculations!FU:FU/SUM(Calculations!FU:FU)),"")</f>
        <v/>
      </c>
      <c r="AE157" s="176"/>
      <c r="AG157" s="130" t="str">
        <f t="shared" si="48"/>
        <v/>
      </c>
      <c r="AH157" s="39" t="str">
        <f t="shared" si="49"/>
        <v/>
      </c>
      <c r="AI157" s="74" t="str">
        <f t="shared" si="50"/>
        <v/>
      </c>
      <c r="AR157" s="176"/>
      <c r="AT157" s="130" t="str">
        <f t="shared" si="51"/>
        <v/>
      </c>
      <c r="AU157" s="39" t="str">
        <f t="shared" si="52"/>
        <v/>
      </c>
      <c r="AV157" s="74" t="str">
        <f t="shared" si="53"/>
        <v/>
      </c>
      <c r="BC157" s="176"/>
      <c r="BE157" s="130" t="str">
        <f t="shared" si="54"/>
        <v/>
      </c>
      <c r="BF157" s="39" t="str">
        <f>IF(AND(Include_study?="Yes",Sufficient_data="Yes"),NORMSINV(Calculations!IW157),"")</f>
        <v/>
      </c>
      <c r="BG157" s="74" t="str">
        <f t="shared" si="55"/>
        <v/>
      </c>
      <c r="BP157" s="176"/>
      <c r="BT157" s="176"/>
    </row>
    <row r="158" spans="4:72" x14ac:dyDescent="0.2">
      <c r="D158" s="84" t="str">
        <f t="shared" si="44"/>
        <v/>
      </c>
      <c r="E158" s="132" t="str">
        <f t="shared" si="45"/>
        <v/>
      </c>
      <c r="F158" s="39" t="str">
        <f t="shared" si="46"/>
        <v/>
      </c>
      <c r="M158" s="176"/>
      <c r="T158" s="176"/>
      <c r="V158" s="130" t="str">
        <f t="shared" si="47"/>
        <v/>
      </c>
      <c r="W158" s="74" t="str">
        <f>IF(AND(Include_study?="Yes",Sufficient_data="Yes"),((E:E-I$29)*SQRT(Calculations!FU:FU))/SQRT(1-Calculations!FU:FU/SUM(Calculations!FU:FU)),"")</f>
        <v/>
      </c>
      <c r="AE158" s="176"/>
      <c r="AG158" s="130" t="str">
        <f t="shared" si="48"/>
        <v/>
      </c>
      <c r="AH158" s="39" t="str">
        <f t="shared" si="49"/>
        <v/>
      </c>
      <c r="AI158" s="74" t="str">
        <f t="shared" si="50"/>
        <v/>
      </c>
      <c r="AR158" s="176"/>
      <c r="AT158" s="130" t="str">
        <f t="shared" si="51"/>
        <v/>
      </c>
      <c r="AU158" s="39" t="str">
        <f t="shared" si="52"/>
        <v/>
      </c>
      <c r="AV158" s="74" t="str">
        <f t="shared" si="53"/>
        <v/>
      </c>
      <c r="BC158" s="176"/>
      <c r="BE158" s="130" t="str">
        <f t="shared" si="54"/>
        <v/>
      </c>
      <c r="BF158" s="39" t="str">
        <f>IF(AND(Include_study?="Yes",Sufficient_data="Yes"),NORMSINV(Calculations!IW158),"")</f>
        <v/>
      </c>
      <c r="BG158" s="74" t="str">
        <f t="shared" si="55"/>
        <v/>
      </c>
      <c r="BP158" s="176"/>
      <c r="BT158" s="176"/>
    </row>
    <row r="159" spans="4:72" x14ac:dyDescent="0.2">
      <c r="D159" s="84" t="str">
        <f t="shared" si="44"/>
        <v/>
      </c>
      <c r="E159" s="132" t="str">
        <f t="shared" si="45"/>
        <v/>
      </c>
      <c r="F159" s="39" t="str">
        <f t="shared" si="46"/>
        <v/>
      </c>
      <c r="M159" s="176"/>
      <c r="T159" s="176"/>
      <c r="V159" s="130" t="str">
        <f t="shared" si="47"/>
        <v/>
      </c>
      <c r="W159" s="74" t="str">
        <f>IF(AND(Include_study?="Yes",Sufficient_data="Yes"),((E:E-I$29)*SQRT(Calculations!FU:FU))/SQRT(1-Calculations!FU:FU/SUM(Calculations!FU:FU)),"")</f>
        <v/>
      </c>
      <c r="AE159" s="176"/>
      <c r="AG159" s="130" t="str">
        <f t="shared" si="48"/>
        <v/>
      </c>
      <c r="AH159" s="39" t="str">
        <f t="shared" si="49"/>
        <v/>
      </c>
      <c r="AI159" s="74" t="str">
        <f t="shared" si="50"/>
        <v/>
      </c>
      <c r="AR159" s="176"/>
      <c r="AT159" s="130" t="str">
        <f t="shared" si="51"/>
        <v/>
      </c>
      <c r="AU159" s="39" t="str">
        <f t="shared" si="52"/>
        <v/>
      </c>
      <c r="AV159" s="74" t="str">
        <f t="shared" si="53"/>
        <v/>
      </c>
      <c r="BC159" s="176"/>
      <c r="BE159" s="130" t="str">
        <f t="shared" si="54"/>
        <v/>
      </c>
      <c r="BF159" s="39" t="str">
        <f>IF(AND(Include_study?="Yes",Sufficient_data="Yes"),NORMSINV(Calculations!IW159),"")</f>
        <v/>
      </c>
      <c r="BG159" s="74" t="str">
        <f t="shared" si="55"/>
        <v/>
      </c>
      <c r="BP159" s="176"/>
      <c r="BT159" s="176"/>
    </row>
    <row r="160" spans="4:72" x14ac:dyDescent="0.2">
      <c r="D160" s="84" t="str">
        <f t="shared" si="44"/>
        <v/>
      </c>
      <c r="E160" s="132" t="str">
        <f t="shared" si="45"/>
        <v/>
      </c>
      <c r="F160" s="39" t="str">
        <f t="shared" si="46"/>
        <v/>
      </c>
      <c r="M160" s="176"/>
      <c r="T160" s="176"/>
      <c r="V160" s="130" t="str">
        <f t="shared" si="47"/>
        <v/>
      </c>
      <c r="W160" s="74" t="str">
        <f>IF(AND(Include_study?="Yes",Sufficient_data="Yes"),((E:E-I$29)*SQRT(Calculations!FU:FU))/SQRT(1-Calculations!FU:FU/SUM(Calculations!FU:FU)),"")</f>
        <v/>
      </c>
      <c r="AE160" s="176"/>
      <c r="AG160" s="130" t="str">
        <f t="shared" si="48"/>
        <v/>
      </c>
      <c r="AH160" s="39" t="str">
        <f t="shared" si="49"/>
        <v/>
      </c>
      <c r="AI160" s="74" t="str">
        <f t="shared" si="50"/>
        <v/>
      </c>
      <c r="AR160" s="176"/>
      <c r="AT160" s="130" t="str">
        <f t="shared" si="51"/>
        <v/>
      </c>
      <c r="AU160" s="39" t="str">
        <f t="shared" si="52"/>
        <v/>
      </c>
      <c r="AV160" s="74" t="str">
        <f t="shared" si="53"/>
        <v/>
      </c>
      <c r="BC160" s="176"/>
      <c r="BE160" s="130" t="str">
        <f t="shared" si="54"/>
        <v/>
      </c>
      <c r="BF160" s="39" t="str">
        <f>IF(AND(Include_study?="Yes",Sufficient_data="Yes"),NORMSINV(Calculations!IW160),"")</f>
        <v/>
      </c>
      <c r="BG160" s="74" t="str">
        <f t="shared" si="55"/>
        <v/>
      </c>
      <c r="BP160" s="176"/>
      <c r="BT160" s="176"/>
    </row>
    <row r="161" spans="4:72" x14ac:dyDescent="0.2">
      <c r="D161" s="84" t="str">
        <f t="shared" si="44"/>
        <v/>
      </c>
      <c r="E161" s="132" t="str">
        <f t="shared" si="45"/>
        <v/>
      </c>
      <c r="F161" s="39" t="str">
        <f t="shared" si="46"/>
        <v/>
      </c>
      <c r="M161" s="176"/>
      <c r="T161" s="176"/>
      <c r="V161" s="130" t="str">
        <f t="shared" si="47"/>
        <v/>
      </c>
      <c r="W161" s="74" t="str">
        <f>IF(AND(Include_study?="Yes",Sufficient_data="Yes"),((E:E-I$29)*SQRT(Calculations!FU:FU))/SQRT(1-Calculations!FU:FU/SUM(Calculations!FU:FU)),"")</f>
        <v/>
      </c>
      <c r="AE161" s="176"/>
      <c r="AG161" s="130" t="str">
        <f t="shared" si="48"/>
        <v/>
      </c>
      <c r="AH161" s="39" t="str">
        <f t="shared" si="49"/>
        <v/>
      </c>
      <c r="AI161" s="74" t="str">
        <f t="shared" si="50"/>
        <v/>
      </c>
      <c r="AR161" s="176"/>
      <c r="AT161" s="130" t="str">
        <f t="shared" si="51"/>
        <v/>
      </c>
      <c r="AU161" s="39" t="str">
        <f t="shared" si="52"/>
        <v/>
      </c>
      <c r="AV161" s="74" t="str">
        <f t="shared" si="53"/>
        <v/>
      </c>
      <c r="BC161" s="176"/>
      <c r="BE161" s="130" t="str">
        <f t="shared" si="54"/>
        <v/>
      </c>
      <c r="BF161" s="39" t="str">
        <f>IF(AND(Include_study?="Yes",Sufficient_data="Yes"),NORMSINV(Calculations!IW161),"")</f>
        <v/>
      </c>
      <c r="BG161" s="74" t="str">
        <f t="shared" si="55"/>
        <v/>
      </c>
      <c r="BP161" s="176"/>
      <c r="BT161" s="176"/>
    </row>
    <row r="162" spans="4:72" x14ac:dyDescent="0.2">
      <c r="D162" s="84" t="str">
        <f t="shared" ref="D162:D193" si="56">IF(AND(Include_study?="Yes",Sufficient_data="Yes"),Study_name,"")</f>
        <v/>
      </c>
      <c r="E162" s="132" t="str">
        <f t="shared" ref="E162:E193" si="57"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/>
      </c>
      <c r="F162" s="39" t="str">
        <f t="shared" ref="F162:F193" si="58">IF(AND(Include_study?="Yes",Sufficient_data="Yes"),IF(Additional_effect_size_measure="Log Peto Odds Ratio",SELogPetoOddsRatio,IF(Additional_effect_size_measure="Log Risk Ratio",SELogRiskRatio,IF(Additional_effect_size_measure="Risk Difference",SERiskDifference,SELogOddsRatio))),"")</f>
        <v/>
      </c>
      <c r="M162" s="176"/>
      <c r="T162" s="176"/>
      <c r="V162" s="130" t="str">
        <f t="shared" ref="V162:V193" si="59">IF(AND(Include_study?="Yes",Sufficient_data="Yes"),Study_name,"")</f>
        <v/>
      </c>
      <c r="W162" s="74" t="str">
        <f>IF(AND(Include_study?="Yes",Sufficient_data="Yes"),((E:E-I$29)*SQRT(Calculations!FU:FU))/SQRT(1-Calculations!FU:FU/SUM(Calculations!FU:FU)),"")</f>
        <v/>
      </c>
      <c r="AE162" s="176"/>
      <c r="AG162" s="130" t="str">
        <f t="shared" ref="AG162:AG193" si="60">IF(AND(Include_study?="Yes",Sufficient_data="Yes"),Study_name,"")</f>
        <v/>
      </c>
      <c r="AH162" s="39" t="str">
        <f t="shared" si="49"/>
        <v/>
      </c>
      <c r="AI162" s="74" t="str">
        <f t="shared" si="50"/>
        <v/>
      </c>
      <c r="AR162" s="176"/>
      <c r="AT162" s="130" t="str">
        <f t="shared" ref="AT162:AT193" si="61">IF(AND(Include_study?="Yes",Sufficient_data="Yes"),Study_name,"")</f>
        <v/>
      </c>
      <c r="AU162" s="39" t="str">
        <f t="shared" ref="AU162:AU193" si="62">IF(AND(Include_study?="Yes",Sufficient_data="Yes"),IF(AND(Additional_valid_options="No",Additional_model="Random effects"),NA(),Inverse_standard_error),"")</f>
        <v/>
      </c>
      <c r="AV162" s="74" t="str">
        <f t="shared" ref="AV162:AV193" si="63">IF(AND(Include_study?="Yes",Sufficient_data="Yes"),IF(AND(Additional_valid_options="No",Additional_model="Random effects"),NA(),Z_score),"")</f>
        <v/>
      </c>
      <c r="BC162" s="176"/>
      <c r="BE162" s="130" t="str">
        <f t="shared" ref="BE162:BE193" si="64">IF(AND(Include_study?="Yes",Sufficient_data="Yes"),Study_name,"")</f>
        <v/>
      </c>
      <c r="BF162" s="39" t="str">
        <f>IF(AND(Include_study?="Yes",Sufficient_data="Yes"),NORMSINV(Calculations!IW162),"")</f>
        <v/>
      </c>
      <c r="BG162" s="74" t="str">
        <f t="shared" ref="BG162:BG193" si="65">IF(AND(Include_study?="Yes",Sufficient_data="Yes"),IF(AND(Additional_valid_options="No",Additional_model="Random effects"),NA(),IF(BJ$33="Standardized residuals",Standardized_residual,Z_score)),"")</f>
        <v/>
      </c>
      <c r="BP162" s="176"/>
      <c r="BT162" s="176"/>
    </row>
    <row r="163" spans="4:72" x14ac:dyDescent="0.2">
      <c r="D163" s="84" t="str">
        <f t="shared" si="56"/>
        <v/>
      </c>
      <c r="E163" s="132" t="str">
        <f t="shared" si="57"/>
        <v/>
      </c>
      <c r="F163" s="39" t="str">
        <f t="shared" si="58"/>
        <v/>
      </c>
      <c r="M163" s="176"/>
      <c r="T163" s="176"/>
      <c r="V163" s="130" t="str">
        <f t="shared" si="59"/>
        <v/>
      </c>
      <c r="W163" s="74" t="str">
        <f>IF(AND(Include_study?="Yes",Sufficient_data="Yes"),((E:E-I$29)*SQRT(Calculations!FU:FU))/SQRT(1-Calculations!FU:FU/SUM(Calculations!FU:FU)),"")</f>
        <v/>
      </c>
      <c r="AE163" s="176"/>
      <c r="AG163" s="130" t="str">
        <f t="shared" si="60"/>
        <v/>
      </c>
      <c r="AH163" s="39" t="str">
        <f t="shared" si="49"/>
        <v/>
      </c>
      <c r="AI163" s="74" t="str">
        <f t="shared" si="50"/>
        <v/>
      </c>
      <c r="AR163" s="176"/>
      <c r="AT163" s="130" t="str">
        <f t="shared" si="61"/>
        <v/>
      </c>
      <c r="AU163" s="39" t="str">
        <f t="shared" si="62"/>
        <v/>
      </c>
      <c r="AV163" s="74" t="str">
        <f t="shared" si="63"/>
        <v/>
      </c>
      <c r="BC163" s="176"/>
      <c r="BE163" s="130" t="str">
        <f t="shared" si="64"/>
        <v/>
      </c>
      <c r="BF163" s="39" t="str">
        <f>IF(AND(Include_study?="Yes",Sufficient_data="Yes"),NORMSINV(Calculations!IW163),"")</f>
        <v/>
      </c>
      <c r="BG163" s="74" t="str">
        <f t="shared" si="65"/>
        <v/>
      </c>
      <c r="BP163" s="176"/>
      <c r="BT163" s="176"/>
    </row>
    <row r="164" spans="4:72" x14ac:dyDescent="0.2">
      <c r="D164" s="84" t="str">
        <f t="shared" si="56"/>
        <v/>
      </c>
      <c r="E164" s="132" t="str">
        <f t="shared" si="57"/>
        <v/>
      </c>
      <c r="F164" s="39" t="str">
        <f t="shared" si="58"/>
        <v/>
      </c>
      <c r="M164" s="176"/>
      <c r="T164" s="176"/>
      <c r="V164" s="130" t="str">
        <f t="shared" si="59"/>
        <v/>
      </c>
      <c r="W164" s="74" t="str">
        <f>IF(AND(Include_study?="Yes",Sufficient_data="Yes"),((E:E-I$29)*SQRT(Calculations!FU:FU))/SQRT(1-Calculations!FU:FU/SUM(Calculations!FU:FU)),"")</f>
        <v/>
      </c>
      <c r="AE164" s="176"/>
      <c r="AG164" s="130" t="str">
        <f t="shared" si="60"/>
        <v/>
      </c>
      <c r="AH164" s="39" t="str">
        <f t="shared" si="49"/>
        <v/>
      </c>
      <c r="AI164" s="74" t="str">
        <f t="shared" si="50"/>
        <v/>
      </c>
      <c r="AR164" s="176"/>
      <c r="AT164" s="130" t="str">
        <f t="shared" si="61"/>
        <v/>
      </c>
      <c r="AU164" s="39" t="str">
        <f t="shared" si="62"/>
        <v/>
      </c>
      <c r="AV164" s="74" t="str">
        <f t="shared" si="63"/>
        <v/>
      </c>
      <c r="BC164" s="176"/>
      <c r="BE164" s="130" t="str">
        <f t="shared" si="64"/>
        <v/>
      </c>
      <c r="BF164" s="39" t="str">
        <f>IF(AND(Include_study?="Yes",Sufficient_data="Yes"),NORMSINV(Calculations!IW164),"")</f>
        <v/>
      </c>
      <c r="BG164" s="74" t="str">
        <f t="shared" si="65"/>
        <v/>
      </c>
      <c r="BP164" s="176"/>
      <c r="BT164" s="176"/>
    </row>
    <row r="165" spans="4:72" x14ac:dyDescent="0.2">
      <c r="D165" s="84" t="str">
        <f t="shared" si="56"/>
        <v/>
      </c>
      <c r="E165" s="132" t="str">
        <f t="shared" si="57"/>
        <v/>
      </c>
      <c r="F165" s="39" t="str">
        <f t="shared" si="58"/>
        <v/>
      </c>
      <c r="M165" s="176"/>
      <c r="T165" s="176"/>
      <c r="V165" s="130" t="str">
        <f t="shared" si="59"/>
        <v/>
      </c>
      <c r="W165" s="74" t="str">
        <f>IF(AND(Include_study?="Yes",Sufficient_data="Yes"),((E:E-I$29)*SQRT(Calculations!FU:FU))/SQRT(1-Calculations!FU:FU/SUM(Calculations!FU:FU)),"")</f>
        <v/>
      </c>
      <c r="AE165" s="176"/>
      <c r="AG165" s="130" t="str">
        <f t="shared" si="60"/>
        <v/>
      </c>
      <c r="AH165" s="39" t="str">
        <f t="shared" si="49"/>
        <v/>
      </c>
      <c r="AI165" s="74" t="str">
        <f t="shared" si="50"/>
        <v/>
      </c>
      <c r="AR165" s="176"/>
      <c r="AT165" s="130" t="str">
        <f t="shared" si="61"/>
        <v/>
      </c>
      <c r="AU165" s="39" t="str">
        <f t="shared" si="62"/>
        <v/>
      </c>
      <c r="AV165" s="74" t="str">
        <f t="shared" si="63"/>
        <v/>
      </c>
      <c r="BC165" s="176"/>
      <c r="BE165" s="130" t="str">
        <f t="shared" si="64"/>
        <v/>
      </c>
      <c r="BF165" s="39" t="str">
        <f>IF(AND(Include_study?="Yes",Sufficient_data="Yes"),NORMSINV(Calculations!IW165),"")</f>
        <v/>
      </c>
      <c r="BG165" s="74" t="str">
        <f t="shared" si="65"/>
        <v/>
      </c>
      <c r="BP165" s="176"/>
      <c r="BT165" s="176"/>
    </row>
    <row r="166" spans="4:72" x14ac:dyDescent="0.2">
      <c r="D166" s="84" t="str">
        <f t="shared" si="56"/>
        <v/>
      </c>
      <c r="E166" s="132" t="str">
        <f t="shared" si="57"/>
        <v/>
      </c>
      <c r="F166" s="39" t="str">
        <f t="shared" si="58"/>
        <v/>
      </c>
      <c r="M166" s="176"/>
      <c r="T166" s="176"/>
      <c r="V166" s="130" t="str">
        <f t="shared" si="59"/>
        <v/>
      </c>
      <c r="W166" s="74" t="str">
        <f>IF(AND(Include_study?="Yes",Sufficient_data="Yes"),((E:E-I$29)*SQRT(Calculations!FU:FU))/SQRT(1-Calculations!FU:FU/SUM(Calculations!FU:FU)),"")</f>
        <v/>
      </c>
      <c r="AE166" s="176"/>
      <c r="AG166" s="130" t="str">
        <f t="shared" si="60"/>
        <v/>
      </c>
      <c r="AH166" s="39" t="str">
        <f t="shared" si="49"/>
        <v/>
      </c>
      <c r="AI166" s="74" t="str">
        <f t="shared" si="50"/>
        <v/>
      </c>
      <c r="AR166" s="176"/>
      <c r="AT166" s="130" t="str">
        <f t="shared" si="61"/>
        <v/>
      </c>
      <c r="AU166" s="39" t="str">
        <f t="shared" si="62"/>
        <v/>
      </c>
      <c r="AV166" s="74" t="str">
        <f t="shared" si="63"/>
        <v/>
      </c>
      <c r="BC166" s="176"/>
      <c r="BE166" s="130" t="str">
        <f t="shared" si="64"/>
        <v/>
      </c>
      <c r="BF166" s="39" t="str">
        <f>IF(AND(Include_study?="Yes",Sufficient_data="Yes"),NORMSINV(Calculations!IW166),"")</f>
        <v/>
      </c>
      <c r="BG166" s="74" t="str">
        <f t="shared" si="65"/>
        <v/>
      </c>
      <c r="BP166" s="176"/>
      <c r="BT166" s="176"/>
    </row>
    <row r="167" spans="4:72" x14ac:dyDescent="0.2">
      <c r="D167" s="84" t="str">
        <f t="shared" si="56"/>
        <v/>
      </c>
      <c r="E167" s="132" t="str">
        <f t="shared" si="57"/>
        <v/>
      </c>
      <c r="F167" s="39" t="str">
        <f t="shared" si="58"/>
        <v/>
      </c>
      <c r="M167" s="176"/>
      <c r="T167" s="176"/>
      <c r="V167" s="130" t="str">
        <f t="shared" si="59"/>
        <v/>
      </c>
      <c r="W167" s="74" t="str">
        <f>IF(AND(Include_study?="Yes",Sufficient_data="Yes"),((E:E-I$29)*SQRT(Calculations!FU:FU))/SQRT(1-Calculations!FU:FU/SUM(Calculations!FU:FU)),"")</f>
        <v/>
      </c>
      <c r="AE167" s="176"/>
      <c r="AG167" s="130" t="str">
        <f t="shared" si="60"/>
        <v/>
      </c>
      <c r="AH167" s="39" t="str">
        <f t="shared" si="49"/>
        <v/>
      </c>
      <c r="AI167" s="74" t="str">
        <f t="shared" si="50"/>
        <v/>
      </c>
      <c r="AR167" s="176"/>
      <c r="AT167" s="130" t="str">
        <f t="shared" si="61"/>
        <v/>
      </c>
      <c r="AU167" s="39" t="str">
        <f t="shared" si="62"/>
        <v/>
      </c>
      <c r="AV167" s="74" t="str">
        <f t="shared" si="63"/>
        <v/>
      </c>
      <c r="BC167" s="176"/>
      <c r="BE167" s="130" t="str">
        <f t="shared" si="64"/>
        <v/>
      </c>
      <c r="BF167" s="39" t="str">
        <f>IF(AND(Include_study?="Yes",Sufficient_data="Yes"),NORMSINV(Calculations!IW167),"")</f>
        <v/>
      </c>
      <c r="BG167" s="74" t="str">
        <f t="shared" si="65"/>
        <v/>
      </c>
      <c r="BP167" s="176"/>
      <c r="BT167" s="176"/>
    </row>
    <row r="168" spans="4:72" x14ac:dyDescent="0.2">
      <c r="D168" s="84" t="str">
        <f t="shared" si="56"/>
        <v/>
      </c>
      <c r="E168" s="132" t="str">
        <f t="shared" si="57"/>
        <v/>
      </c>
      <c r="F168" s="39" t="str">
        <f t="shared" si="58"/>
        <v/>
      </c>
      <c r="M168" s="176"/>
      <c r="T168" s="176"/>
      <c r="V168" s="130" t="str">
        <f t="shared" si="59"/>
        <v/>
      </c>
      <c r="W168" s="74" t="str">
        <f>IF(AND(Include_study?="Yes",Sufficient_data="Yes"),((E:E-I$29)*SQRT(Calculations!FU:FU))/SQRT(1-Calculations!FU:FU/SUM(Calculations!FU:FU)),"")</f>
        <v/>
      </c>
      <c r="AE168" s="176"/>
      <c r="AG168" s="130" t="str">
        <f t="shared" si="60"/>
        <v/>
      </c>
      <c r="AH168" s="39" t="str">
        <f t="shared" si="49"/>
        <v/>
      </c>
      <c r="AI168" s="74" t="str">
        <f t="shared" si="50"/>
        <v/>
      </c>
      <c r="AR168" s="176"/>
      <c r="AT168" s="130" t="str">
        <f t="shared" si="61"/>
        <v/>
      </c>
      <c r="AU168" s="39" t="str">
        <f t="shared" si="62"/>
        <v/>
      </c>
      <c r="AV168" s="74" t="str">
        <f t="shared" si="63"/>
        <v/>
      </c>
      <c r="BC168" s="176"/>
      <c r="BE168" s="130" t="str">
        <f t="shared" si="64"/>
        <v/>
      </c>
      <c r="BF168" s="39" t="str">
        <f>IF(AND(Include_study?="Yes",Sufficient_data="Yes"),NORMSINV(Calculations!IW168),"")</f>
        <v/>
      </c>
      <c r="BG168" s="74" t="str">
        <f t="shared" si="65"/>
        <v/>
      </c>
      <c r="BP168" s="176"/>
      <c r="BT168" s="176"/>
    </row>
    <row r="169" spans="4:72" x14ac:dyDescent="0.2">
      <c r="D169" s="84" t="str">
        <f t="shared" si="56"/>
        <v/>
      </c>
      <c r="E169" s="132" t="str">
        <f t="shared" si="57"/>
        <v/>
      </c>
      <c r="F169" s="39" t="str">
        <f t="shared" si="58"/>
        <v/>
      </c>
      <c r="M169" s="176"/>
      <c r="T169" s="176"/>
      <c r="V169" s="130" t="str">
        <f t="shared" si="59"/>
        <v/>
      </c>
      <c r="W169" s="74" t="str">
        <f>IF(AND(Include_study?="Yes",Sufficient_data="Yes"),((E:E-I$29)*SQRT(Calculations!FU:FU))/SQRT(1-Calculations!FU:FU/SUM(Calculations!FU:FU)),"")</f>
        <v/>
      </c>
      <c r="AE169" s="176"/>
      <c r="AG169" s="130" t="str">
        <f t="shared" si="60"/>
        <v/>
      </c>
      <c r="AH169" s="39" t="str">
        <f t="shared" si="49"/>
        <v/>
      </c>
      <c r="AI169" s="74" t="str">
        <f t="shared" si="50"/>
        <v/>
      </c>
      <c r="AR169" s="176"/>
      <c r="AT169" s="130" t="str">
        <f t="shared" si="61"/>
        <v/>
      </c>
      <c r="AU169" s="39" t="str">
        <f t="shared" si="62"/>
        <v/>
      </c>
      <c r="AV169" s="74" t="str">
        <f t="shared" si="63"/>
        <v/>
      </c>
      <c r="BC169" s="176"/>
      <c r="BE169" s="130" t="str">
        <f t="shared" si="64"/>
        <v/>
      </c>
      <c r="BF169" s="39" t="str">
        <f>IF(AND(Include_study?="Yes",Sufficient_data="Yes"),NORMSINV(Calculations!IW169),"")</f>
        <v/>
      </c>
      <c r="BG169" s="74" t="str">
        <f t="shared" si="65"/>
        <v/>
      </c>
      <c r="BP169" s="176"/>
      <c r="BT169" s="176"/>
    </row>
    <row r="170" spans="4:72" x14ac:dyDescent="0.2">
      <c r="D170" s="84" t="str">
        <f t="shared" si="56"/>
        <v/>
      </c>
      <c r="E170" s="132" t="str">
        <f t="shared" si="57"/>
        <v/>
      </c>
      <c r="F170" s="39" t="str">
        <f t="shared" si="58"/>
        <v/>
      </c>
      <c r="M170" s="176"/>
      <c r="T170" s="176"/>
      <c r="V170" s="130" t="str">
        <f t="shared" si="59"/>
        <v/>
      </c>
      <c r="W170" s="74" t="str">
        <f>IF(AND(Include_study?="Yes",Sufficient_data="Yes"),((E:E-I$29)*SQRT(Calculations!FU:FU))/SQRT(1-Calculations!FU:FU/SUM(Calculations!FU:FU)),"")</f>
        <v/>
      </c>
      <c r="AE170" s="176"/>
      <c r="AG170" s="130" t="str">
        <f t="shared" si="60"/>
        <v/>
      </c>
      <c r="AH170" s="39" t="str">
        <f t="shared" si="49"/>
        <v/>
      </c>
      <c r="AI170" s="74" t="str">
        <f t="shared" si="50"/>
        <v/>
      </c>
      <c r="AR170" s="176"/>
      <c r="AT170" s="130" t="str">
        <f t="shared" si="61"/>
        <v/>
      </c>
      <c r="AU170" s="39" t="str">
        <f t="shared" si="62"/>
        <v/>
      </c>
      <c r="AV170" s="74" t="str">
        <f t="shared" si="63"/>
        <v/>
      </c>
      <c r="BC170" s="176"/>
      <c r="BE170" s="130" t="str">
        <f t="shared" si="64"/>
        <v/>
      </c>
      <c r="BF170" s="39" t="str">
        <f>IF(AND(Include_study?="Yes",Sufficient_data="Yes"),NORMSINV(Calculations!IW170),"")</f>
        <v/>
      </c>
      <c r="BG170" s="74" t="str">
        <f t="shared" si="65"/>
        <v/>
      </c>
      <c r="BP170" s="176"/>
      <c r="BT170" s="176"/>
    </row>
    <row r="171" spans="4:72" x14ac:dyDescent="0.2">
      <c r="D171" s="84" t="str">
        <f t="shared" si="56"/>
        <v/>
      </c>
      <c r="E171" s="132" t="str">
        <f t="shared" si="57"/>
        <v/>
      </c>
      <c r="F171" s="39" t="str">
        <f t="shared" si="58"/>
        <v/>
      </c>
      <c r="M171" s="176"/>
      <c r="T171" s="176"/>
      <c r="V171" s="130" t="str">
        <f t="shared" si="59"/>
        <v/>
      </c>
      <c r="W171" s="74" t="str">
        <f>IF(AND(Include_study?="Yes",Sufficient_data="Yes"),((E:E-I$29)*SQRT(Calculations!FU:FU))/SQRT(1-Calculations!FU:FU/SUM(Calculations!FU:FU)),"")</f>
        <v/>
      </c>
      <c r="AE171" s="176"/>
      <c r="AG171" s="130" t="str">
        <f t="shared" si="60"/>
        <v/>
      </c>
      <c r="AH171" s="39" t="str">
        <f t="shared" si="49"/>
        <v/>
      </c>
      <c r="AI171" s="74" t="str">
        <f t="shared" si="50"/>
        <v/>
      </c>
      <c r="AR171" s="176"/>
      <c r="AT171" s="130" t="str">
        <f t="shared" si="61"/>
        <v/>
      </c>
      <c r="AU171" s="39" t="str">
        <f t="shared" si="62"/>
        <v/>
      </c>
      <c r="AV171" s="74" t="str">
        <f t="shared" si="63"/>
        <v/>
      </c>
      <c r="BC171" s="176"/>
      <c r="BE171" s="130" t="str">
        <f t="shared" si="64"/>
        <v/>
      </c>
      <c r="BF171" s="39" t="str">
        <f>IF(AND(Include_study?="Yes",Sufficient_data="Yes"),NORMSINV(Calculations!IW171),"")</f>
        <v/>
      </c>
      <c r="BG171" s="74" t="str">
        <f t="shared" si="65"/>
        <v/>
      </c>
      <c r="BP171" s="176"/>
      <c r="BT171" s="176"/>
    </row>
    <row r="172" spans="4:72" x14ac:dyDescent="0.2">
      <c r="D172" s="84" t="str">
        <f t="shared" si="56"/>
        <v/>
      </c>
      <c r="E172" s="132" t="str">
        <f t="shared" si="57"/>
        <v/>
      </c>
      <c r="F172" s="39" t="str">
        <f t="shared" si="58"/>
        <v/>
      </c>
      <c r="M172" s="176"/>
      <c r="T172" s="176"/>
      <c r="V172" s="130" t="str">
        <f t="shared" si="59"/>
        <v/>
      </c>
      <c r="W172" s="74" t="str">
        <f>IF(AND(Include_study?="Yes",Sufficient_data="Yes"),((E:E-I$29)*SQRT(Calculations!FU:FU))/SQRT(1-Calculations!FU:FU/SUM(Calculations!FU:FU)),"")</f>
        <v/>
      </c>
      <c r="AE172" s="176"/>
      <c r="AG172" s="130" t="str">
        <f t="shared" si="60"/>
        <v/>
      </c>
      <c r="AH172" s="39" t="str">
        <f t="shared" si="49"/>
        <v/>
      </c>
      <c r="AI172" s="74" t="str">
        <f t="shared" si="50"/>
        <v/>
      </c>
      <c r="AR172" s="176"/>
      <c r="AT172" s="130" t="str">
        <f t="shared" si="61"/>
        <v/>
      </c>
      <c r="AU172" s="39" t="str">
        <f t="shared" si="62"/>
        <v/>
      </c>
      <c r="AV172" s="74" t="str">
        <f t="shared" si="63"/>
        <v/>
      </c>
      <c r="BC172" s="176"/>
      <c r="BE172" s="130" t="str">
        <f t="shared" si="64"/>
        <v/>
      </c>
      <c r="BF172" s="39" t="str">
        <f>IF(AND(Include_study?="Yes",Sufficient_data="Yes"),NORMSINV(Calculations!IW172),"")</f>
        <v/>
      </c>
      <c r="BG172" s="74" t="str">
        <f t="shared" si="65"/>
        <v/>
      </c>
      <c r="BP172" s="176"/>
      <c r="BT172" s="176"/>
    </row>
    <row r="173" spans="4:72" x14ac:dyDescent="0.2">
      <c r="D173" s="84" t="str">
        <f t="shared" si="56"/>
        <v/>
      </c>
      <c r="E173" s="132" t="str">
        <f t="shared" si="57"/>
        <v/>
      </c>
      <c r="F173" s="39" t="str">
        <f t="shared" si="58"/>
        <v/>
      </c>
      <c r="M173" s="176"/>
      <c r="T173" s="176"/>
      <c r="V173" s="130" t="str">
        <f t="shared" si="59"/>
        <v/>
      </c>
      <c r="W173" s="74" t="str">
        <f>IF(AND(Include_study?="Yes",Sufficient_data="Yes"),((E:E-I$29)*SQRT(Calculations!FU:FU))/SQRT(1-Calculations!FU:FU/SUM(Calculations!FU:FU)),"")</f>
        <v/>
      </c>
      <c r="AE173" s="176"/>
      <c r="AG173" s="130" t="str">
        <f t="shared" si="60"/>
        <v/>
      </c>
      <c r="AH173" s="39" t="str">
        <f t="shared" si="49"/>
        <v/>
      </c>
      <c r="AI173" s="74" t="str">
        <f t="shared" si="50"/>
        <v/>
      </c>
      <c r="AR173" s="176"/>
      <c r="AT173" s="130" t="str">
        <f t="shared" si="61"/>
        <v/>
      </c>
      <c r="AU173" s="39" t="str">
        <f t="shared" si="62"/>
        <v/>
      </c>
      <c r="AV173" s="74" t="str">
        <f t="shared" si="63"/>
        <v/>
      </c>
      <c r="BC173" s="176"/>
      <c r="BE173" s="130" t="str">
        <f t="shared" si="64"/>
        <v/>
      </c>
      <c r="BF173" s="39" t="str">
        <f>IF(AND(Include_study?="Yes",Sufficient_data="Yes"),NORMSINV(Calculations!IW173),"")</f>
        <v/>
      </c>
      <c r="BG173" s="74" t="str">
        <f t="shared" si="65"/>
        <v/>
      </c>
      <c r="BP173" s="176"/>
      <c r="BT173" s="176"/>
    </row>
    <row r="174" spans="4:72" x14ac:dyDescent="0.2">
      <c r="D174" s="84" t="str">
        <f t="shared" si="56"/>
        <v/>
      </c>
      <c r="E174" s="132" t="str">
        <f t="shared" si="57"/>
        <v/>
      </c>
      <c r="F174" s="39" t="str">
        <f t="shared" si="58"/>
        <v/>
      </c>
      <c r="M174" s="176"/>
      <c r="T174" s="176"/>
      <c r="V174" s="130" t="str">
        <f t="shared" si="59"/>
        <v/>
      </c>
      <c r="W174" s="74" t="str">
        <f>IF(AND(Include_study?="Yes",Sufficient_data="Yes"),((E:E-I$29)*SQRT(Calculations!FU:FU))/SQRT(1-Calculations!FU:FU/SUM(Calculations!FU:FU)),"")</f>
        <v/>
      </c>
      <c r="AE174" s="176"/>
      <c r="AG174" s="130" t="str">
        <f t="shared" si="60"/>
        <v/>
      </c>
      <c r="AH174" s="39" t="str">
        <f t="shared" si="49"/>
        <v/>
      </c>
      <c r="AI174" s="74" t="str">
        <f t="shared" si="50"/>
        <v/>
      </c>
      <c r="AR174" s="176"/>
      <c r="AT174" s="130" t="str">
        <f t="shared" si="61"/>
        <v/>
      </c>
      <c r="AU174" s="39" t="str">
        <f t="shared" si="62"/>
        <v/>
      </c>
      <c r="AV174" s="74" t="str">
        <f t="shared" si="63"/>
        <v/>
      </c>
      <c r="BC174" s="176"/>
      <c r="BE174" s="130" t="str">
        <f t="shared" si="64"/>
        <v/>
      </c>
      <c r="BF174" s="39" t="str">
        <f>IF(AND(Include_study?="Yes",Sufficient_data="Yes"),NORMSINV(Calculations!IW174),"")</f>
        <v/>
      </c>
      <c r="BG174" s="74" t="str">
        <f t="shared" si="65"/>
        <v/>
      </c>
      <c r="BP174" s="176"/>
      <c r="BT174" s="176"/>
    </row>
    <row r="175" spans="4:72" x14ac:dyDescent="0.2">
      <c r="D175" s="84" t="str">
        <f t="shared" si="56"/>
        <v/>
      </c>
      <c r="E175" s="132" t="str">
        <f t="shared" si="57"/>
        <v/>
      </c>
      <c r="F175" s="39" t="str">
        <f t="shared" si="58"/>
        <v/>
      </c>
      <c r="M175" s="176"/>
      <c r="T175" s="176"/>
      <c r="V175" s="130" t="str">
        <f t="shared" si="59"/>
        <v/>
      </c>
      <c r="W175" s="74" t="str">
        <f>IF(AND(Include_study?="Yes",Sufficient_data="Yes"),((E:E-I$29)*SQRT(Calculations!FU:FU))/SQRT(1-Calculations!FU:FU/SUM(Calculations!FU:FU)),"")</f>
        <v/>
      </c>
      <c r="AE175" s="176"/>
      <c r="AG175" s="130" t="str">
        <f t="shared" si="60"/>
        <v/>
      </c>
      <c r="AH175" s="39" t="str">
        <f t="shared" si="49"/>
        <v/>
      </c>
      <c r="AI175" s="74" t="str">
        <f t="shared" si="50"/>
        <v/>
      </c>
      <c r="AR175" s="176"/>
      <c r="AT175" s="130" t="str">
        <f t="shared" si="61"/>
        <v/>
      </c>
      <c r="AU175" s="39" t="str">
        <f t="shared" si="62"/>
        <v/>
      </c>
      <c r="AV175" s="74" t="str">
        <f t="shared" si="63"/>
        <v/>
      </c>
      <c r="BC175" s="176"/>
      <c r="BE175" s="130" t="str">
        <f t="shared" si="64"/>
        <v/>
      </c>
      <c r="BF175" s="39" t="str">
        <f>IF(AND(Include_study?="Yes",Sufficient_data="Yes"),NORMSINV(Calculations!IW175),"")</f>
        <v/>
      </c>
      <c r="BG175" s="74" t="str">
        <f t="shared" si="65"/>
        <v/>
      </c>
      <c r="BP175" s="176"/>
      <c r="BT175" s="176"/>
    </row>
    <row r="176" spans="4:72" x14ac:dyDescent="0.2">
      <c r="D176" s="84" t="str">
        <f t="shared" si="56"/>
        <v/>
      </c>
      <c r="E176" s="132" t="str">
        <f t="shared" si="57"/>
        <v/>
      </c>
      <c r="F176" s="39" t="str">
        <f t="shared" si="58"/>
        <v/>
      </c>
      <c r="M176" s="176"/>
      <c r="T176" s="176"/>
      <c r="V176" s="130" t="str">
        <f t="shared" si="59"/>
        <v/>
      </c>
      <c r="W176" s="74" t="str">
        <f>IF(AND(Include_study?="Yes",Sufficient_data="Yes"),((E:E-I$29)*SQRT(Calculations!FU:FU))/SQRT(1-Calculations!FU:FU/SUM(Calculations!FU:FU)),"")</f>
        <v/>
      </c>
      <c r="AE176" s="176"/>
      <c r="AG176" s="130" t="str">
        <f t="shared" si="60"/>
        <v/>
      </c>
      <c r="AH176" s="39" t="str">
        <f t="shared" si="49"/>
        <v/>
      </c>
      <c r="AI176" s="74" t="str">
        <f t="shared" si="50"/>
        <v/>
      </c>
      <c r="AR176" s="176"/>
      <c r="AT176" s="130" t="str">
        <f t="shared" si="61"/>
        <v/>
      </c>
      <c r="AU176" s="39" t="str">
        <f t="shared" si="62"/>
        <v/>
      </c>
      <c r="AV176" s="74" t="str">
        <f t="shared" si="63"/>
        <v/>
      </c>
      <c r="BC176" s="176"/>
      <c r="BE176" s="130" t="str">
        <f t="shared" si="64"/>
        <v/>
      </c>
      <c r="BF176" s="39" t="str">
        <f>IF(AND(Include_study?="Yes",Sufficient_data="Yes"),NORMSINV(Calculations!IW176),"")</f>
        <v/>
      </c>
      <c r="BG176" s="74" t="str">
        <f t="shared" si="65"/>
        <v/>
      </c>
      <c r="BP176" s="176"/>
      <c r="BT176" s="176"/>
    </row>
    <row r="177" spans="4:72" x14ac:dyDescent="0.2">
      <c r="D177" s="84" t="str">
        <f t="shared" si="56"/>
        <v/>
      </c>
      <c r="E177" s="132" t="str">
        <f t="shared" si="57"/>
        <v/>
      </c>
      <c r="F177" s="39" t="str">
        <f t="shared" si="58"/>
        <v/>
      </c>
      <c r="M177" s="176"/>
      <c r="T177" s="176"/>
      <c r="V177" s="130" t="str">
        <f t="shared" si="59"/>
        <v/>
      </c>
      <c r="W177" s="74" t="str">
        <f>IF(AND(Include_study?="Yes",Sufficient_data="Yes"),((E:E-I$29)*SQRT(Calculations!FU:FU))/SQRT(1-Calculations!FU:FU/SUM(Calculations!FU:FU)),"")</f>
        <v/>
      </c>
      <c r="AE177" s="176"/>
      <c r="AG177" s="130" t="str">
        <f t="shared" si="60"/>
        <v/>
      </c>
      <c r="AH177" s="39" t="str">
        <f t="shared" si="49"/>
        <v/>
      </c>
      <c r="AI177" s="74" t="str">
        <f t="shared" si="50"/>
        <v/>
      </c>
      <c r="AR177" s="176"/>
      <c r="AT177" s="130" t="str">
        <f t="shared" si="61"/>
        <v/>
      </c>
      <c r="AU177" s="39" t="str">
        <f t="shared" si="62"/>
        <v/>
      </c>
      <c r="AV177" s="74" t="str">
        <f t="shared" si="63"/>
        <v/>
      </c>
      <c r="BC177" s="176"/>
      <c r="BE177" s="130" t="str">
        <f t="shared" si="64"/>
        <v/>
      </c>
      <c r="BF177" s="39" t="str">
        <f>IF(AND(Include_study?="Yes",Sufficient_data="Yes"),NORMSINV(Calculations!IW177),"")</f>
        <v/>
      </c>
      <c r="BG177" s="74" t="str">
        <f t="shared" si="65"/>
        <v/>
      </c>
      <c r="BP177" s="176"/>
      <c r="BT177" s="176"/>
    </row>
    <row r="178" spans="4:72" x14ac:dyDescent="0.2">
      <c r="D178" s="84" t="str">
        <f t="shared" si="56"/>
        <v/>
      </c>
      <c r="E178" s="132" t="str">
        <f t="shared" si="57"/>
        <v/>
      </c>
      <c r="F178" s="39" t="str">
        <f t="shared" si="58"/>
        <v/>
      </c>
      <c r="M178" s="176"/>
      <c r="T178" s="176"/>
      <c r="V178" s="130" t="str">
        <f t="shared" si="59"/>
        <v/>
      </c>
      <c r="W178" s="74" t="str">
        <f>IF(AND(Include_study?="Yes",Sufficient_data="Yes"),((E:E-I$29)*SQRT(Calculations!FU:FU))/SQRT(1-Calculations!FU:FU/SUM(Calculations!FU:FU)),"")</f>
        <v/>
      </c>
      <c r="AE178" s="176"/>
      <c r="AG178" s="130" t="str">
        <f t="shared" si="60"/>
        <v/>
      </c>
      <c r="AH178" s="39" t="str">
        <f t="shared" si="49"/>
        <v/>
      </c>
      <c r="AI178" s="74" t="str">
        <f t="shared" si="50"/>
        <v/>
      </c>
      <c r="AR178" s="176"/>
      <c r="AT178" s="130" t="str">
        <f t="shared" si="61"/>
        <v/>
      </c>
      <c r="AU178" s="39" t="str">
        <f t="shared" si="62"/>
        <v/>
      </c>
      <c r="AV178" s="74" t="str">
        <f t="shared" si="63"/>
        <v/>
      </c>
      <c r="BC178" s="176"/>
      <c r="BE178" s="130" t="str">
        <f t="shared" si="64"/>
        <v/>
      </c>
      <c r="BF178" s="39" t="str">
        <f>IF(AND(Include_study?="Yes",Sufficient_data="Yes"),NORMSINV(Calculations!IW178),"")</f>
        <v/>
      </c>
      <c r="BG178" s="74" t="str">
        <f t="shared" si="65"/>
        <v/>
      </c>
      <c r="BP178" s="176"/>
      <c r="BT178" s="176"/>
    </row>
    <row r="179" spans="4:72" x14ac:dyDescent="0.2">
      <c r="D179" s="84" t="str">
        <f t="shared" si="56"/>
        <v/>
      </c>
      <c r="E179" s="132" t="str">
        <f t="shared" si="57"/>
        <v/>
      </c>
      <c r="F179" s="39" t="str">
        <f t="shared" si="58"/>
        <v/>
      </c>
      <c r="M179" s="176"/>
      <c r="T179" s="176"/>
      <c r="V179" s="130" t="str">
        <f t="shared" si="59"/>
        <v/>
      </c>
      <c r="W179" s="74" t="str">
        <f>IF(AND(Include_study?="Yes",Sufficient_data="Yes"),((E:E-I$29)*SQRT(Calculations!FU:FU))/SQRT(1-Calculations!FU:FU/SUM(Calculations!FU:FU)),"")</f>
        <v/>
      </c>
      <c r="AE179" s="176"/>
      <c r="AG179" s="130" t="str">
        <f t="shared" si="60"/>
        <v/>
      </c>
      <c r="AH179" s="39" t="str">
        <f t="shared" si="49"/>
        <v/>
      </c>
      <c r="AI179" s="74" t="str">
        <f t="shared" si="50"/>
        <v/>
      </c>
      <c r="AR179" s="176"/>
      <c r="AT179" s="130" t="str">
        <f t="shared" si="61"/>
        <v/>
      </c>
      <c r="AU179" s="39" t="str">
        <f t="shared" si="62"/>
        <v/>
      </c>
      <c r="AV179" s="74" t="str">
        <f t="shared" si="63"/>
        <v/>
      </c>
      <c r="BC179" s="176"/>
      <c r="BE179" s="130" t="str">
        <f t="shared" si="64"/>
        <v/>
      </c>
      <c r="BF179" s="39" t="str">
        <f>IF(AND(Include_study?="Yes",Sufficient_data="Yes"),NORMSINV(Calculations!IW179),"")</f>
        <v/>
      </c>
      <c r="BG179" s="74" t="str">
        <f t="shared" si="65"/>
        <v/>
      </c>
      <c r="BP179" s="176"/>
      <c r="BT179" s="176"/>
    </row>
    <row r="180" spans="4:72" x14ac:dyDescent="0.2">
      <c r="D180" s="84" t="str">
        <f t="shared" si="56"/>
        <v/>
      </c>
      <c r="E180" s="132" t="str">
        <f t="shared" si="57"/>
        <v/>
      </c>
      <c r="F180" s="39" t="str">
        <f t="shared" si="58"/>
        <v/>
      </c>
      <c r="M180" s="176"/>
      <c r="T180" s="176"/>
      <c r="V180" s="130" t="str">
        <f t="shared" si="59"/>
        <v/>
      </c>
      <c r="W180" s="74" t="str">
        <f>IF(AND(Include_study?="Yes",Sufficient_data="Yes"),((E:E-I$29)*SQRT(Calculations!FU:FU))/SQRT(1-Calculations!FU:FU/SUM(Calculations!FU:FU)),"")</f>
        <v/>
      </c>
      <c r="AE180" s="176"/>
      <c r="AG180" s="130" t="str">
        <f t="shared" si="60"/>
        <v/>
      </c>
      <c r="AH180" s="39" t="str">
        <f t="shared" si="49"/>
        <v/>
      </c>
      <c r="AI180" s="74" t="str">
        <f t="shared" si="50"/>
        <v/>
      </c>
      <c r="AR180" s="176"/>
      <c r="AT180" s="130" t="str">
        <f t="shared" si="61"/>
        <v/>
      </c>
      <c r="AU180" s="39" t="str">
        <f t="shared" si="62"/>
        <v/>
      </c>
      <c r="AV180" s="74" t="str">
        <f t="shared" si="63"/>
        <v/>
      </c>
      <c r="BC180" s="176"/>
      <c r="BE180" s="130" t="str">
        <f t="shared" si="64"/>
        <v/>
      </c>
      <c r="BF180" s="39" t="str">
        <f>IF(AND(Include_study?="Yes",Sufficient_data="Yes"),NORMSINV(Calculations!IW180),"")</f>
        <v/>
      </c>
      <c r="BG180" s="74" t="str">
        <f t="shared" si="65"/>
        <v/>
      </c>
      <c r="BP180" s="176"/>
      <c r="BT180" s="176"/>
    </row>
    <row r="181" spans="4:72" x14ac:dyDescent="0.2">
      <c r="D181" s="84" t="str">
        <f t="shared" si="56"/>
        <v/>
      </c>
      <c r="E181" s="132" t="str">
        <f t="shared" si="57"/>
        <v/>
      </c>
      <c r="F181" s="39" t="str">
        <f t="shared" si="58"/>
        <v/>
      </c>
      <c r="M181" s="176"/>
      <c r="T181" s="176"/>
      <c r="V181" s="130" t="str">
        <f t="shared" si="59"/>
        <v/>
      </c>
      <c r="W181" s="74" t="str">
        <f>IF(AND(Include_study?="Yes",Sufficient_data="Yes"),((E:E-I$29)*SQRT(Calculations!FU:FU))/SQRT(1-Calculations!FU:FU/SUM(Calculations!FU:FU)),"")</f>
        <v/>
      </c>
      <c r="AE181" s="176"/>
      <c r="AG181" s="130" t="str">
        <f t="shared" si="60"/>
        <v/>
      </c>
      <c r="AH181" s="39" t="str">
        <f t="shared" si="49"/>
        <v/>
      </c>
      <c r="AI181" s="74" t="str">
        <f t="shared" si="50"/>
        <v/>
      </c>
      <c r="AR181" s="176"/>
      <c r="AT181" s="130" t="str">
        <f t="shared" si="61"/>
        <v/>
      </c>
      <c r="AU181" s="39" t="str">
        <f t="shared" si="62"/>
        <v/>
      </c>
      <c r="AV181" s="74" t="str">
        <f t="shared" si="63"/>
        <v/>
      </c>
      <c r="BC181" s="176"/>
      <c r="BE181" s="130" t="str">
        <f t="shared" si="64"/>
        <v/>
      </c>
      <c r="BF181" s="39" t="str">
        <f>IF(AND(Include_study?="Yes",Sufficient_data="Yes"),NORMSINV(Calculations!IW181),"")</f>
        <v/>
      </c>
      <c r="BG181" s="74" t="str">
        <f t="shared" si="65"/>
        <v/>
      </c>
      <c r="BP181" s="176"/>
      <c r="BT181" s="176"/>
    </row>
    <row r="182" spans="4:72" x14ac:dyDescent="0.2">
      <c r="D182" s="84" t="str">
        <f t="shared" si="56"/>
        <v/>
      </c>
      <c r="E182" s="132" t="str">
        <f t="shared" si="57"/>
        <v/>
      </c>
      <c r="F182" s="39" t="str">
        <f t="shared" si="58"/>
        <v/>
      </c>
      <c r="M182" s="176"/>
      <c r="T182" s="176"/>
      <c r="V182" s="130" t="str">
        <f t="shared" si="59"/>
        <v/>
      </c>
      <c r="W182" s="74" t="str">
        <f>IF(AND(Include_study?="Yes",Sufficient_data="Yes"),((E:E-I$29)*SQRT(Calculations!FU:FU))/SQRT(1-Calculations!FU:FU/SUM(Calculations!FU:FU)),"")</f>
        <v/>
      </c>
      <c r="AE182" s="176"/>
      <c r="AG182" s="130" t="str">
        <f t="shared" si="60"/>
        <v/>
      </c>
      <c r="AH182" s="39" t="str">
        <f t="shared" si="49"/>
        <v/>
      </c>
      <c r="AI182" s="74" t="str">
        <f t="shared" si="50"/>
        <v/>
      </c>
      <c r="AR182" s="176"/>
      <c r="AT182" s="130" t="str">
        <f t="shared" si="61"/>
        <v/>
      </c>
      <c r="AU182" s="39" t="str">
        <f t="shared" si="62"/>
        <v/>
      </c>
      <c r="AV182" s="74" t="str">
        <f t="shared" si="63"/>
        <v/>
      </c>
      <c r="BC182" s="176"/>
      <c r="BE182" s="130" t="str">
        <f t="shared" si="64"/>
        <v/>
      </c>
      <c r="BF182" s="39" t="str">
        <f>IF(AND(Include_study?="Yes",Sufficient_data="Yes"),NORMSINV(Calculations!IW182),"")</f>
        <v/>
      </c>
      <c r="BG182" s="74" t="str">
        <f t="shared" si="65"/>
        <v/>
      </c>
      <c r="BP182" s="176"/>
      <c r="BT182" s="176"/>
    </row>
    <row r="183" spans="4:72" x14ac:dyDescent="0.2">
      <c r="D183" s="84" t="str">
        <f t="shared" si="56"/>
        <v/>
      </c>
      <c r="E183" s="132" t="str">
        <f t="shared" si="57"/>
        <v/>
      </c>
      <c r="F183" s="39" t="str">
        <f t="shared" si="58"/>
        <v/>
      </c>
      <c r="M183" s="176"/>
      <c r="T183" s="176"/>
      <c r="V183" s="130" t="str">
        <f t="shared" si="59"/>
        <v/>
      </c>
      <c r="W183" s="74" t="str">
        <f>IF(AND(Include_study?="Yes",Sufficient_data="Yes"),((E:E-I$29)*SQRT(Calculations!FU:FU))/SQRT(1-Calculations!FU:FU/SUM(Calculations!FU:FU)),"")</f>
        <v/>
      </c>
      <c r="AE183" s="176"/>
      <c r="AG183" s="130" t="str">
        <f t="shared" si="60"/>
        <v/>
      </c>
      <c r="AH183" s="39" t="str">
        <f t="shared" si="49"/>
        <v/>
      </c>
      <c r="AI183" s="74" t="str">
        <f t="shared" si="50"/>
        <v/>
      </c>
      <c r="AR183" s="176"/>
      <c r="AT183" s="130" t="str">
        <f t="shared" si="61"/>
        <v/>
      </c>
      <c r="AU183" s="39" t="str">
        <f t="shared" si="62"/>
        <v/>
      </c>
      <c r="AV183" s="74" t="str">
        <f t="shared" si="63"/>
        <v/>
      </c>
      <c r="BC183" s="176"/>
      <c r="BE183" s="130" t="str">
        <f t="shared" si="64"/>
        <v/>
      </c>
      <c r="BF183" s="39" t="str">
        <f>IF(AND(Include_study?="Yes",Sufficient_data="Yes"),NORMSINV(Calculations!IW183),"")</f>
        <v/>
      </c>
      <c r="BG183" s="74" t="str">
        <f t="shared" si="65"/>
        <v/>
      </c>
      <c r="BP183" s="176"/>
      <c r="BT183" s="176"/>
    </row>
    <row r="184" spans="4:72" x14ac:dyDescent="0.2">
      <c r="D184" s="84" t="str">
        <f t="shared" si="56"/>
        <v/>
      </c>
      <c r="E184" s="132" t="str">
        <f t="shared" si="57"/>
        <v/>
      </c>
      <c r="F184" s="39" t="str">
        <f t="shared" si="58"/>
        <v/>
      </c>
      <c r="M184" s="176"/>
      <c r="T184" s="176"/>
      <c r="V184" s="130" t="str">
        <f t="shared" si="59"/>
        <v/>
      </c>
      <c r="W184" s="74" t="str">
        <f>IF(AND(Include_study?="Yes",Sufficient_data="Yes"),((E:E-I$29)*SQRT(Calculations!FU:FU))/SQRT(1-Calculations!FU:FU/SUM(Calculations!FU:FU)),"")</f>
        <v/>
      </c>
      <c r="AE184" s="176"/>
      <c r="AG184" s="130" t="str">
        <f t="shared" si="60"/>
        <v/>
      </c>
      <c r="AH184" s="39" t="str">
        <f t="shared" si="49"/>
        <v/>
      </c>
      <c r="AI184" s="74" t="str">
        <f t="shared" si="50"/>
        <v/>
      </c>
      <c r="AR184" s="176"/>
      <c r="AT184" s="130" t="str">
        <f t="shared" si="61"/>
        <v/>
      </c>
      <c r="AU184" s="39" t="str">
        <f t="shared" si="62"/>
        <v/>
      </c>
      <c r="AV184" s="74" t="str">
        <f t="shared" si="63"/>
        <v/>
      </c>
      <c r="BC184" s="176"/>
      <c r="BE184" s="130" t="str">
        <f t="shared" si="64"/>
        <v/>
      </c>
      <c r="BF184" s="39" t="str">
        <f>IF(AND(Include_study?="Yes",Sufficient_data="Yes"),NORMSINV(Calculations!IW184),"")</f>
        <v/>
      </c>
      <c r="BG184" s="74" t="str">
        <f t="shared" si="65"/>
        <v/>
      </c>
      <c r="BP184" s="176"/>
      <c r="BT184" s="176"/>
    </row>
    <row r="185" spans="4:72" x14ac:dyDescent="0.2">
      <c r="D185" s="84" t="str">
        <f t="shared" si="56"/>
        <v/>
      </c>
      <c r="E185" s="132" t="str">
        <f t="shared" si="57"/>
        <v/>
      </c>
      <c r="F185" s="39" t="str">
        <f t="shared" si="58"/>
        <v/>
      </c>
      <c r="M185" s="176"/>
      <c r="T185" s="176"/>
      <c r="V185" s="130" t="str">
        <f t="shared" si="59"/>
        <v/>
      </c>
      <c r="W185" s="74" t="str">
        <f>IF(AND(Include_study?="Yes",Sufficient_data="Yes"),((E:E-I$29)*SQRT(Calculations!FU:FU))/SQRT(1-Calculations!FU:FU/SUM(Calculations!FU:FU)),"")</f>
        <v/>
      </c>
      <c r="AE185" s="176"/>
      <c r="AG185" s="130" t="str">
        <f t="shared" si="60"/>
        <v/>
      </c>
      <c r="AH185" s="39" t="str">
        <f t="shared" si="49"/>
        <v/>
      </c>
      <c r="AI185" s="74" t="str">
        <f t="shared" si="50"/>
        <v/>
      </c>
      <c r="AR185" s="176"/>
      <c r="AT185" s="130" t="str">
        <f t="shared" si="61"/>
        <v/>
      </c>
      <c r="AU185" s="39" t="str">
        <f t="shared" si="62"/>
        <v/>
      </c>
      <c r="AV185" s="74" t="str">
        <f t="shared" si="63"/>
        <v/>
      </c>
      <c r="BC185" s="176"/>
      <c r="BE185" s="130" t="str">
        <f t="shared" si="64"/>
        <v/>
      </c>
      <c r="BF185" s="39" t="str">
        <f>IF(AND(Include_study?="Yes",Sufficient_data="Yes"),NORMSINV(Calculations!IW185),"")</f>
        <v/>
      </c>
      <c r="BG185" s="74" t="str">
        <f t="shared" si="65"/>
        <v/>
      </c>
      <c r="BP185" s="176"/>
      <c r="BT185" s="176"/>
    </row>
    <row r="186" spans="4:72" x14ac:dyDescent="0.2">
      <c r="D186" s="84" t="str">
        <f t="shared" si="56"/>
        <v/>
      </c>
      <c r="E186" s="132" t="str">
        <f t="shared" si="57"/>
        <v/>
      </c>
      <c r="F186" s="39" t="str">
        <f t="shared" si="58"/>
        <v/>
      </c>
      <c r="M186" s="176"/>
      <c r="T186" s="176"/>
      <c r="V186" s="130" t="str">
        <f t="shared" si="59"/>
        <v/>
      </c>
      <c r="W186" s="74" t="str">
        <f>IF(AND(Include_study?="Yes",Sufficient_data="Yes"),((E:E-I$29)*SQRT(Calculations!FU:FU))/SQRT(1-Calculations!FU:FU/SUM(Calculations!FU:FU)),"")</f>
        <v/>
      </c>
      <c r="AE186" s="176"/>
      <c r="AG186" s="130" t="str">
        <f t="shared" si="60"/>
        <v/>
      </c>
      <c r="AH186" s="39" t="str">
        <f t="shared" si="49"/>
        <v/>
      </c>
      <c r="AI186" s="74" t="str">
        <f t="shared" si="50"/>
        <v/>
      </c>
      <c r="AR186" s="176"/>
      <c r="AT186" s="130" t="str">
        <f t="shared" si="61"/>
        <v/>
      </c>
      <c r="AU186" s="39" t="str">
        <f t="shared" si="62"/>
        <v/>
      </c>
      <c r="AV186" s="74" t="str">
        <f t="shared" si="63"/>
        <v/>
      </c>
      <c r="BC186" s="176"/>
      <c r="BE186" s="130" t="str">
        <f t="shared" si="64"/>
        <v/>
      </c>
      <c r="BF186" s="39" t="str">
        <f>IF(AND(Include_study?="Yes",Sufficient_data="Yes"),NORMSINV(Calculations!IW186),"")</f>
        <v/>
      </c>
      <c r="BG186" s="74" t="str">
        <f t="shared" si="65"/>
        <v/>
      </c>
      <c r="BP186" s="176"/>
      <c r="BT186" s="176"/>
    </row>
    <row r="187" spans="4:72" x14ac:dyDescent="0.2">
      <c r="D187" s="84" t="str">
        <f t="shared" si="56"/>
        <v/>
      </c>
      <c r="E187" s="132" t="str">
        <f t="shared" si="57"/>
        <v/>
      </c>
      <c r="F187" s="39" t="str">
        <f t="shared" si="58"/>
        <v/>
      </c>
      <c r="M187" s="176"/>
      <c r="T187" s="176"/>
      <c r="V187" s="130" t="str">
        <f t="shared" si="59"/>
        <v/>
      </c>
      <c r="W187" s="74" t="str">
        <f>IF(AND(Include_study?="Yes",Sufficient_data="Yes"),((E:E-I$29)*SQRT(Calculations!FU:FU))/SQRT(1-Calculations!FU:FU/SUM(Calculations!FU:FU)),"")</f>
        <v/>
      </c>
      <c r="AE187" s="176"/>
      <c r="AG187" s="130" t="str">
        <f t="shared" si="60"/>
        <v/>
      </c>
      <c r="AH187" s="39" t="str">
        <f t="shared" si="49"/>
        <v/>
      </c>
      <c r="AI187" s="74" t="str">
        <f t="shared" si="50"/>
        <v/>
      </c>
      <c r="AR187" s="176"/>
      <c r="AT187" s="130" t="str">
        <f t="shared" si="61"/>
        <v/>
      </c>
      <c r="AU187" s="39" t="str">
        <f t="shared" si="62"/>
        <v/>
      </c>
      <c r="AV187" s="74" t="str">
        <f t="shared" si="63"/>
        <v/>
      </c>
      <c r="BC187" s="176"/>
      <c r="BE187" s="130" t="str">
        <f t="shared" si="64"/>
        <v/>
      </c>
      <c r="BF187" s="39" t="str">
        <f>IF(AND(Include_study?="Yes",Sufficient_data="Yes"),NORMSINV(Calculations!IW187),"")</f>
        <v/>
      </c>
      <c r="BG187" s="74" t="str">
        <f t="shared" si="65"/>
        <v/>
      </c>
      <c r="BP187" s="176"/>
      <c r="BT187" s="176"/>
    </row>
    <row r="188" spans="4:72" x14ac:dyDescent="0.2">
      <c r="D188" s="84" t="str">
        <f t="shared" si="56"/>
        <v/>
      </c>
      <c r="E188" s="132" t="str">
        <f t="shared" si="57"/>
        <v/>
      </c>
      <c r="F188" s="39" t="str">
        <f t="shared" si="58"/>
        <v/>
      </c>
      <c r="M188" s="176"/>
      <c r="T188" s="176"/>
      <c r="V188" s="130" t="str">
        <f t="shared" si="59"/>
        <v/>
      </c>
      <c r="W188" s="74" t="str">
        <f>IF(AND(Include_study?="Yes",Sufficient_data="Yes"),((E:E-I$29)*SQRT(Calculations!FU:FU))/SQRT(1-Calculations!FU:FU/SUM(Calculations!FU:FU)),"")</f>
        <v/>
      </c>
      <c r="AE188" s="176"/>
      <c r="AG188" s="130" t="str">
        <f t="shared" si="60"/>
        <v/>
      </c>
      <c r="AH188" s="39" t="str">
        <f t="shared" si="49"/>
        <v/>
      </c>
      <c r="AI188" s="74" t="str">
        <f t="shared" si="50"/>
        <v/>
      </c>
      <c r="AR188" s="176"/>
      <c r="AT188" s="130" t="str">
        <f t="shared" si="61"/>
        <v/>
      </c>
      <c r="AU188" s="39" t="str">
        <f t="shared" si="62"/>
        <v/>
      </c>
      <c r="AV188" s="74" t="str">
        <f t="shared" si="63"/>
        <v/>
      </c>
      <c r="BC188" s="176"/>
      <c r="BE188" s="130" t="str">
        <f t="shared" si="64"/>
        <v/>
      </c>
      <c r="BF188" s="39" t="str">
        <f>IF(AND(Include_study?="Yes",Sufficient_data="Yes"),NORMSINV(Calculations!IW188),"")</f>
        <v/>
      </c>
      <c r="BG188" s="74" t="str">
        <f t="shared" si="65"/>
        <v/>
      </c>
      <c r="BP188" s="176"/>
      <c r="BT188" s="176"/>
    </row>
    <row r="189" spans="4:72" x14ac:dyDescent="0.2">
      <c r="D189" s="84" t="str">
        <f t="shared" si="56"/>
        <v/>
      </c>
      <c r="E189" s="132" t="str">
        <f t="shared" si="57"/>
        <v/>
      </c>
      <c r="F189" s="39" t="str">
        <f t="shared" si="58"/>
        <v/>
      </c>
      <c r="M189" s="176"/>
      <c r="T189" s="176"/>
      <c r="V189" s="130" t="str">
        <f t="shared" si="59"/>
        <v/>
      </c>
      <c r="W189" s="74" t="str">
        <f>IF(AND(Include_study?="Yes",Sufficient_data="Yes"),((E:E-I$29)*SQRT(Calculations!FU:FU))/SQRT(1-Calculations!FU:FU/SUM(Calculations!FU:FU)),"")</f>
        <v/>
      </c>
      <c r="AE189" s="176"/>
      <c r="AG189" s="130" t="str">
        <f t="shared" si="60"/>
        <v/>
      </c>
      <c r="AH189" s="39" t="str">
        <f t="shared" si="49"/>
        <v/>
      </c>
      <c r="AI189" s="74" t="str">
        <f t="shared" si="50"/>
        <v/>
      </c>
      <c r="AR189" s="176"/>
      <c r="AT189" s="130" t="str">
        <f t="shared" si="61"/>
        <v/>
      </c>
      <c r="AU189" s="39" t="str">
        <f t="shared" si="62"/>
        <v/>
      </c>
      <c r="AV189" s="74" t="str">
        <f t="shared" si="63"/>
        <v/>
      </c>
      <c r="BC189" s="176"/>
      <c r="BE189" s="130" t="str">
        <f t="shared" si="64"/>
        <v/>
      </c>
      <c r="BF189" s="39" t="str">
        <f>IF(AND(Include_study?="Yes",Sufficient_data="Yes"),NORMSINV(Calculations!IW189),"")</f>
        <v/>
      </c>
      <c r="BG189" s="74" t="str">
        <f t="shared" si="65"/>
        <v/>
      </c>
      <c r="BP189" s="176"/>
      <c r="BT189" s="176"/>
    </row>
    <row r="190" spans="4:72" x14ac:dyDescent="0.2">
      <c r="D190" s="84" t="str">
        <f t="shared" si="56"/>
        <v/>
      </c>
      <c r="E190" s="132" t="str">
        <f t="shared" si="57"/>
        <v/>
      </c>
      <c r="F190" s="39" t="str">
        <f t="shared" si="58"/>
        <v/>
      </c>
      <c r="M190" s="176"/>
      <c r="T190" s="176"/>
      <c r="V190" s="130" t="str">
        <f t="shared" si="59"/>
        <v/>
      </c>
      <c r="W190" s="74" t="str">
        <f>IF(AND(Include_study?="Yes",Sufficient_data="Yes"),((E:E-I$29)*SQRT(Calculations!FU:FU))/SQRT(1-Calculations!FU:FU/SUM(Calculations!FU:FU)),"")</f>
        <v/>
      </c>
      <c r="AE190" s="176"/>
      <c r="AG190" s="130" t="str">
        <f t="shared" si="60"/>
        <v/>
      </c>
      <c r="AH190" s="39" t="str">
        <f t="shared" si="49"/>
        <v/>
      </c>
      <c r="AI190" s="74" t="str">
        <f t="shared" si="50"/>
        <v/>
      </c>
      <c r="AR190" s="176"/>
      <c r="AT190" s="130" t="str">
        <f t="shared" si="61"/>
        <v/>
      </c>
      <c r="AU190" s="39" t="str">
        <f t="shared" si="62"/>
        <v/>
      </c>
      <c r="AV190" s="74" t="str">
        <f t="shared" si="63"/>
        <v/>
      </c>
      <c r="BC190" s="176"/>
      <c r="BE190" s="130" t="str">
        <f t="shared" si="64"/>
        <v/>
      </c>
      <c r="BF190" s="39" t="str">
        <f>IF(AND(Include_study?="Yes",Sufficient_data="Yes"),NORMSINV(Calculations!IW190),"")</f>
        <v/>
      </c>
      <c r="BG190" s="74" t="str">
        <f t="shared" si="65"/>
        <v/>
      </c>
      <c r="BP190" s="176"/>
      <c r="BT190" s="176"/>
    </row>
    <row r="191" spans="4:72" x14ac:dyDescent="0.2">
      <c r="D191" s="84" t="str">
        <f t="shared" si="56"/>
        <v/>
      </c>
      <c r="E191" s="132" t="str">
        <f t="shared" si="57"/>
        <v/>
      </c>
      <c r="F191" s="39" t="str">
        <f t="shared" si="58"/>
        <v/>
      </c>
      <c r="M191" s="176"/>
      <c r="T191" s="176"/>
      <c r="V191" s="130" t="str">
        <f t="shared" si="59"/>
        <v/>
      </c>
      <c r="W191" s="74" t="str">
        <f>IF(AND(Include_study?="Yes",Sufficient_data="Yes"),((E:E-I$29)*SQRT(Calculations!FU:FU))/SQRT(1-Calculations!FU:FU/SUM(Calculations!FU:FU)),"")</f>
        <v/>
      </c>
      <c r="AE191" s="176"/>
      <c r="AG191" s="130" t="str">
        <f t="shared" si="60"/>
        <v/>
      </c>
      <c r="AH191" s="39" t="str">
        <f t="shared" si="49"/>
        <v/>
      </c>
      <c r="AI191" s="74" t="str">
        <f t="shared" si="50"/>
        <v/>
      </c>
      <c r="AR191" s="176"/>
      <c r="AT191" s="130" t="str">
        <f t="shared" si="61"/>
        <v/>
      </c>
      <c r="AU191" s="39" t="str">
        <f t="shared" si="62"/>
        <v/>
      </c>
      <c r="AV191" s="74" t="str">
        <f t="shared" si="63"/>
        <v/>
      </c>
      <c r="BC191" s="176"/>
      <c r="BE191" s="130" t="str">
        <f t="shared" si="64"/>
        <v/>
      </c>
      <c r="BF191" s="39" t="str">
        <f>IF(AND(Include_study?="Yes",Sufficient_data="Yes"),NORMSINV(Calculations!IW191),"")</f>
        <v/>
      </c>
      <c r="BG191" s="74" t="str">
        <f t="shared" si="65"/>
        <v/>
      </c>
      <c r="BP191" s="176"/>
      <c r="BT191" s="176"/>
    </row>
    <row r="192" spans="4:72" x14ac:dyDescent="0.2">
      <c r="D192" s="84" t="str">
        <f t="shared" si="56"/>
        <v/>
      </c>
      <c r="E192" s="132" t="str">
        <f t="shared" si="57"/>
        <v/>
      </c>
      <c r="F192" s="39" t="str">
        <f t="shared" si="58"/>
        <v/>
      </c>
      <c r="M192" s="176"/>
      <c r="T192" s="176"/>
      <c r="V192" s="130" t="str">
        <f t="shared" si="59"/>
        <v/>
      </c>
      <c r="W192" s="74" t="str">
        <f>IF(AND(Include_study?="Yes",Sufficient_data="Yes"),((E:E-I$29)*SQRT(Calculations!FU:FU))/SQRT(1-Calculations!FU:FU/SUM(Calculations!FU:FU)),"")</f>
        <v/>
      </c>
      <c r="AE192" s="176"/>
      <c r="AG192" s="130" t="str">
        <f t="shared" si="60"/>
        <v/>
      </c>
      <c r="AH192" s="39" t="str">
        <f t="shared" si="49"/>
        <v/>
      </c>
      <c r="AI192" s="74" t="str">
        <f t="shared" si="50"/>
        <v/>
      </c>
      <c r="AR192" s="176"/>
      <c r="AT192" s="130" t="str">
        <f t="shared" si="61"/>
        <v/>
      </c>
      <c r="AU192" s="39" t="str">
        <f t="shared" si="62"/>
        <v/>
      </c>
      <c r="AV192" s="74" t="str">
        <f t="shared" si="63"/>
        <v/>
      </c>
      <c r="BC192" s="176"/>
      <c r="BE192" s="130" t="str">
        <f t="shared" si="64"/>
        <v/>
      </c>
      <c r="BF192" s="39" t="str">
        <f>IF(AND(Include_study?="Yes",Sufficient_data="Yes"),NORMSINV(Calculations!IW192),"")</f>
        <v/>
      </c>
      <c r="BG192" s="74" t="str">
        <f t="shared" si="65"/>
        <v/>
      </c>
      <c r="BP192" s="176"/>
      <c r="BT192" s="176"/>
    </row>
    <row r="193" spans="4:72" x14ac:dyDescent="0.2">
      <c r="D193" s="84" t="str">
        <f t="shared" si="56"/>
        <v/>
      </c>
      <c r="E193" s="132" t="str">
        <f t="shared" si="57"/>
        <v/>
      </c>
      <c r="F193" s="39" t="str">
        <f t="shared" si="58"/>
        <v/>
      </c>
      <c r="M193" s="176"/>
      <c r="T193" s="176"/>
      <c r="V193" s="130" t="str">
        <f t="shared" si="59"/>
        <v/>
      </c>
      <c r="W193" s="74" t="str">
        <f>IF(AND(Include_study?="Yes",Sufficient_data="Yes"),((E:E-I$29)*SQRT(Calculations!FU:FU))/SQRT(1-Calculations!FU:FU/SUM(Calculations!FU:FU)),"")</f>
        <v/>
      </c>
      <c r="AE193" s="176"/>
      <c r="AG193" s="130" t="str">
        <f t="shared" si="60"/>
        <v/>
      </c>
      <c r="AH193" s="39" t="str">
        <f t="shared" si="49"/>
        <v/>
      </c>
      <c r="AI193" s="74" t="str">
        <f t="shared" si="50"/>
        <v/>
      </c>
      <c r="AR193" s="176"/>
      <c r="AT193" s="130" t="str">
        <f t="shared" si="61"/>
        <v/>
      </c>
      <c r="AU193" s="39" t="str">
        <f t="shared" si="62"/>
        <v/>
      </c>
      <c r="AV193" s="74" t="str">
        <f t="shared" si="63"/>
        <v/>
      </c>
      <c r="BC193" s="176"/>
      <c r="BE193" s="130" t="str">
        <f t="shared" si="64"/>
        <v/>
      </c>
      <c r="BF193" s="39" t="str">
        <f>IF(AND(Include_study?="Yes",Sufficient_data="Yes"),NORMSINV(Calculations!IW193),"")</f>
        <v/>
      </c>
      <c r="BG193" s="74" t="str">
        <f t="shared" si="65"/>
        <v/>
      </c>
      <c r="BP193" s="176"/>
      <c r="BT193" s="176"/>
    </row>
    <row r="194" spans="4:72" x14ac:dyDescent="0.2">
      <c r="D194" s="84" t="str">
        <f t="shared" ref="D194:D201" si="66">IF(AND(Include_study?="Yes",Sufficient_data="Yes"),Study_name,"")</f>
        <v/>
      </c>
      <c r="E194" s="132" t="str">
        <f t="shared" ref="E194:E201" si="67">IF(AND(Include_study?="Yes",Sufficient_data="Yes"),IF(Additional_effect_size_measure="Log Peto Odds Ratio",LogPetoOddsRatio,IF(Additional_effect_size_measure="Log Risk Ratio",LogRiskRatio,IF(Additional_effect_size_measure="Risk Difference",Risk_Difference,LogOddsRatio))),"")</f>
        <v/>
      </c>
      <c r="F194" s="39" t="str">
        <f t="shared" ref="F194:F201" si="68">IF(AND(Include_study?="Yes",Sufficient_data="Yes"),IF(Additional_effect_size_measure="Log Peto Odds Ratio",SELogPetoOddsRatio,IF(Additional_effect_size_measure="Log Risk Ratio",SELogRiskRatio,IF(Additional_effect_size_measure="Risk Difference",SERiskDifference,SELogOddsRatio))),"")</f>
        <v/>
      </c>
      <c r="M194" s="176"/>
      <c r="T194" s="176"/>
      <c r="V194" s="130" t="str">
        <f t="shared" ref="V194:V201" si="69">IF(AND(Include_study?="Yes",Sufficient_data="Yes"),Study_name,"")</f>
        <v/>
      </c>
      <c r="W194" s="74" t="str">
        <f>IF(AND(Include_study?="Yes",Sufficient_data="Yes"),((E:E-I$29)*SQRT(Calculations!FU:FU))/SQRT(1-Calculations!FU:FU/SUM(Calculations!FU:FU)),"")</f>
        <v/>
      </c>
      <c r="AE194" s="176"/>
      <c r="AG194" s="130" t="str">
        <f t="shared" ref="AG194:AG201" si="70">IF(AND(Include_study?="Yes",Sufficient_data="Yes"),Study_name,"")</f>
        <v/>
      </c>
      <c r="AH194" s="39" t="str">
        <f t="shared" ref="AH194:AH201" si="71">IF(AND(Sufficient_data="Yes",Include_study?="Yes"),c_/(c_+d_),"")</f>
        <v/>
      </c>
      <c r="AI194" s="74" t="str">
        <f t="shared" ref="AI194:AI201" si="72">IF(AND(Sufficient_data="Yes",Include_study?="Yes"),a_/(a_+b_),"")</f>
        <v/>
      </c>
      <c r="AR194" s="176"/>
      <c r="AT194" s="130" t="str">
        <f t="shared" ref="AT194:AT201" si="73">IF(AND(Include_study?="Yes",Sufficient_data="Yes"),Study_name,"")</f>
        <v/>
      </c>
      <c r="AU194" s="39" t="str">
        <f t="shared" ref="AU194:AU201" si="74">IF(AND(Include_study?="Yes",Sufficient_data="Yes"),IF(AND(Additional_valid_options="No",Additional_model="Random effects"),NA(),Inverse_standard_error),"")</f>
        <v/>
      </c>
      <c r="AV194" s="74" t="str">
        <f t="shared" ref="AV194:AV201" si="75">IF(AND(Include_study?="Yes",Sufficient_data="Yes"),IF(AND(Additional_valid_options="No",Additional_model="Random effects"),NA(),Z_score),"")</f>
        <v/>
      </c>
      <c r="BC194" s="176"/>
      <c r="BE194" s="130" t="str">
        <f t="shared" ref="BE194:BE201" si="76">IF(AND(Include_study?="Yes",Sufficient_data="Yes"),Study_name,"")</f>
        <v/>
      </c>
      <c r="BF194" s="39" t="str">
        <f>IF(AND(Include_study?="Yes",Sufficient_data="Yes"),NORMSINV(Calculations!IW194),"")</f>
        <v/>
      </c>
      <c r="BG194" s="74" t="str">
        <f t="shared" ref="BG194:BG201" si="77">IF(AND(Include_study?="Yes",Sufficient_data="Yes"),IF(AND(Additional_valid_options="No",Additional_model="Random effects"),NA(),IF(BJ$33="Standardized residuals",Standardized_residual,Z_score)),"")</f>
        <v/>
      </c>
      <c r="BP194" s="176"/>
      <c r="BT194" s="176"/>
    </row>
    <row r="195" spans="4:72" x14ac:dyDescent="0.2">
      <c r="D195" s="84" t="str">
        <f t="shared" si="66"/>
        <v/>
      </c>
      <c r="E195" s="132" t="str">
        <f t="shared" si="67"/>
        <v/>
      </c>
      <c r="F195" s="39" t="str">
        <f t="shared" si="68"/>
        <v/>
      </c>
      <c r="M195" s="176"/>
      <c r="T195" s="176"/>
      <c r="V195" s="130" t="str">
        <f t="shared" si="69"/>
        <v/>
      </c>
      <c r="W195" s="74" t="str">
        <f>IF(AND(Include_study?="Yes",Sufficient_data="Yes"),((E:E-I$29)*SQRT(Calculations!FU:FU))/SQRT(1-Calculations!FU:FU/SUM(Calculations!FU:FU)),"")</f>
        <v/>
      </c>
      <c r="AE195" s="176"/>
      <c r="AG195" s="130" t="str">
        <f t="shared" si="70"/>
        <v/>
      </c>
      <c r="AH195" s="39" t="str">
        <f t="shared" si="71"/>
        <v/>
      </c>
      <c r="AI195" s="74" t="str">
        <f t="shared" si="72"/>
        <v/>
      </c>
      <c r="AR195" s="176"/>
      <c r="AT195" s="130" t="str">
        <f t="shared" si="73"/>
        <v/>
      </c>
      <c r="AU195" s="39" t="str">
        <f t="shared" si="74"/>
        <v/>
      </c>
      <c r="AV195" s="74" t="str">
        <f t="shared" si="75"/>
        <v/>
      </c>
      <c r="BC195" s="176"/>
      <c r="BE195" s="130" t="str">
        <f t="shared" si="76"/>
        <v/>
      </c>
      <c r="BF195" s="39" t="str">
        <f>IF(AND(Include_study?="Yes",Sufficient_data="Yes"),NORMSINV(Calculations!IW195),"")</f>
        <v/>
      </c>
      <c r="BG195" s="74" t="str">
        <f t="shared" si="77"/>
        <v/>
      </c>
      <c r="BP195" s="176"/>
      <c r="BT195" s="176"/>
    </row>
    <row r="196" spans="4:72" x14ac:dyDescent="0.2">
      <c r="D196" s="84" t="str">
        <f t="shared" si="66"/>
        <v/>
      </c>
      <c r="E196" s="132" t="str">
        <f t="shared" si="67"/>
        <v/>
      </c>
      <c r="F196" s="39" t="str">
        <f t="shared" si="68"/>
        <v/>
      </c>
      <c r="M196" s="176"/>
      <c r="T196" s="176"/>
      <c r="V196" s="130" t="str">
        <f t="shared" si="69"/>
        <v/>
      </c>
      <c r="W196" s="74" t="str">
        <f>IF(AND(Include_study?="Yes",Sufficient_data="Yes"),((E:E-I$29)*SQRT(Calculations!FU:FU))/SQRT(1-Calculations!FU:FU/SUM(Calculations!FU:FU)),"")</f>
        <v/>
      </c>
      <c r="AE196" s="176"/>
      <c r="AG196" s="130" t="str">
        <f t="shared" si="70"/>
        <v/>
      </c>
      <c r="AH196" s="39" t="str">
        <f t="shared" si="71"/>
        <v/>
      </c>
      <c r="AI196" s="74" t="str">
        <f t="shared" si="72"/>
        <v/>
      </c>
      <c r="AR196" s="176"/>
      <c r="AT196" s="130" t="str">
        <f t="shared" si="73"/>
        <v/>
      </c>
      <c r="AU196" s="39" t="str">
        <f t="shared" si="74"/>
        <v/>
      </c>
      <c r="AV196" s="74" t="str">
        <f t="shared" si="75"/>
        <v/>
      </c>
      <c r="BC196" s="176"/>
      <c r="BE196" s="130" t="str">
        <f t="shared" si="76"/>
        <v/>
      </c>
      <c r="BF196" s="39" t="str">
        <f>IF(AND(Include_study?="Yes",Sufficient_data="Yes"),NORMSINV(Calculations!IW196),"")</f>
        <v/>
      </c>
      <c r="BG196" s="74" t="str">
        <f t="shared" si="77"/>
        <v/>
      </c>
      <c r="BP196" s="176"/>
      <c r="BT196" s="176"/>
    </row>
    <row r="197" spans="4:72" x14ac:dyDescent="0.2">
      <c r="D197" s="84" t="str">
        <f t="shared" si="66"/>
        <v/>
      </c>
      <c r="E197" s="132" t="str">
        <f t="shared" si="67"/>
        <v/>
      </c>
      <c r="F197" s="39" t="str">
        <f t="shared" si="68"/>
        <v/>
      </c>
      <c r="M197" s="176"/>
      <c r="T197" s="176"/>
      <c r="V197" s="130" t="str">
        <f t="shared" si="69"/>
        <v/>
      </c>
      <c r="W197" s="74" t="str">
        <f>IF(AND(Include_study?="Yes",Sufficient_data="Yes"),((E:E-I$29)*SQRT(Calculations!FU:FU))/SQRT(1-Calculations!FU:FU/SUM(Calculations!FU:FU)),"")</f>
        <v/>
      </c>
      <c r="AE197" s="176"/>
      <c r="AG197" s="130" t="str">
        <f t="shared" si="70"/>
        <v/>
      </c>
      <c r="AH197" s="39" t="str">
        <f t="shared" si="71"/>
        <v/>
      </c>
      <c r="AI197" s="74" t="str">
        <f t="shared" si="72"/>
        <v/>
      </c>
      <c r="AR197" s="176"/>
      <c r="AT197" s="130" t="str">
        <f t="shared" si="73"/>
        <v/>
      </c>
      <c r="AU197" s="39" t="str">
        <f t="shared" si="74"/>
        <v/>
      </c>
      <c r="AV197" s="74" t="str">
        <f t="shared" si="75"/>
        <v/>
      </c>
      <c r="BC197" s="176"/>
      <c r="BE197" s="130" t="str">
        <f t="shared" si="76"/>
        <v/>
      </c>
      <c r="BF197" s="39" t="str">
        <f>IF(AND(Include_study?="Yes",Sufficient_data="Yes"),NORMSINV(Calculations!IW197),"")</f>
        <v/>
      </c>
      <c r="BG197" s="74" t="str">
        <f t="shared" si="77"/>
        <v/>
      </c>
      <c r="BP197" s="176"/>
      <c r="BT197" s="176"/>
    </row>
    <row r="198" spans="4:72" x14ac:dyDescent="0.2">
      <c r="D198" s="84" t="str">
        <f t="shared" si="66"/>
        <v/>
      </c>
      <c r="E198" s="132" t="str">
        <f t="shared" si="67"/>
        <v/>
      </c>
      <c r="F198" s="39" t="str">
        <f t="shared" si="68"/>
        <v/>
      </c>
      <c r="M198" s="176"/>
      <c r="T198" s="176"/>
      <c r="V198" s="130" t="str">
        <f t="shared" si="69"/>
        <v/>
      </c>
      <c r="W198" s="74" t="str">
        <f>IF(AND(Include_study?="Yes",Sufficient_data="Yes"),((E:E-I$29)*SQRT(Calculations!FU:FU))/SQRT(1-Calculations!FU:FU/SUM(Calculations!FU:FU)),"")</f>
        <v/>
      </c>
      <c r="AE198" s="176"/>
      <c r="AG198" s="130" t="str">
        <f t="shared" si="70"/>
        <v/>
      </c>
      <c r="AH198" s="39" t="str">
        <f t="shared" si="71"/>
        <v/>
      </c>
      <c r="AI198" s="74" t="str">
        <f t="shared" si="72"/>
        <v/>
      </c>
      <c r="AR198" s="176"/>
      <c r="AT198" s="130" t="str">
        <f t="shared" si="73"/>
        <v/>
      </c>
      <c r="AU198" s="39" t="str">
        <f t="shared" si="74"/>
        <v/>
      </c>
      <c r="AV198" s="74" t="str">
        <f t="shared" si="75"/>
        <v/>
      </c>
      <c r="BC198" s="176"/>
      <c r="BE198" s="130" t="str">
        <f t="shared" si="76"/>
        <v/>
      </c>
      <c r="BF198" s="39" t="str">
        <f>IF(AND(Include_study?="Yes",Sufficient_data="Yes"),NORMSINV(Calculations!IW198),"")</f>
        <v/>
      </c>
      <c r="BG198" s="74" t="str">
        <f t="shared" si="77"/>
        <v/>
      </c>
      <c r="BP198" s="176"/>
      <c r="BT198" s="176"/>
    </row>
    <row r="199" spans="4:72" x14ac:dyDescent="0.2">
      <c r="D199" s="84" t="str">
        <f t="shared" si="66"/>
        <v/>
      </c>
      <c r="E199" s="132" t="str">
        <f t="shared" si="67"/>
        <v/>
      </c>
      <c r="F199" s="39" t="str">
        <f t="shared" si="68"/>
        <v/>
      </c>
      <c r="M199" s="176"/>
      <c r="T199" s="176"/>
      <c r="V199" s="130" t="str">
        <f t="shared" si="69"/>
        <v/>
      </c>
      <c r="W199" s="74" t="str">
        <f>IF(AND(Include_study?="Yes",Sufficient_data="Yes"),((E:E-I$29)*SQRT(Calculations!FU:FU))/SQRT(1-Calculations!FU:FU/SUM(Calculations!FU:FU)),"")</f>
        <v/>
      </c>
      <c r="AE199" s="176"/>
      <c r="AG199" s="130" t="str">
        <f t="shared" si="70"/>
        <v/>
      </c>
      <c r="AH199" s="39" t="str">
        <f t="shared" si="71"/>
        <v/>
      </c>
      <c r="AI199" s="74" t="str">
        <f t="shared" si="72"/>
        <v/>
      </c>
      <c r="AR199" s="176"/>
      <c r="AT199" s="130" t="str">
        <f t="shared" si="73"/>
        <v/>
      </c>
      <c r="AU199" s="39" t="str">
        <f t="shared" si="74"/>
        <v/>
      </c>
      <c r="AV199" s="74" t="str">
        <f t="shared" si="75"/>
        <v/>
      </c>
      <c r="BC199" s="176"/>
      <c r="BE199" s="130" t="str">
        <f t="shared" si="76"/>
        <v/>
      </c>
      <c r="BF199" s="39" t="str">
        <f>IF(AND(Include_study?="Yes",Sufficient_data="Yes"),NORMSINV(Calculations!IW199),"")</f>
        <v/>
      </c>
      <c r="BG199" s="74" t="str">
        <f t="shared" si="77"/>
        <v/>
      </c>
      <c r="BP199" s="176"/>
      <c r="BT199" s="176"/>
    </row>
    <row r="200" spans="4:72" x14ac:dyDescent="0.2">
      <c r="D200" s="84" t="str">
        <f t="shared" si="66"/>
        <v/>
      </c>
      <c r="E200" s="132" t="str">
        <f t="shared" si="67"/>
        <v/>
      </c>
      <c r="F200" s="39" t="str">
        <f t="shared" si="68"/>
        <v/>
      </c>
      <c r="M200" s="176"/>
      <c r="T200" s="176"/>
      <c r="V200" s="130" t="str">
        <f t="shared" si="69"/>
        <v/>
      </c>
      <c r="W200" s="74" t="str">
        <f>IF(AND(Include_study?="Yes",Sufficient_data="Yes"),((E:E-I$29)*SQRT(Calculations!FU:FU))/SQRT(1-Calculations!FU:FU/SUM(Calculations!FU:FU)),"")</f>
        <v/>
      </c>
      <c r="AE200" s="176"/>
      <c r="AG200" s="130" t="str">
        <f t="shared" si="70"/>
        <v/>
      </c>
      <c r="AH200" s="39" t="str">
        <f t="shared" si="71"/>
        <v/>
      </c>
      <c r="AI200" s="74" t="str">
        <f t="shared" si="72"/>
        <v/>
      </c>
      <c r="AR200" s="176"/>
      <c r="AT200" s="130" t="str">
        <f t="shared" si="73"/>
        <v/>
      </c>
      <c r="AU200" s="39" t="str">
        <f t="shared" si="74"/>
        <v/>
      </c>
      <c r="AV200" s="74" t="str">
        <f t="shared" si="75"/>
        <v/>
      </c>
      <c r="BC200" s="176"/>
      <c r="BE200" s="130" t="str">
        <f t="shared" si="76"/>
        <v/>
      </c>
      <c r="BF200" s="39" t="str">
        <f>IF(AND(Include_study?="Yes",Sufficient_data="Yes"),NORMSINV(Calculations!IW200),"")</f>
        <v/>
      </c>
      <c r="BG200" s="74" t="str">
        <f t="shared" si="77"/>
        <v/>
      </c>
      <c r="BP200" s="176"/>
      <c r="BT200" s="176"/>
    </row>
    <row r="201" spans="4:72" x14ac:dyDescent="0.2">
      <c r="D201" s="85" t="str">
        <f t="shared" si="66"/>
        <v/>
      </c>
      <c r="E201" s="71" t="str">
        <f t="shared" si="67"/>
        <v/>
      </c>
      <c r="F201" s="71" t="str">
        <f t="shared" si="68"/>
        <v/>
      </c>
      <c r="M201" s="177"/>
      <c r="T201" s="177"/>
      <c r="V201" s="97" t="str">
        <f t="shared" si="69"/>
        <v/>
      </c>
      <c r="W201" s="78" t="str">
        <f>IF(AND(Include_study?="Yes",Sufficient_data="Yes"),((E:E-I$29)*SQRT(Calculations!FU:FU))/SQRT(1-Calculations!FU:FU/SUM(Calculations!FU:FU)),"")</f>
        <v/>
      </c>
      <c r="AE201" s="177"/>
      <c r="AG201" s="97" t="str">
        <f t="shared" si="70"/>
        <v/>
      </c>
      <c r="AH201" s="71" t="str">
        <f t="shared" si="71"/>
        <v/>
      </c>
      <c r="AI201" s="78" t="str">
        <f t="shared" si="72"/>
        <v/>
      </c>
      <c r="AR201" s="177"/>
      <c r="AT201" s="97" t="str">
        <f t="shared" si="73"/>
        <v/>
      </c>
      <c r="AU201" s="71" t="str">
        <f t="shared" si="74"/>
        <v/>
      </c>
      <c r="AV201" s="78" t="str">
        <f t="shared" si="75"/>
        <v/>
      </c>
      <c r="BC201" s="177"/>
      <c r="BE201" s="97" t="str">
        <f t="shared" si="76"/>
        <v/>
      </c>
      <c r="BF201" s="71" t="str">
        <f>IF(AND(Include_study?="Yes",Sufficient_data="Yes"),NORMSINV(Calculations!IW201),"")</f>
        <v/>
      </c>
      <c r="BG201" s="78" t="str">
        <f t="shared" si="77"/>
        <v/>
      </c>
      <c r="BP201" s="177"/>
      <c r="BT201" s="177"/>
    </row>
  </sheetData>
  <mergeCells count="26">
    <mergeCell ref="A9:B9"/>
    <mergeCell ref="A14:B14"/>
    <mergeCell ref="A10:B10"/>
    <mergeCell ref="A11:B11"/>
    <mergeCell ref="A12:B12"/>
    <mergeCell ref="BI28:BM28"/>
    <mergeCell ref="A15:B15"/>
    <mergeCell ref="A16:B16"/>
    <mergeCell ref="A17:B17"/>
    <mergeCell ref="K28:L28"/>
    <mergeCell ref="O9:P9"/>
    <mergeCell ref="O1:R1"/>
    <mergeCell ref="BT2:BT201"/>
    <mergeCell ref="M2:M201"/>
    <mergeCell ref="T2:T201"/>
    <mergeCell ref="AE2:AE201"/>
    <mergeCell ref="AR2:AR201"/>
    <mergeCell ref="BC2:BC201"/>
    <mergeCell ref="BR10:BS10"/>
    <mergeCell ref="BR7:BS7"/>
    <mergeCell ref="BP2:BP201"/>
    <mergeCell ref="AK33:AM33"/>
    <mergeCell ref="BR2:BS2"/>
    <mergeCell ref="BR16:BS16"/>
    <mergeCell ref="AK32:AM32"/>
    <mergeCell ref="AX28:BB28"/>
  </mergeCells>
  <dataValidations xWindow="265" yWindow="306" count="6">
    <dataValidation type="list" allowBlank="1" showInputMessage="1" showErrorMessage="1" sqref="B6" xr:uid="{00000000-0002-0000-0400-000001000000}">
      <formula1>"Fixed effect,Random effects"</formula1>
    </dataValidation>
    <dataValidation type="list" allowBlank="1" showInputMessage="1" showErrorMessage="1" sqref="L37" xr:uid="{00000000-0002-0000-0400-000002000000}">
      <formula1>"Leftmost Run/Rightmost Run,Linear"</formula1>
    </dataValidation>
    <dataValidation type="list" allowBlank="1" showInputMessage="1" showErrorMessage="1" sqref="L36" xr:uid="{00000000-0002-0000-0400-000003000000}">
      <formula1>"Off,On"</formula1>
    </dataValidation>
    <dataValidation type="list" allowBlank="1" showInputMessage="1" showErrorMessage="1" sqref="BJ33" xr:uid="{00000000-0002-0000-0400-000004000000}">
      <formula1>"Standardized residuals, Z-scores"</formula1>
    </dataValidation>
    <dataValidation type="list" allowBlank="1" showInputMessage="1" showErrorMessage="1" prompt="If you choose a different weighting method after having defined the model effect size measure, you need to choose the latter again, because different options apply to different weighting methods." sqref="B2" xr:uid="{00000000-0002-0000-0400-000005000000}">
      <formula1>$A$10:$A$12</formula1>
    </dataValidation>
    <dataValidation type="list" allowBlank="1" showInputMessage="1" showErrorMessage="1" prompt="If you choose a different weighting method after having defined the model effect size measure, you need to choose the latter again, because different options apply to different weighting methods." sqref="B3" xr:uid="{00000000-0002-0000-0400-000006000000}">
      <formula1>$A$15:$A$17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J201"/>
  <sheetViews>
    <sheetView showGridLines="0" topLeftCell="FW1" zoomScaleNormal="100" workbookViewId="0">
      <pane ySplit="1" topLeftCell="A2" activePane="bottomLeft" state="frozen"/>
      <selection pane="bottomLeft" activeCell="GW22" sqref="GW22"/>
    </sheetView>
  </sheetViews>
  <sheetFormatPr defaultRowHeight="12" x14ac:dyDescent="0.2"/>
  <cols>
    <col min="1" max="1" width="3.1640625" bestFit="1" customWidth="1"/>
    <col min="2" max="3" width="6.6640625" style="45" bestFit="1" customWidth="1"/>
    <col min="4" max="4" width="5.6640625" style="45" bestFit="1" customWidth="1"/>
    <col min="5" max="5" width="6.6640625" style="45" bestFit="1" customWidth="1"/>
    <col min="6" max="6" width="7.33203125" bestFit="1" customWidth="1"/>
    <col min="7" max="7" width="3" style="6" customWidth="1"/>
    <col min="8" max="8" width="6" style="6" bestFit="1" customWidth="1"/>
    <col min="9" max="9" width="5.5" style="44" bestFit="1" customWidth="1"/>
    <col min="10" max="14" width="9.6640625" customWidth="1"/>
    <col min="15" max="15" width="3.33203125" customWidth="1"/>
    <col min="16" max="16" width="5.5" style="44" bestFit="1" customWidth="1"/>
    <col min="17" max="20" width="9.6640625" customWidth="1"/>
    <col min="21" max="21" width="3.33203125" customWidth="1"/>
    <col min="22" max="22" width="5.5" style="44" bestFit="1" customWidth="1"/>
    <col min="23" max="26" width="9.6640625" style="6" customWidth="1"/>
    <col min="27" max="27" width="3.33203125" customWidth="1"/>
    <col min="28" max="28" width="5.5" style="44" bestFit="1" customWidth="1"/>
    <col min="29" max="29" width="9.6640625" customWidth="1"/>
    <col min="30" max="30" width="9.6640625" style="6" customWidth="1"/>
    <col min="31" max="33" width="9.6640625" customWidth="1"/>
    <col min="34" max="34" width="3.33203125" customWidth="1"/>
    <col min="35" max="35" width="6" style="6" bestFit="1" customWidth="1"/>
    <col min="36" max="37" width="3.1640625" style="6" bestFit="1" customWidth="1"/>
    <col min="38" max="38" width="12.33203125" style="6" bestFit="1" customWidth="1"/>
    <col min="39" max="39" width="11" style="6" bestFit="1" customWidth="1"/>
    <col min="40" max="40" width="22" style="6" bestFit="1" customWidth="1"/>
    <col min="41" max="41" width="9.5" style="6" bestFit="1" customWidth="1"/>
    <col min="42" max="42" width="13.33203125" style="6" bestFit="1" customWidth="1"/>
    <col min="43" max="43" width="15.5" style="6" bestFit="1" customWidth="1"/>
    <col min="44" max="44" width="16.1640625" style="6" bestFit="1" customWidth="1"/>
    <col min="45" max="46" width="12.5" style="6" bestFit="1" customWidth="1"/>
    <col min="47" max="47" width="7.1640625" style="6" bestFit="1" customWidth="1"/>
    <col min="48" max="48" width="3" style="6" customWidth="1"/>
    <col min="49" max="49" width="9.5" bestFit="1" customWidth="1"/>
    <col min="50" max="50" width="8.1640625" bestFit="1" customWidth="1"/>
    <col min="51" max="51" width="8.6640625" bestFit="1" customWidth="1"/>
    <col min="52" max="52" width="3.33203125" customWidth="1"/>
    <col min="53" max="53" width="16.1640625" bestFit="1" customWidth="1"/>
    <col min="54" max="54" width="8.33203125" bestFit="1" customWidth="1"/>
    <col min="55" max="55" width="3.33203125" style="6" customWidth="1"/>
    <col min="56" max="56" width="6" style="44" bestFit="1" customWidth="1"/>
    <col min="57" max="57" width="5.5" style="6" bestFit="1" customWidth="1"/>
    <col min="58" max="58" width="6.33203125" style="6" bestFit="1" customWidth="1"/>
    <col min="59" max="59" width="4.6640625" style="6" bestFit="1" customWidth="1"/>
    <col min="60" max="60" width="7.1640625" customWidth="1"/>
    <col min="61" max="61" width="8.83203125" bestFit="1" customWidth="1"/>
    <col min="62" max="62" width="8.83203125" style="45" customWidth="1"/>
    <col min="63" max="63" width="3" customWidth="1"/>
    <col min="64" max="64" width="19" bestFit="1" customWidth="1"/>
    <col min="65" max="65" width="5.6640625" bestFit="1" customWidth="1"/>
    <col min="66" max="66" width="3.33203125" customWidth="1"/>
    <col min="67" max="67" width="5.5" style="6" bestFit="1" customWidth="1"/>
    <col min="68" max="68" width="5.6640625" style="45" bestFit="1" customWidth="1"/>
    <col min="69" max="73" width="4.6640625" style="45" bestFit="1" customWidth="1"/>
    <col min="74" max="74" width="8.33203125" customWidth="1"/>
    <col min="75" max="75" width="9.1640625" style="6" customWidth="1"/>
    <col min="76" max="76" width="9.1640625" customWidth="1"/>
    <col min="77" max="77" width="9.1640625" style="45" customWidth="1"/>
    <col min="78" max="78" width="3.33203125" customWidth="1"/>
    <col min="79" max="79" width="29.33203125" bestFit="1" customWidth="1"/>
    <col min="80" max="80" width="5.6640625" bestFit="1" customWidth="1"/>
    <col min="81" max="81" width="3.33203125" customWidth="1"/>
    <col min="82" max="82" width="5.5" style="6" bestFit="1" customWidth="1"/>
    <col min="83" max="83" width="8.6640625" bestFit="1" customWidth="1"/>
    <col min="84" max="84" width="9" bestFit="1" customWidth="1"/>
    <col min="85" max="85" width="9" customWidth="1"/>
    <col min="86" max="86" width="8.5" customWidth="1"/>
    <col min="87" max="87" width="7" customWidth="1"/>
    <col min="88" max="88" width="9.1640625" customWidth="1"/>
    <col min="89" max="89" width="9.1640625" style="45" customWidth="1"/>
    <col min="90" max="90" width="3.1640625" customWidth="1"/>
    <col min="91" max="91" width="32" bestFit="1" customWidth="1"/>
    <col min="92" max="92" width="5.6640625" bestFit="1" customWidth="1"/>
    <col min="93" max="93" width="3.33203125" customWidth="1"/>
    <col min="94" max="94" width="5.5" style="6" bestFit="1" customWidth="1"/>
    <col min="95" max="95" width="9.6640625" customWidth="1"/>
    <col min="96" max="96" width="3.33203125" customWidth="1"/>
    <col min="97" max="97" width="6.1640625" bestFit="1" customWidth="1"/>
    <col min="98" max="98" width="16.1640625" bestFit="1" customWidth="1"/>
    <col min="99" max="99" width="17" bestFit="1" customWidth="1"/>
    <col min="100" max="100" width="5.5" bestFit="1" customWidth="1"/>
    <col min="101" max="101" width="3.33203125" customWidth="1"/>
    <col min="102" max="102" width="6" style="6" bestFit="1" customWidth="1"/>
    <col min="103" max="103" width="15.33203125" style="6" bestFit="1" customWidth="1"/>
    <col min="104" max="104" width="11" style="6" bestFit="1" customWidth="1"/>
    <col min="105" max="105" width="10.33203125" style="6" bestFit="1" customWidth="1"/>
    <col min="106" max="106" width="13.6640625" style="6" bestFit="1" customWidth="1"/>
    <col min="107" max="107" width="16.1640625" style="45" bestFit="1" customWidth="1"/>
    <col min="108" max="108" width="13.33203125" style="6" bestFit="1" customWidth="1"/>
    <col min="109" max="109" width="21.1640625" style="6" bestFit="1" customWidth="1"/>
    <col min="110" max="110" width="23.33203125" style="6" bestFit="1" customWidth="1"/>
    <col min="111" max="111" width="10.1640625" style="6" bestFit="1" customWidth="1"/>
    <col min="112" max="113" width="12.83203125" style="6" bestFit="1" customWidth="1"/>
    <col min="114" max="114" width="12.83203125" style="45" customWidth="1"/>
    <col min="115" max="115" width="3.33203125" customWidth="1"/>
    <col min="116" max="116" width="10.1640625" style="6" bestFit="1" customWidth="1"/>
    <col min="117" max="117" width="8.1640625" style="6" bestFit="1" customWidth="1"/>
    <col min="118" max="118" width="8.6640625" style="6" bestFit="1" customWidth="1"/>
    <col min="119" max="119" width="3.33203125" style="6" customWidth="1"/>
    <col min="120" max="120" width="8.83203125" style="6" bestFit="1" customWidth="1"/>
    <col min="121" max="121" width="10.33203125" style="6" bestFit="1" customWidth="1"/>
    <col min="122" max="122" width="2.1640625" style="6" bestFit="1" customWidth="1"/>
    <col min="123" max="123" width="20.6640625" style="6" bestFit="1" customWidth="1"/>
    <col min="124" max="125" width="5.6640625" style="6" bestFit="1" customWidth="1"/>
    <col min="126" max="126" width="7.1640625" style="28" bestFit="1" customWidth="1"/>
    <col min="127" max="127" width="7.6640625" style="6" bestFit="1" customWidth="1"/>
    <col min="128" max="129" width="4.6640625" style="6" bestFit="1" customWidth="1"/>
    <col min="130" max="130" width="7.1640625" style="6" bestFit="1" customWidth="1"/>
    <col min="131" max="131" width="6.1640625" style="6" bestFit="1" customWidth="1"/>
    <col min="132" max="132" width="5.1640625" style="6" bestFit="1" customWidth="1"/>
    <col min="133" max="133" width="7.83203125" style="6" bestFit="1" customWidth="1"/>
    <col min="134" max="134" width="8.33203125" style="6" bestFit="1" customWidth="1"/>
    <col min="135" max="135" width="4.6640625" style="6" bestFit="1" customWidth="1"/>
    <col min="136" max="136" width="8.33203125" style="6" bestFit="1" customWidth="1"/>
    <col min="137" max="137" width="5.33203125" style="6" bestFit="1" customWidth="1"/>
    <col min="138" max="138" width="13.33203125" style="6" bestFit="1" customWidth="1"/>
    <col min="139" max="139" width="13.83203125" style="6" bestFit="1" customWidth="1"/>
    <col min="140" max="140" width="7.83203125" style="6" bestFit="1" customWidth="1"/>
    <col min="141" max="141" width="8.33203125" style="6" bestFit="1" customWidth="1"/>
    <col min="142" max="142" width="4.83203125" style="6" bestFit="1" customWidth="1"/>
    <col min="143" max="143" width="5.33203125" style="6" bestFit="1" customWidth="1"/>
    <col min="144" max="144" width="13.33203125" style="6" bestFit="1" customWidth="1"/>
    <col min="145" max="145" width="13.83203125" style="6" bestFit="1" customWidth="1"/>
    <col min="146" max="146" width="16.5" style="6" customWidth="1"/>
    <col min="147" max="147" width="13.33203125" style="6" bestFit="1" customWidth="1"/>
    <col min="148" max="148" width="15.1640625" style="21" customWidth="1"/>
    <col min="149" max="149" width="10.5" style="6" customWidth="1"/>
    <col min="150" max="150" width="10.6640625" style="6" customWidth="1"/>
    <col min="151" max="151" width="8.83203125" style="6" customWidth="1"/>
    <col min="152" max="152" width="8.83203125" style="45" customWidth="1"/>
    <col min="153" max="153" width="3.33203125" style="6" customWidth="1"/>
    <col min="154" max="154" width="43.5" style="6" bestFit="1" customWidth="1"/>
    <col min="155" max="155" width="8.33203125" style="6" bestFit="1" customWidth="1"/>
    <col min="156" max="156" width="3.33203125" style="6" customWidth="1"/>
    <col min="157" max="157" width="6" style="6" bestFit="1" customWidth="1"/>
    <col min="158" max="158" width="9.83203125" style="6" bestFit="1" customWidth="1"/>
    <col min="159" max="159" width="12.83203125" style="6" bestFit="1" customWidth="1"/>
    <col min="160" max="160" width="13" style="45" bestFit="1" customWidth="1"/>
    <col min="161" max="161" width="10.83203125" style="45" customWidth="1"/>
    <col min="162" max="162" width="13.83203125" style="6" customWidth="1"/>
    <col min="163" max="163" width="22.33203125" style="6" customWidth="1"/>
    <col min="164" max="164" width="20" style="6" bestFit="1" customWidth="1"/>
    <col min="165" max="165" width="3.33203125" style="6" customWidth="1"/>
    <col min="166" max="166" width="7.1640625" style="6" bestFit="1" customWidth="1"/>
    <col min="167" max="167" width="12" style="6" customWidth="1"/>
    <col min="168" max="168" width="22.83203125" style="6" customWidth="1"/>
    <col min="169" max="169" width="19.33203125" style="6" customWidth="1"/>
    <col min="170" max="170" width="3.33203125" style="6" customWidth="1"/>
    <col min="171" max="171" width="34.5" style="6" bestFit="1" customWidth="1"/>
    <col min="172" max="172" width="6.6640625" style="6" bestFit="1" customWidth="1"/>
    <col min="173" max="173" width="3.33203125" customWidth="1"/>
    <col min="174" max="174" width="6" bestFit="1" customWidth="1"/>
    <col min="175" max="175" width="5.5" style="6" bestFit="1" customWidth="1"/>
    <col min="176" max="176" width="9.83203125" style="45" customWidth="1"/>
    <col min="177" max="177" width="7.6640625" style="128" bestFit="1" customWidth="1"/>
    <col min="178" max="178" width="8.33203125" style="128" customWidth="1"/>
    <col min="179" max="179" width="9" style="128" customWidth="1"/>
    <col min="180" max="180" width="10" style="6" customWidth="1"/>
    <col min="181" max="181" width="7.33203125" style="128" bestFit="1" customWidth="1"/>
    <col min="182" max="182" width="9.83203125" style="128" customWidth="1"/>
    <col min="183" max="183" width="15.5" style="6" customWidth="1"/>
    <col min="184" max="185" width="14.33203125" style="6" customWidth="1"/>
    <col min="186" max="186" width="12.83203125" style="6" bestFit="1" customWidth="1"/>
    <col min="187" max="187" width="9.5" style="6" bestFit="1" customWidth="1"/>
    <col min="188" max="188" width="3.33203125" customWidth="1"/>
    <col min="189" max="189" width="20.83203125" bestFit="1" customWidth="1"/>
    <col min="190" max="190" width="9.1640625" customWidth="1"/>
    <col min="191" max="191" width="4.6640625" bestFit="1" customWidth="1"/>
    <col min="192" max="192" width="3.33203125" customWidth="1"/>
    <col min="193" max="193" width="5.5" style="6" bestFit="1" customWidth="1"/>
    <col min="194" max="194" width="6.6640625" style="6" bestFit="1" customWidth="1"/>
    <col min="195" max="195" width="8.6640625" style="6" bestFit="1" customWidth="1"/>
    <col min="196" max="196" width="14.83203125" style="6" customWidth="1"/>
    <col min="197" max="197" width="9" style="6" bestFit="1" customWidth="1"/>
    <col min="198" max="198" width="11" style="6" bestFit="1" customWidth="1"/>
    <col min="199" max="199" width="14.6640625" style="6" customWidth="1"/>
    <col min="200" max="200" width="7.1640625" style="6" bestFit="1" customWidth="1"/>
    <col min="201" max="201" width="9.1640625" style="6" bestFit="1" customWidth="1"/>
    <col min="202" max="202" width="11.6640625" style="6" customWidth="1"/>
    <col min="203" max="203" width="3.33203125" style="6" customWidth="1"/>
    <col min="204" max="204" width="22.1640625" style="6" bestFit="1" customWidth="1"/>
    <col min="205" max="205" width="6.6640625" style="6" bestFit="1" customWidth="1"/>
    <col min="206" max="206" width="3.33203125" style="6" customWidth="1"/>
    <col min="207" max="207" width="14.6640625" style="6" bestFit="1" customWidth="1"/>
    <col min="208" max="208" width="12.1640625" style="6" bestFit="1" customWidth="1"/>
    <col min="209" max="209" width="12.83203125" style="6" bestFit="1" customWidth="1"/>
    <col min="210" max="210" width="15.5" style="6" bestFit="1" customWidth="1"/>
    <col min="211" max="211" width="7.83203125" style="6" bestFit="1" customWidth="1"/>
    <col min="212" max="212" width="7.1640625" style="6" bestFit="1" customWidth="1"/>
    <col min="213" max="213" width="8.33203125" style="45" customWidth="1"/>
    <col min="214" max="214" width="3.33203125" style="6" customWidth="1"/>
    <col min="215" max="215" width="14.83203125" style="6" bestFit="1" customWidth="1"/>
    <col min="216" max="216" width="12.83203125" style="6" bestFit="1" customWidth="1"/>
    <col min="217" max="217" width="6.5" style="6" bestFit="1" customWidth="1"/>
    <col min="218" max="218" width="3.33203125" style="45" customWidth="1"/>
    <col min="219" max="219" width="5.5" style="45" bestFit="1" customWidth="1"/>
    <col min="220" max="220" width="15.1640625" style="45" bestFit="1" customWidth="1"/>
    <col min="221" max="221" width="6.33203125" style="45" bestFit="1" customWidth="1"/>
    <col min="222" max="222" width="3.33203125" style="45" customWidth="1"/>
    <col min="223" max="223" width="5.5" style="45" bestFit="1" customWidth="1"/>
    <col min="224" max="224" width="11" style="45" customWidth="1"/>
    <col min="225" max="225" width="12.1640625" style="45" customWidth="1"/>
    <col min="226" max="226" width="6.33203125" style="45" customWidth="1"/>
    <col min="227" max="227" width="9.6640625" style="45" customWidth="1"/>
    <col min="228" max="229" width="3.1640625" style="45" bestFit="1" customWidth="1"/>
    <col min="230" max="230" width="3.33203125" customWidth="1"/>
    <col min="231" max="231" width="5.5" style="6" bestFit="1" customWidth="1"/>
    <col min="232" max="233" width="9.83203125" style="6" bestFit="1" customWidth="1"/>
    <col min="234" max="234" width="6.1640625" style="6" bestFit="1" customWidth="1"/>
    <col min="235" max="235" width="5" customWidth="1"/>
    <col min="236" max="236" width="5.5" bestFit="1" customWidth="1"/>
    <col min="237" max="238" width="7.5" customWidth="1"/>
    <col min="239" max="239" width="7.1640625" style="128" bestFit="1" customWidth="1"/>
    <col min="240" max="240" width="7.6640625" style="45" bestFit="1" customWidth="1"/>
    <col min="241" max="241" width="3.33203125" customWidth="1"/>
    <col min="242" max="242" width="7.83203125" style="6" customWidth="1"/>
    <col min="243" max="243" width="7.83203125" customWidth="1"/>
    <col min="244" max="244" width="3.33203125" customWidth="1"/>
    <col min="245" max="245" width="5.5" style="6" bestFit="1" customWidth="1"/>
    <col min="246" max="246" width="7.1640625" style="6" bestFit="1" customWidth="1"/>
    <col min="247" max="247" width="12.83203125" style="6" customWidth="1"/>
    <col min="248" max="248" width="15.1640625" style="45" bestFit="1" customWidth="1"/>
    <col min="249" max="249" width="6.33203125" style="45" bestFit="1" customWidth="1"/>
    <col min="250" max="250" width="3.33203125" style="6" customWidth="1"/>
    <col min="251" max="251" width="9.33203125" style="6" bestFit="1" customWidth="1"/>
    <col min="252" max="252" width="5.6640625" style="6" customWidth="1"/>
    <col min="253" max="253" width="5.33203125" style="6" bestFit="1" customWidth="1"/>
    <col min="254" max="254" width="3.33203125" customWidth="1"/>
    <col min="255" max="255" width="5.5" style="6" bestFit="1" customWidth="1"/>
    <col min="256" max="256" width="11.83203125" style="6" bestFit="1" customWidth="1"/>
    <col min="257" max="257" width="8.1640625" style="6" bestFit="1" customWidth="1"/>
    <col min="258" max="258" width="18.83203125" style="6" bestFit="1" customWidth="1"/>
    <col min="259" max="259" width="18.83203125" style="45" bestFit="1" customWidth="1"/>
    <col min="260" max="260" width="20.6640625" style="45" bestFit="1" customWidth="1"/>
    <col min="261" max="261" width="6.33203125" style="45" bestFit="1" customWidth="1"/>
    <col min="262" max="262" width="3.33203125" style="6" customWidth="1"/>
    <col min="263" max="263" width="9.6640625" style="6" bestFit="1" customWidth="1"/>
    <col min="264" max="265" width="5.33203125" style="6" bestFit="1" customWidth="1"/>
    <col min="266" max="266" width="3.33203125" customWidth="1"/>
    <col min="267" max="267" width="5.5" style="6" bestFit="1" customWidth="1"/>
    <col min="268" max="268" width="7.1640625" style="6" bestFit="1" customWidth="1"/>
    <col min="269" max="269" width="7.33203125" style="6" bestFit="1" customWidth="1"/>
    <col min="270" max="270" width="11.33203125" style="6" bestFit="1" customWidth="1"/>
  </cols>
  <sheetData>
    <row r="1" spans="1:270" ht="42.75" customHeight="1" x14ac:dyDescent="0.2">
      <c r="A1" s="1" t="s">
        <v>0</v>
      </c>
      <c r="B1" s="1" t="s">
        <v>53</v>
      </c>
      <c r="C1" s="1" t="s">
        <v>54</v>
      </c>
      <c r="D1" s="1" t="s">
        <v>55</v>
      </c>
      <c r="E1" s="1" t="s">
        <v>56</v>
      </c>
      <c r="F1" s="1" t="s">
        <v>1</v>
      </c>
      <c r="H1" s="152"/>
      <c r="I1" s="153"/>
      <c r="J1" s="1" t="s">
        <v>2</v>
      </c>
      <c r="K1" s="1" t="s">
        <v>3</v>
      </c>
      <c r="L1" s="1" t="s">
        <v>28</v>
      </c>
      <c r="M1" s="1" t="s">
        <v>72</v>
      </c>
      <c r="N1" s="1" t="s">
        <v>73</v>
      </c>
      <c r="P1" s="150"/>
      <c r="Q1" s="1" t="s">
        <v>57</v>
      </c>
      <c r="R1" s="1" t="s">
        <v>62</v>
      </c>
      <c r="S1" s="1" t="s">
        <v>79</v>
      </c>
      <c r="T1" s="1" t="s">
        <v>80</v>
      </c>
      <c r="V1" s="150"/>
      <c r="W1" s="1" t="s">
        <v>52</v>
      </c>
      <c r="X1" s="1" t="s">
        <v>78</v>
      </c>
      <c r="Y1" s="1" t="s">
        <v>71</v>
      </c>
      <c r="Z1" s="1" t="s">
        <v>74</v>
      </c>
      <c r="AB1" s="150"/>
      <c r="AC1" s="1" t="s">
        <v>12</v>
      </c>
      <c r="AD1" s="1" t="s">
        <v>213</v>
      </c>
      <c r="AE1" s="1" t="s">
        <v>75</v>
      </c>
      <c r="AF1" s="1" t="s">
        <v>76</v>
      </c>
      <c r="AG1" s="1" t="s">
        <v>77</v>
      </c>
      <c r="AI1" s="152"/>
      <c r="AJ1" s="178" t="s">
        <v>87</v>
      </c>
      <c r="AK1" s="178"/>
      <c r="AL1" s="1" t="s">
        <v>65</v>
      </c>
      <c r="AM1" s="1" t="s">
        <v>22</v>
      </c>
      <c r="AN1" s="1" t="s">
        <v>91</v>
      </c>
      <c r="AO1" s="1" t="str">
        <f>Present_Effect_size_measure</f>
        <v>Odds Ratio</v>
      </c>
      <c r="AP1" s="1" t="s">
        <v>197</v>
      </c>
      <c r="AQ1" s="1" t="s">
        <v>202</v>
      </c>
      <c r="AR1" s="1" t="str">
        <f>IF(Present_Effect_size_measure="Risk Difference","Standard error","Standard error log")</f>
        <v>Standard error log</v>
      </c>
      <c r="AS1" s="1" t="s">
        <v>18</v>
      </c>
      <c r="AT1" s="1" t="s">
        <v>19</v>
      </c>
      <c r="AU1" s="1" t="s">
        <v>4</v>
      </c>
      <c r="AW1" s="1" t="str">
        <f>Present_Effect_size_measure</f>
        <v>Odds Ratio</v>
      </c>
      <c r="AX1" s="1" t="s">
        <v>95</v>
      </c>
      <c r="AY1" s="1" t="s">
        <v>96</v>
      </c>
      <c r="BA1" s="178" t="s">
        <v>97</v>
      </c>
      <c r="BB1" s="178"/>
      <c r="BD1" s="152"/>
      <c r="BE1" s="153"/>
      <c r="BF1" s="1" t="str">
        <f>IF(OR(Model_effect_size_measure="Odds Ratio",Model_effect_size_measure="Risk Ratio",Model_effect_size_measure="Peto Odds Ratio"),CONCATENATE("Log ",Model_effect_size_measure),"")</f>
        <v>Log Odds Ratio</v>
      </c>
      <c r="BG1" s="168" t="s">
        <v>149</v>
      </c>
      <c r="BH1" s="1" t="s">
        <v>197</v>
      </c>
      <c r="BI1" s="1" t="s">
        <v>202</v>
      </c>
      <c r="BJ1" s="1" t="s">
        <v>173</v>
      </c>
      <c r="BL1" s="178" t="s">
        <v>203</v>
      </c>
      <c r="BM1" s="178"/>
      <c r="BO1" s="150"/>
      <c r="BP1" s="14" t="s">
        <v>281</v>
      </c>
      <c r="BQ1" s="14" t="s">
        <v>286</v>
      </c>
      <c r="BR1" s="14" t="s">
        <v>287</v>
      </c>
      <c r="BS1" s="14" t="s">
        <v>288</v>
      </c>
      <c r="BT1" s="14" t="s">
        <v>289</v>
      </c>
      <c r="BU1" s="14" t="s">
        <v>290</v>
      </c>
      <c r="BV1" s="14" t="s">
        <v>197</v>
      </c>
      <c r="BW1" s="14" t="s">
        <v>70</v>
      </c>
      <c r="BX1" s="14" t="s">
        <v>202</v>
      </c>
      <c r="BY1" s="14" t="s">
        <v>173</v>
      </c>
      <c r="BZ1" s="15"/>
      <c r="CA1" s="178" t="s">
        <v>203</v>
      </c>
      <c r="CB1" s="178"/>
      <c r="CD1" s="150"/>
      <c r="CE1" s="1" t="s">
        <v>63</v>
      </c>
      <c r="CF1" s="1" t="s">
        <v>64</v>
      </c>
      <c r="CG1" s="1" t="s">
        <v>58</v>
      </c>
      <c r="CH1" s="1" t="s">
        <v>61</v>
      </c>
      <c r="CI1" s="1" t="s">
        <v>197</v>
      </c>
      <c r="CJ1" s="1" t="s">
        <v>202</v>
      </c>
      <c r="CK1" s="1" t="s">
        <v>173</v>
      </c>
      <c r="CM1" s="178" t="s">
        <v>203</v>
      </c>
      <c r="CN1" s="178"/>
      <c r="CP1" s="150"/>
      <c r="CQ1" s="1" t="s">
        <v>86</v>
      </c>
      <c r="CS1" s="178" t="s">
        <v>13</v>
      </c>
      <c r="CT1" s="178"/>
      <c r="CU1" s="178"/>
      <c r="CV1" s="178"/>
      <c r="CX1" s="152"/>
      <c r="CY1" s="1" t="s">
        <v>104</v>
      </c>
      <c r="CZ1" s="1" t="s">
        <v>22</v>
      </c>
      <c r="DA1" s="1" t="s">
        <v>105</v>
      </c>
      <c r="DB1" s="1" t="str">
        <f>IF(Subgroup_effect_size_measure="Risk Difference",Subgroup_effect_size_measure,IF(OR(Subgroup_effect_size_measure="Risk Ratio",Subgroup_effect_size_measure="Odds Ratio",Subgroup_effect_size_measure="Peto Odds Ratio"),CONCATENATE("Log ",Subgroup_effect_size_measure),""))</f>
        <v>Log Odds Ratio</v>
      </c>
      <c r="DC1" s="1" t="str">
        <f>CONCATENATE("SE ",DB1)</f>
        <v>SE Log Odds Ratio</v>
      </c>
      <c r="DD1" s="1" t="s">
        <v>197</v>
      </c>
      <c r="DE1" s="1" t="s">
        <v>106</v>
      </c>
      <c r="DF1" s="1" t="s">
        <v>107</v>
      </c>
      <c r="DG1" s="1" t="str">
        <f>IF(OR(Subgroup_effect_size_measure="Risk Ratio",Subgroup_effect_size_measure="Odds Ratio",Subgroup_effect_size_measure="Peto Odds Ratio"),Subgroup_effect_size_measure,"")</f>
        <v>Odds Ratio</v>
      </c>
      <c r="DH1" s="1" t="s">
        <v>211</v>
      </c>
      <c r="DI1" s="1" t="s">
        <v>212</v>
      </c>
      <c r="DJ1" s="1" t="s">
        <v>173</v>
      </c>
      <c r="DL1" s="1" t="str">
        <f>Subgroup_effect_size_measure</f>
        <v>Odds Ratio</v>
      </c>
      <c r="DM1" s="1" t="s">
        <v>95</v>
      </c>
      <c r="DN1" s="1" t="s">
        <v>96</v>
      </c>
      <c r="DP1" s="1" t="s">
        <v>109</v>
      </c>
      <c r="DQ1" s="1" t="s">
        <v>105</v>
      </c>
      <c r="DR1" s="1" t="s">
        <v>0</v>
      </c>
      <c r="DS1" s="1" t="s">
        <v>110</v>
      </c>
      <c r="DT1" s="1" t="s">
        <v>6</v>
      </c>
      <c r="DU1" s="1" t="s">
        <v>111</v>
      </c>
      <c r="DV1" s="1" t="s">
        <v>112</v>
      </c>
      <c r="DW1" s="1" t="s">
        <v>113</v>
      </c>
      <c r="DX1" s="1" t="s">
        <v>114</v>
      </c>
      <c r="DY1" s="1" t="s">
        <v>7</v>
      </c>
      <c r="DZ1" s="1" t="str">
        <f>IF(OR(Subgroup_effect_size_measure="Risk Ratio",Subgroup_effect_size_measure="Odds Ratio",Subgroup_effect_size_measure="Peto Odds Ratio"),"CES log","CES")</f>
        <v>CES log</v>
      </c>
      <c r="EA1" s="1" t="str">
        <f>IF(OR(Subgroup_effect_size_measure="Risk Ratio",Subgroup_effect_size_measure="Odds Ratio",Subgroup_effect_size_measure="Peto Odds Ratio"),"SE log","SE")</f>
        <v>SE log</v>
      </c>
      <c r="EB1" s="1" t="s">
        <v>115</v>
      </c>
      <c r="EC1" s="1" t="str">
        <f>IF(OR(Subgroup_effect_size_measure="Risk Ratio",Subgroup_effect_size_measure="Odds Ratio",Subgroup_effect_size_measure="Peto Odds Ratio"),"CI LL log","CI LL")</f>
        <v>CI LL log</v>
      </c>
      <c r="ED1" s="1" t="str">
        <f>IF(OR(Subgroup_effect_size_measure="Risk Ratio",Subgroup_effect_size_measure="Odds Ratio",Subgroup_effect_size_measure="Peto Odds Ratio"),"CI UL log","CI UL")</f>
        <v>CI UL log</v>
      </c>
      <c r="EE1" s="1" t="str">
        <f>IF(OR(Subgroup_effect_size_measure="Risk Ratio",Subgroup_effect_size_measure="Odds Ratio",Subgroup_effect_size_measure="Peto Odds Ratio"),"CES","")</f>
        <v>CES</v>
      </c>
      <c r="EF1" s="1" t="str">
        <f>IF(OR(Subgroup_effect_size_measure="Risk Ratio",Subgroup_effect_size_measure="Odds Ratio",Subgroup_effect_size_measure="Peto Odds Ratio"),"CI LL","")</f>
        <v>CI LL</v>
      </c>
      <c r="EG1" s="1" t="str">
        <f>IF(OR(Subgroup_effect_size_measure="Risk Ratio",Subgroup_effect_size_measure="Odds Ratio",Subgroup_effect_size_measure="Peto Odds Ratio"),"CI UL","")</f>
        <v>CI UL</v>
      </c>
      <c r="EH1" s="1" t="s">
        <v>120</v>
      </c>
      <c r="EI1" s="1" t="s">
        <v>121</v>
      </c>
      <c r="EJ1" s="1" t="str">
        <f>IF(OR(Subgroup_effect_size_measure="Risk Ratio",Subgroup_effect_size_measure="Odds Ratio",Subgroup_effect_size_measure="Peto Odds Ratio"),"PI LL log","PI LL")</f>
        <v>PI LL log</v>
      </c>
      <c r="EK1" s="1" t="str">
        <f>IF(OR(Subgroup_effect_size_measure="Risk Ratio",Subgroup_effect_size_measure="Odds Ratio",Subgroup_effect_size_measure="Peto Odds Ratio"),"PI UL log","PI UL")</f>
        <v>PI UL log</v>
      </c>
      <c r="EL1" s="1" t="str">
        <f>IF(OR(Subgroup_effect_size_measure="Risk Ratio",Subgroup_effect_size_measure="Odds Ratio",Subgroup_effect_size_measure="Peto Odds Ratio"),"PI LL","")</f>
        <v>PI LL</v>
      </c>
      <c r="EM1" s="1" t="str">
        <f>IF(OR(Subgroup_effect_size_measure="Risk Ratio",Subgroup_effect_size_measure="Odds Ratio",Subgroup_effect_size_measure="Peto Odds Ratio"),"PI UL","")</f>
        <v>PI UL</v>
      </c>
      <c r="EN1" s="1" t="s">
        <v>122</v>
      </c>
      <c r="EO1" s="1" t="s">
        <v>123</v>
      </c>
      <c r="EP1" s="1" t="str">
        <f>IF(Within_subgroup_weighting=EX38,"Sum of squares (Q)","Sum of squares (Q*)")</f>
        <v>Sum of squares (Q*)</v>
      </c>
      <c r="EQ1" s="1" t="s">
        <v>97</v>
      </c>
      <c r="ER1" s="27" t="s">
        <v>116</v>
      </c>
      <c r="ES1" s="1" t="s">
        <v>197</v>
      </c>
      <c r="ET1" s="1" t="s">
        <v>341</v>
      </c>
      <c r="EU1" s="1" t="s">
        <v>117</v>
      </c>
      <c r="EV1" s="1" t="s">
        <v>173</v>
      </c>
      <c r="EX1" s="1" t="s">
        <v>17</v>
      </c>
      <c r="EY1" s="1"/>
      <c r="FA1" s="152"/>
      <c r="FB1" s="1" t="s">
        <v>108</v>
      </c>
      <c r="FC1" s="1" t="str">
        <f>Moderator_effect_size_measure</f>
        <v>Log Odds Ratio</v>
      </c>
      <c r="FD1" s="1" t="s">
        <v>228</v>
      </c>
      <c r="FE1" s="1" t="s">
        <v>197</v>
      </c>
      <c r="FF1" s="1" t="s">
        <v>301</v>
      </c>
      <c r="FG1" s="1" t="s">
        <v>161</v>
      </c>
      <c r="FH1" s="1" t="s">
        <v>220</v>
      </c>
      <c r="FJ1" s="1" t="s">
        <v>4</v>
      </c>
      <c r="FK1" s="1" t="s">
        <v>218</v>
      </c>
      <c r="FL1" s="1" t="s">
        <v>161</v>
      </c>
      <c r="FM1" s="1" t="s">
        <v>284</v>
      </c>
      <c r="FO1" s="1" t="s">
        <v>333</v>
      </c>
      <c r="FP1" s="1"/>
      <c r="FR1" s="152"/>
      <c r="FS1" s="153"/>
      <c r="FT1" s="1" t="s">
        <v>197</v>
      </c>
      <c r="FU1" s="126" t="s">
        <v>4</v>
      </c>
      <c r="FV1" s="126" t="s">
        <v>326</v>
      </c>
      <c r="FW1" s="126" t="s">
        <v>327</v>
      </c>
      <c r="FX1" s="1" t="s">
        <v>131</v>
      </c>
      <c r="FY1" s="126" t="s">
        <v>8</v>
      </c>
      <c r="FZ1" s="126" t="s">
        <v>278</v>
      </c>
      <c r="GA1" s="1" t="s">
        <v>88</v>
      </c>
      <c r="GB1" s="1" t="s">
        <v>89</v>
      </c>
      <c r="GC1" s="1" t="s">
        <v>90</v>
      </c>
      <c r="GD1" s="1" t="str">
        <f>Additional_effect_size_measure</f>
        <v>Log Odds Ratio</v>
      </c>
      <c r="GE1" s="1" t="str">
        <f>CONCATENATE("SE ",Additional_effect_size_measure)</f>
        <v>SE Log Odds Ratio</v>
      </c>
      <c r="GG1" s="178" t="s">
        <v>152</v>
      </c>
      <c r="GH1" s="178"/>
      <c r="GI1" s="178"/>
      <c r="GK1" s="150"/>
      <c r="GL1" s="1" t="s">
        <v>176</v>
      </c>
      <c r="GM1" s="1" t="s">
        <v>177</v>
      </c>
      <c r="GN1" s="1" t="s">
        <v>252</v>
      </c>
      <c r="GO1" s="1" t="s">
        <v>178</v>
      </c>
      <c r="GP1" s="1" t="s">
        <v>179</v>
      </c>
      <c r="GQ1" s="1" t="s">
        <v>253</v>
      </c>
      <c r="GR1" s="1" t="s">
        <v>180</v>
      </c>
      <c r="GS1" s="1" t="s">
        <v>181</v>
      </c>
      <c r="GT1" s="1" t="s">
        <v>254</v>
      </c>
      <c r="GV1" s="178" t="s">
        <v>222</v>
      </c>
      <c r="GW1" s="178"/>
      <c r="GY1" s="1" t="s">
        <v>268</v>
      </c>
      <c r="GZ1" s="1" t="s">
        <v>182</v>
      </c>
      <c r="HA1" s="1" t="str">
        <f>GV3</f>
        <v>Log Odds Ratio</v>
      </c>
      <c r="HB1" s="1" t="str">
        <f>CONCATENATE("SE ",Additional_effect_size_measure)</f>
        <v>SE Log Odds Ratio</v>
      </c>
      <c r="HC1" s="1" t="s">
        <v>92</v>
      </c>
      <c r="HD1" s="1" t="s">
        <v>4</v>
      </c>
      <c r="HE1" s="1" t="s">
        <v>173</v>
      </c>
      <c r="HG1" s="1" t="s">
        <v>183</v>
      </c>
      <c r="HH1" s="1" t="str">
        <f>HA1</f>
        <v>Log Odds Ratio</v>
      </c>
      <c r="HI1" s="1" t="str">
        <f>HB1</f>
        <v>SE Log Odds Ratio</v>
      </c>
      <c r="HK1" s="150"/>
      <c r="HL1" s="1" t="s">
        <v>249</v>
      </c>
      <c r="HM1" s="1" t="s">
        <v>250</v>
      </c>
      <c r="HO1" s="150"/>
      <c r="HP1" s="1" t="s">
        <v>256</v>
      </c>
      <c r="HQ1" s="1" t="s">
        <v>255</v>
      </c>
      <c r="HR1" s="1" t="s">
        <v>258</v>
      </c>
      <c r="HS1" s="1" t="s">
        <v>259</v>
      </c>
      <c r="HT1" s="1" t="s">
        <v>68</v>
      </c>
      <c r="HU1" s="1" t="s">
        <v>69</v>
      </c>
      <c r="HW1" s="150"/>
      <c r="HX1" s="1" t="s">
        <v>133</v>
      </c>
      <c r="HY1" s="1" t="s">
        <v>134</v>
      </c>
      <c r="HZ1" s="1" t="s">
        <v>135</v>
      </c>
      <c r="IB1" s="150"/>
      <c r="IC1" s="1" t="s">
        <v>66</v>
      </c>
      <c r="ID1" s="1" t="s">
        <v>67</v>
      </c>
      <c r="IE1" s="126" t="s">
        <v>197</v>
      </c>
      <c r="IF1" s="1" t="s">
        <v>285</v>
      </c>
      <c r="IH1" s="178" t="s">
        <v>235</v>
      </c>
      <c r="II1" s="178"/>
      <c r="IK1" s="150"/>
      <c r="IL1" s="1" t="s">
        <v>302</v>
      </c>
      <c r="IM1" s="1" t="s">
        <v>303</v>
      </c>
      <c r="IN1" s="1" t="s">
        <v>249</v>
      </c>
      <c r="IO1" s="1" t="s">
        <v>250</v>
      </c>
      <c r="IQ1" s="178" t="s">
        <v>145</v>
      </c>
      <c r="IR1" s="178"/>
      <c r="IS1" s="178"/>
      <c r="IU1" s="150"/>
      <c r="IV1" s="1" t="s">
        <v>158</v>
      </c>
      <c r="IW1" s="1" t="s">
        <v>272</v>
      </c>
      <c r="IX1" s="1" t="s">
        <v>225</v>
      </c>
      <c r="IY1" s="1" t="s">
        <v>273</v>
      </c>
      <c r="IZ1" s="1" t="s">
        <v>251</v>
      </c>
      <c r="JA1" s="1" t="s">
        <v>250</v>
      </c>
      <c r="JC1" s="178" t="s">
        <v>145</v>
      </c>
      <c r="JD1" s="178"/>
      <c r="JE1" s="178"/>
      <c r="JG1" s="150"/>
      <c r="JH1" s="1" t="s">
        <v>142</v>
      </c>
      <c r="JI1" s="1" t="s">
        <v>168</v>
      </c>
      <c r="JJ1" s="1" t="s">
        <v>247</v>
      </c>
    </row>
    <row r="2" spans="1:270" ht="13.5" customHeight="1" x14ac:dyDescent="0.25">
      <c r="A2" s="2">
        <f t="shared" ref="A2:A33" si="0">Entry_number</f>
        <v>1</v>
      </c>
      <c r="B2" s="7">
        <f>IF(AND(Include_study?="Yes",Sufficient_data="Yes"),IF(Input!a_&lt;&gt;"",Input!a_,Input!n1_-Input!b_),"")</f>
        <v>10</v>
      </c>
      <c r="C2" s="7">
        <f>IF(AND(Include_study?="Yes",Sufficient_data="Yes"),IF(Input!b_&lt;&gt;"",Input!b_,Input!n1_-Input!a_),"")</f>
        <v>40</v>
      </c>
      <c r="D2" s="7">
        <f>IF(AND(Include_study?="Yes",Sufficient_data="Yes"),IF(Input!c_&lt;&gt;"",Input!c_,Input!n2_-Input!d_),"")</f>
        <v>4</v>
      </c>
      <c r="E2" s="7">
        <f>IF(AND(Include_study?="Yes",Sufficient_data="Yes"),IF(Input!d_&lt;&gt;"",Input!d_,Input!n2_-Input!c_),"")</f>
        <v>46</v>
      </c>
      <c r="F2" s="74" t="str">
        <f t="shared" ref="F2:F33" si="1">IF(AND(Include_study?="Yes",Sufficient_data="Yes"),IF(OR(a_=0,b_=0,c_=0,d_=0),"Yes","No"),"")</f>
        <v>No</v>
      </c>
      <c r="H2" s="196" t="s">
        <v>81</v>
      </c>
      <c r="I2" s="182" t="s">
        <v>13</v>
      </c>
      <c r="J2" s="145">
        <f t="shared" ref="J2:J65" si="2">IF(AND(Include_study?="Yes",Sufficient_data="Yes"),IF(Add_0_5="Yes",((a_+0.5)*(d_+0.5))/((b_+0.5)*(c_+0.5)),(a_*d_)/(b_*c_)),"")</f>
        <v>2.875</v>
      </c>
      <c r="K2" s="127">
        <f t="shared" ref="K2:K33" si="3">IF(AND(Include_study?="Yes",Sufficient_data="Yes"),LN(OddsRatio),"")</f>
        <v>1.0560526742493137</v>
      </c>
      <c r="L2" s="127">
        <f t="shared" ref="L2:L33" si="4">IF(AND(Include_study?="Yes",Sufficient_data="Yes"),SQRT(IF(Add_0_5="Yes",1/(a_+0.5)+1/(b_+0.5)+1/(c_+0.5)+1/(d_+0.5),1/a_+1/b_+1/c_+1/d_)),"")</f>
        <v>0.62987231280219214</v>
      </c>
      <c r="M2" s="127">
        <f t="shared" ref="M2:M33" si="5">IF(AND(Include_study?="Yes",Sufficient_data="Yes"),EXP(LogOddsRatio-ABS(TINV((1-Confidence_level),Number_of_subjects-2))*SELogOddsRatio),"")</f>
        <v>0.82373332925029641</v>
      </c>
      <c r="N2" s="73">
        <f t="shared" ref="N2:N33" si="6">IF(AND(Include_study?="Yes",Sufficient_data="Yes"),EXP(LogOddsRatio+ABS(TINV((1-Confidence_level),Number_of_subjects-2))*SELogOddsRatio),"")</f>
        <v>10.034345711764251</v>
      </c>
      <c r="P2" s="176" t="s">
        <v>224</v>
      </c>
      <c r="Q2" s="131">
        <f t="shared" ref="Q2:Q33" si="7">IF(AND(Include_study?="Yes",Sufficient_data="Yes"),EXP(LogPetoOddsRatio),"")</f>
        <v>2.6823974444392196</v>
      </c>
      <c r="R2" s="127">
        <f t="shared" ref="R2:R33" si="8">IF(AND(Include_study?="Yes",Sufficient_data="Yes"),SQRT(VarLogPetoOddsRatio),"")</f>
        <v>0.57350122448435092</v>
      </c>
      <c r="S2" s="127">
        <f t="shared" ref="S2:S33" si="9">IF(AND(Include_study?="Yes",Sufficient_data="Yes"),EXP(LogPetoOddsRatio-ABS(TINV((1-Confidence_level),Number_of_subjects-2))*SELogPetoOddsRatio),"")</f>
        <v>0.85951796589032048</v>
      </c>
      <c r="T2" s="73">
        <f t="shared" ref="T2:T33" si="10">IF(AND(Include_study?="Yes",Sufficient_data="Yes"),EXP(LogPetoOddsRatio+ABS(TINV((1-Confidence_level),Number_of_subjects-2))*SELogPetoOddsRatio),"")</f>
        <v>8.3712689384926886</v>
      </c>
      <c r="V2" s="176" t="s">
        <v>52</v>
      </c>
      <c r="W2" s="131">
        <f t="shared" ref="W2:W33" si="11">IF(AND(Include_study?="Yes",Sufficient_data="Yes"),a_/(a_+b_)-c_/(c_+d_),"")</f>
        <v>0.12000000000000001</v>
      </c>
      <c r="X2" s="127">
        <f t="shared" ref="X2:X33" si="12">IF(AND(Include_study?="Yes",Sufficient_data="Yes"),SQRT(a_*b_/(a_+b_)^3+c_*d_/(c_+d_)^3),"")</f>
        <v>6.8352029962540251E-2</v>
      </c>
      <c r="Y2" s="127">
        <f t="shared" ref="Y2:Y33" si="13">IF(AND(Include_study?="Yes",Sufficient_data="Yes"),Risk_Difference-SERiskDifference*ABS(TINV((1-Confidence_level),Number_of_subjects-2)),"")</f>
        <v>-1.5642378910249513E-2</v>
      </c>
      <c r="Z2" s="73">
        <f t="shared" ref="Z2:Z33" si="14">IF(AND(Include_study?="Yes",Sufficient_data="Yes"),Risk_Difference+SERiskDifference*ABS(TINV((1-Confidence_level),Number_of_subjects-2)),"")</f>
        <v>0.25564237891024955</v>
      </c>
      <c r="AB2" s="176" t="s">
        <v>12</v>
      </c>
      <c r="AC2" s="131">
        <f t="shared" ref="AC2:AC33" si="15">IF(AND(Include_study?="Yes",Sufficient_data="Yes"),IF(Add_0_5="Yes",((a_+0.5)/(a_+0.5+b_+0.5))/((c_+0.5)/(c_+0.5+d_+0.5)),(a_/(a_+b_))/(c_/(c_+d_))),"")</f>
        <v>2.5</v>
      </c>
      <c r="AD2" s="135">
        <f t="shared" ref="AD2:AD33" si="16">IF(AND(Include_study?="Yes",Sufficient_data="Yes"),LN(Risk_Ratio),"")</f>
        <v>0.91629073187415511</v>
      </c>
      <c r="AE2" s="127">
        <f t="shared" ref="AE2:AE33" si="17">IF(AND(Include_study?="Yes",Sufficient_data="Yes"),IF(Add_0_5="Yes",SQRT(1/(a_+0.5)-1/(a_+0.5+b_+0.5)+1/(c_+0.5)-1/(c_+0.5+d_+0.5)),SQRT(1/a_-1/(a_+b_)+1/c_-1/(c_+d_))),"")</f>
        <v>0.55677643628300222</v>
      </c>
      <c r="AF2" s="127">
        <f t="shared" ref="AF2:AF33" si="18">IF(AND(Include_study?="Yes",Sufficient_data="Yes"),EXP(LN(Risk_Ratio)-ABS(TINV((1-Confidence_level),Number_of_subjects-2))*SELogRiskRatio),"")</f>
        <v>0.82810610608063673</v>
      </c>
      <c r="AG2" s="73">
        <f t="shared" ref="AG2:AG33" si="19">IF(AND(Include_study?="Yes",Sufficient_data="Yes"),EXP(LN(Risk_Ratio)+ABS(TINV((1-Confidence_level),Number_of_subjects-2))*SELogRiskRatio),"")</f>
        <v>7.5473420061841763</v>
      </c>
      <c r="AI2" s="196" t="s">
        <v>94</v>
      </c>
      <c r="AJ2" s="7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1</v>
      </c>
      <c r="AK2" s="7">
        <f>IF(AJ2&lt;&gt;"",IF(AJ2=0,1,AJ2+COUNTIF(AJ:AJ,0)),"")</f>
        <v>1</v>
      </c>
      <c r="AL2" s="7">
        <f t="shared" ref="AL2:AL65" si="20">Entry_number</f>
        <v>1</v>
      </c>
      <c r="AM2" s="3" t="str">
        <f>IF(AND(Include_study?="Yes",Sufficient_data="Yes",Input!Study_name&lt;&gt;""),Input!Study_name,"")</f>
        <v>aaaa</v>
      </c>
      <c r="AN2" s="7">
        <f t="shared" ref="AN2:AN65" si="21">IF(AND(Sufficient_data="Yes",Include_study?="Yes"),(a_+b_+c_+d_),"")</f>
        <v>100</v>
      </c>
      <c r="AO2" s="19">
        <f t="shared" ref="AO2:AO33" si="22">IF(AND(Include_study?="Yes",Sufficient_data="Yes"),IF(Present_Effect_size_measure="Risk difference",Risk_Difference,IF(Present_Effect_size_measure="Risk ratio",Risk_Ratio,IF(Present_Effect_size_measure="Odds Ratio",OddsRatio,IF(Present_Effect_size_measure="Peto Odds Ratio",PetoOddsRatio,"")))),"")</f>
        <v>2.875</v>
      </c>
      <c r="AP2" s="3">
        <f t="shared" ref="AP2:AP33" si="23">IF(AND(Include_study?="Yes",Sufficient_data="Yes"),IF(Weighting_method="Inverse variance",Weightf,IF(Weighting_method="Mantel-Haenszel",Weightf_MH,Weightf_Peto)),"")</f>
        <v>2.5205479452054798</v>
      </c>
      <c r="AQ2" s="3">
        <f t="shared" ref="AQ2:AQ33" si="24">IF(AND(Include_study?="Yes",Sufficient_data="Yes"),IF(Weighting_method="Inverse variance",Weight,IF(Weighting_method="Mantel-Haenszel",Weight_MH,Weight_Peto)),"")</f>
        <v>2.3578912777186636</v>
      </c>
      <c r="AR2" s="3">
        <f t="shared" ref="AR2:AR33" si="25">IF(AND(Include_study?="Yes",Sufficient_data="Yes"),IF(Present_Effect_size_measure="Risk difference",SERiskDifference,IF(Present_Effect_size_measure="Risk ratio",SELogRiskRatio,IF(Present_Effect_size_measure="Odds Ratio",SELogOddsRatio,IF(Present_Effect_size_measure="Peto Odds Ratio",SELogPetoOddsRatio)))),"")</f>
        <v>0.62987231280219214</v>
      </c>
      <c r="AS2" s="3">
        <f t="shared" ref="AS2:AS33" si="26">IF(AND(Include_study?="Yes",Sufficient_data="Yes"),IF(Present_Effect_size_measure="Risk difference",CI_LLRiskDifference,IF(Present_Effect_size_measure="Risk ratio",CI_LLRiskRatio,CI_LLOddsRatio)),"")</f>
        <v>0.82373332925029641</v>
      </c>
      <c r="AT2" s="3">
        <f t="shared" ref="AT2:AT33" si="27">IF(AND(Include_study?="Yes",Sufficient_data="Yes"),IF(Present_Effect_size_measure="Risk difference",CI_ULRiskDifference,IF(Present_Effect_size_measure="Risk ratio",CI_ULRiskRatio,CI_ULOddsRatio)),"")</f>
        <v>10.034345711764251</v>
      </c>
      <c r="AU2" s="11">
        <f t="shared" ref="AU2:AU33" si="28">IF(AND(Include_study?="Yes",Sufficient_data="Yes",Valid_options="Yes"),IF(Meta_analysis_model="Fixed effect model",Weightf_lookup/SUM(Weightf_lookup),Weightr_lookup/SUM(Weightr_lookup)),"")</f>
        <v>5.1911222229913095E-2</v>
      </c>
      <c r="AW2" s="83">
        <f t="shared" ref="AW2:AW33" si="29">IF(Effect_size_lookup&lt;&gt;"",Effect_size_lookup,NA())</f>
        <v>2.875</v>
      </c>
      <c r="AX2" s="3">
        <f t="shared" ref="AX2:AX33" si="30">IF(Effect_size_lookup&lt;&gt;"",Effect_size_lookup-AS2,NA())</f>
        <v>2.0512666707497038</v>
      </c>
      <c r="AY2" s="73">
        <f t="shared" ref="AY2:AY33" si="31">IF(Effect_size_lookup&lt;&gt;"",AT2-Effect_size_lookup,NA())</f>
        <v>7.1593457117642512</v>
      </c>
      <c r="BA2" s="54" t="s">
        <v>234</v>
      </c>
      <c r="BB2" s="53">
        <f>'Forest Plot'!$B$16</f>
        <v>1.5253279144642675</v>
      </c>
      <c r="BD2" s="196" t="s">
        <v>223</v>
      </c>
      <c r="BE2" s="182" t="s">
        <v>84</v>
      </c>
      <c r="BF2" s="3">
        <f t="shared" ref="BF2:BF33" si="32">IF(AND(Sufficient_data="Yes",Include_study?="Yes"),IF(Model_effect_size_measure="Odds Ratio",LogOddsRatio,IF(Model_effect_size_measure="Risk Ratio",LogRiskRatio,Risk_Difference)),"")</f>
        <v>1.0560526742493137</v>
      </c>
      <c r="BG2" s="3">
        <f t="shared" ref="BG2:BG33" si="33">IF(AND(Sufficient_data="Yes",Include_study?="Yes"),IF(Model_effect_size_measure="Odds Ratio",SELogOddsRatio,IF(Model_effect_size_measure="Risk Ratio",SELogRiskRatio,SERiskDifference)),"")</f>
        <v>0.62987231280219214</v>
      </c>
      <c r="BH2" s="3">
        <f t="shared" ref="BH2:BH33" si="34">IF(AND(Sufficient_data="Yes",Include_study?="Yes"),IF(Model_effect_size_measure="Odds Ratio",1/(SELogOddsRatio^2),IF(Model_effect_size_measure="Risk Ratio",1/(SELogRiskRatio^2),1/(SERiskDifference^2))),"")</f>
        <v>2.5205479452054798</v>
      </c>
      <c r="BI2" s="127">
        <f>IF(Weightf&lt;&gt;"",1/(IF(Model_effect_size_measure="Odds Ratio",SELogOddsRatio,IF(Model_effect_size_measure="Risk Ratio",SELogRiskRatio,SERiskDifference))^2+T2_),"")</f>
        <v>2.3578912777186636</v>
      </c>
      <c r="BJ2" s="94">
        <f t="shared" ref="BJ2:BJ33" si="35">IF(Weightf&lt;&gt;"",Model_Effect_size-IF(OR(Model_effect_size_measure="Odds Ratio",Model_effect_size_measure="Risk Ratio",Model_effect_size_measure="Peto Odds Ratio"),lnCES_IV,CES_IV),"")</f>
        <v>0.63384326142648117</v>
      </c>
      <c r="BL2" s="3" t="str">
        <f>IF(OR(Model_effect_size_measure="Odds Ratio",Model_effect_size_measure="Risk Ratio",Model_effect_size_measure="Peto Odds Ratio"),CONCATENATE("Log ",Model_effect_size_measure),"")</f>
        <v>Log Odds Ratio</v>
      </c>
      <c r="BM2" s="19">
        <f>IF(OR(Model_effect_size_measure="Odds Ratio",Model_effect_size_measure="Risk Ratio",Model_effect_size_measure="Peto Odds Ratio"),IF(Meta_analysis_model="Fixed effect model",SUMPRODUCT(Weightf,Model_Effect_size)/SUM(Weightf),SUMPRODUCT(Weight,Model_Effect_size)/SUM(Weight)),"")</f>
        <v>0.42220941282283253</v>
      </c>
      <c r="BO2" s="176" t="s">
        <v>83</v>
      </c>
      <c r="BP2" s="158">
        <f t="shared" ref="BP2:BP33" si="36">IF(AND(Sufficient_data="Yes",Include_study?="Yes"),IF(Add_0_5="Yes",(a_+0.5)*(d_+0.5)/(Number_of_subjects+2),a_*d_/Number_of_subjects),"")</f>
        <v>4.5999999999999996</v>
      </c>
      <c r="BQ2" s="158">
        <f t="shared" ref="BQ2:BQ33" si="37">IF(AND(Sufficient_data="Yes",Include_study?="Yes"),IF(Add_0_5="Yes",(b_+0.5)*(c_+0.5)/(Number_of_subjects+2),b_*c_/Number_of_subjects),"")</f>
        <v>1.6</v>
      </c>
      <c r="BR2" s="158">
        <f t="shared" ref="BR2:BR33" si="38">IF(AND(Sufficient_data="Yes",Include_study?="Yes"),IF(Add_0_5="Yes",(a_+d_+1)*(a_+0.5)*(d_+0.5)/(Number_of_subjects+2)^2,(a_+d_)*a_*d_/Number_of_subjects^2),"")</f>
        <v>2.5760000000000001</v>
      </c>
      <c r="BS2" s="158">
        <f>IF(AND(Sufficient_data="Yes",Include_study?="Yes"),IF(Add_0_5="Yes",(a_+d_+1)*(ab_+0.5)*(c_+0.5)/(Number_of_subjects+2)^2,(a_+d_)*b_*c_/Number_of_subjects^2),"")</f>
        <v>0.89600000000000002</v>
      </c>
      <c r="BT2" s="158">
        <f t="shared" ref="BT2:BT33" si="39">IF(AND(Sufficient_data="Yes",Include_study?="Yes"),IF(Add_0_5="Yes",(b_+c_+1)*(a_+0.5)*(d_+0.5)/(Number_of_subjects+2)^2,(b_+c_)*a_*d_/Number_of_subjects^2),"")</f>
        <v>2.024</v>
      </c>
      <c r="BU2" s="158">
        <f t="shared" ref="BU2:BU33" si="40">IF(AND(Sufficient_data="Yes",Include_study?="Yes"),IF(Add_0_5="Yes",(b_+c_+1)*(b_+0.5)*(c_+0.5)/(Number_of_subjects+2)^2,(b_+c_)*b_*c_/Number_of_subjects^2),"")</f>
        <v>0.70399999999999996</v>
      </c>
      <c r="BV2" s="158">
        <f t="shared" ref="BV2:BV33" si="41">IF(AND(Sufficient_data="Yes",Include_study?="Yes"),IF(Add_0_5="Yes",(b_+0.5)*(c_+0.5)/(Number_of_subjects+2),b_*c_/Number_of_subjects),"")</f>
        <v>1.6</v>
      </c>
      <c r="BW2" s="3">
        <f t="shared" ref="BW2:BW33" si="42">IF(AND(Sufficient_data="Yes",Include_study?="Yes"),1/(SELogOddsRatio^2)*(LogOddsRatio-LN(SUMPRODUCT(Weightf_MH,OddsRatio)/SUM(Weightf_MH)))^2,"")</f>
        <v>1.0017942333036776</v>
      </c>
      <c r="BX2" s="135">
        <f t="shared" ref="BX2:BX33" si="43">IF(Weithf_MH&lt;&gt;"",1/(SELogOddsRatio^2+T2_MH),"")</f>
        <v>2.3307489114932056</v>
      </c>
      <c r="BY2" s="94">
        <f t="shared" ref="BY2:BY33" si="44">IF(Weithf_MH&lt;&gt;"",LogOddsRatio-lnCES_OddsRatio_MH,"")</f>
        <v>0.63390972910365417</v>
      </c>
      <c r="CA2" s="3" t="s">
        <v>31</v>
      </c>
      <c r="CB2" s="158">
        <f>LN(CES_OddsRatio_MH)</f>
        <v>0.42214294514565948</v>
      </c>
      <c r="CD2" s="176" t="s">
        <v>82</v>
      </c>
      <c r="CE2" s="131">
        <f t="shared" ref="CE2:CE33" si="45">IF(AND(Include_study?="Yes",Sufficient_data="Yes"),((a_+b_)*(a_+c_))/(Number_of_subjects),"")</f>
        <v>7</v>
      </c>
      <c r="CF2" s="127">
        <f t="shared" ref="CF2:CF33" si="46">IF(AND(Include_study?="Yes",Sufficient_data="Yes"),((a_+b_)*(c_+d_)*(a_+c_)*(b_+d_))/((Number_of_subjects)^2*(Number_of_subjects-1)),"")</f>
        <v>3.0404040404040402</v>
      </c>
      <c r="CG2" s="135">
        <f t="shared" ref="CG2:CG33" si="47">IF(AND(Include_study?="Yes",Sufficient_data="Yes"),(a_-Expected)/VarExpected,"")</f>
        <v>0.98671096345514953</v>
      </c>
      <c r="CH2" s="135">
        <f t="shared" ref="CH2:CH33" si="48">IF(AND(Include_study?="Yes",Sufficient_data="Yes"),1/VarExpected,"")</f>
        <v>0.32890365448504988</v>
      </c>
      <c r="CI2" s="127">
        <f t="shared" ref="CI2:CI33" si="49">IF(AND(Sufficient_data="Yes",Include_study?="Yes"),VarExpected,"")</f>
        <v>3.0404040404040402</v>
      </c>
      <c r="CJ2" s="127">
        <f t="shared" ref="CJ2:CJ65" si="50">IF(Weightf_Peto&lt;&gt;"",1/(VarLogPetoOddsRatio+T2_Peto),"")</f>
        <v>2.8336945146479819</v>
      </c>
      <c r="CK2" s="94">
        <f t="shared" ref="CK2:CK33" si="51">IF(Weightf_Peto&lt;&gt;"",LogPetoOddsRatio-lnCES_PetoOddsRatio,"")</f>
        <v>0.5662454888573083</v>
      </c>
      <c r="CM2" s="3" t="s">
        <v>59</v>
      </c>
      <c r="CN2" s="19">
        <f>IF(Meta_analysis_model="Fixed effect model",SUMPRODUCT(Weightf_Peto,LogPetoOddsRatio)/SUM(Weightf_Peto),SUMPRODUCT(Weight_Peto,LogPetoOddsRatio)/SUM(Weight_Peto))</f>
        <v>0.42046547459784123</v>
      </c>
      <c r="CP2" s="176" t="s">
        <v>85</v>
      </c>
      <c r="CQ2" s="98">
        <f t="shared" ref="CQ2:CQ33" si="52">IF(AND(Sufficient_data="Yes",Include_study?="Yes"),c_/(c_+d_),"")</f>
        <v>0.08</v>
      </c>
      <c r="CS2" s="2"/>
      <c r="CT2" s="2" t="s">
        <v>14</v>
      </c>
      <c r="CU2" s="2" t="s">
        <v>15</v>
      </c>
      <c r="CV2" s="2" t="s">
        <v>16</v>
      </c>
      <c r="CX2" s="196" t="s">
        <v>103</v>
      </c>
      <c r="CY2" s="88">
        <f t="shared" ref="CY2:CY33" si="53">IF(AND(Include_study?="Yes",Sufficient_data="Yes",Subgroup&lt;&gt;""),COUNTIFS(Include_study?,"Yes",Sufficient_data,"Yes",DA:DA,"&lt;"&amp;Subgroup,Subgroup,"*")+COUNTIFS(Entry_number,"&lt;"&amp;Entry_number,DA:DA,Subgroup)+COUNTIFS(DS:DS,"&gt;="&amp;0,DQ:DQ,"&lt;"&amp;Subgroup)+1,NA())</f>
        <v>1</v>
      </c>
      <c r="CZ2" s="76" t="str">
        <f t="shared" ref="CZ2:CZ33" si="54">IF(AND(Include_study?="Yes",Sufficient_data="Yes",Subgroup&lt;&gt;""),Study_name,"")</f>
        <v>aaaa</v>
      </c>
      <c r="DA2" s="138" t="str">
        <f t="shared" ref="DA2:DA33" si="55">IF(AND(Include_study?="Yes",Sufficient_data="Yes",Subgroup&lt;&gt;""),Subgroup,"")</f>
        <v>AA</v>
      </c>
      <c r="DB2" s="135">
        <f t="shared" ref="DB2:DB33" si="56">IF(AND(Include_study?="Yes",Sufficient_data="Yes",Subgroup&lt;&gt;""),IF(Subgroup_effect_size_measure="Odds Ratio",LogOddsRatio,IF(Subgroup_effect_size_measure="Risk Ratio",LogRiskRatio,IF(Subgroup_effect_size_measure="Risk Difference",Risk_Difference,IF(Subgroup_effect_size_measure="Peto Odds Ratio",LogPetoOddsRatio,"")))),"")</f>
        <v>1.0560526742493137</v>
      </c>
      <c r="DC2" s="127">
        <f t="shared" ref="DC2:DC33" si="57">IF(AND(Include_study?="Yes",Sufficient_data="Yes",Subgroup&lt;&gt;""),IF(Subgroup_effect_size_measure="Odds Ratio",SELogOddsRatio,IF(Subgroup_effect_size_measure="Risk Ratio",SELogRiskRatio,IF(Subgroup_effect_size_measure="Risk Difference",SERiskDifference,IF(Subgroup_effect_size_measure="Peto Odds Ratio",SELogPetoOddsRatio,"")))),"")</f>
        <v>0.62987231280219214</v>
      </c>
      <c r="DD2" s="127">
        <f t="shared" ref="DD2:DD33" si="58">IF(AND(Include_study?="Yes",Sufficient_data="Yes",Subgroup&lt;&gt;""),IF(Subgroup_weighting_method="Inverse variance",1/DC2^2,IF(Subgroup_weighting_method="Mantel-Haenszel",Weightf_MH,Weightf_Peto)),"")</f>
        <v>2.5205479452054798</v>
      </c>
      <c r="DE2" s="127">
        <f t="shared" ref="DE2:DE33" si="59">IF(AND(Include_study?="Yes",Sufficient_data="Yes",Subgroup&lt;&gt;""),1/(DC2^2+IF(Within_subgroup_weighting=EX$42,0,INDEX(DQ:DX,MATCH(Subgroup,DQ:DQ,0),8))),"")</f>
        <v>2.3008705865495616</v>
      </c>
      <c r="DF2" s="139">
        <f t="shared" ref="DF2:DF33" si="60">IF(AND(Include_study?="Yes",Sufficient_data="Yes",Subgroup_valid_options="Yes",Subgroup&lt;&gt;""),DE2/SUMIF(Subgroup,Subgroup,DE:DE),"")</f>
        <v>8.2492569365469989E-2</v>
      </c>
      <c r="DG2" s="127">
        <f t="shared" ref="DG2:DG33" si="61">IF(AND(Include_study?="Yes",Sufficient_data="Yes",Subgroup&lt;&gt;"",DG$1&lt;&gt;""),IF(Subgroup_effect_size_measure="Risk Ratio",Risk_Ratio,IF(Subgroup_effect_size_measure="Odds Ratio",OddsRatio,IF(Subgroup_effect_size_measure="Peto Odds Ratio",PetoOddsRatio,""))),"")</f>
        <v>2.875</v>
      </c>
      <c r="DH2" s="127">
        <f t="shared" ref="DH2:DH33" si="62">IF(AND(Include_study?="Yes",Sufficient_data="Yes",Subgroup&lt;&gt;""),IF(Subgroup_effect_size_measure="Risk Difference",Subgroup_effect_size-ABS(TINV((1-Subgroup_confidence_level),Number_of_subjects-1))*DC:DC,EXP(Subgroup_effect_size-ABS(TINV((1-Subgroup_confidence_level),Number_of_subjects-1))*DC:DC)),"")</f>
        <v>0.82386331214851116</v>
      </c>
      <c r="DI2" s="127">
        <f t="shared" ref="DI2:DI33" si="63">IF(AND(Include_study?="Yes",Sufficient_data="Yes",Subgroup&lt;&gt;""),IF(Subgroup_effect_size_measure="Risk Difference",Subgroup_effect_size+ABS(TINV((1-Subgroup_confidence_level),Number_of_subjects-1))*DC:DC,EXP(Subgroup_effect_size+ABS(TINV((1-Subgroup_confidence_level),Number_of_subjects-1))*DC:DC)),"")</f>
        <v>10.032762568883543</v>
      </c>
      <c r="DJ2" s="73">
        <f t="shared" ref="DJ2:DJ33" si="64">IF(AND(Include_study?="Yes",Sufficient_data="Yes",Subgroup&lt;&gt;""),Subgroup_effect_size-VLOOKUP(DA:DA,DQ:DZ,10,FALSE),"")</f>
        <v>0.5888190675607734</v>
      </c>
      <c r="DL2" s="83">
        <f t="shared" ref="DL2:DL33" si="65">IF(Subgroup_effect_size&lt;&gt;"",IF(Subgroup_effect_size_measure="Risk Difference",Subgroup_effect_size,DG:DG),NA())</f>
        <v>2.875</v>
      </c>
      <c r="DM2" s="127">
        <f>IF(AND(Include_study?="Yes",Sufficient_data="Yes",Subgroup&lt;&gt;""),IF(Subgroup_effect_size_measure="Risk Difference",DB2-DH2,DG2-DH2),NA())</f>
        <v>2.0511366878514887</v>
      </c>
      <c r="DN2" s="73">
        <f>IF(AND(Include_study?="Yes",Sufficient_data="Yes",Subgroup&lt;&gt;""),IF(Subgroup_effect_size_measure="Risk Difference",DI2-DB2,DI2-DG2),NA())</f>
        <v>7.1577625688835429</v>
      </c>
      <c r="DP2" s="88">
        <f>IF(DQ2&lt;&gt;"",SUMIFS(DS:DS,DS:DS,"&gt;="&amp;0,DQ:DQ,"&lt;"&amp;DQ2)+DS2+DR2,"")</f>
        <v>8</v>
      </c>
      <c r="DQ2" s="26" t="str">
        <f>IF(AND(Sufficient_data="Yes",Subgroup&lt;&gt;""),Subgroup,"")</f>
        <v>AA</v>
      </c>
      <c r="DR2" s="7">
        <f>IF(DQ2&lt;&gt;"",(COUNTIFS(DS:DS,"&gt;"&amp;0,DQ:DQ,"&lt;"&amp;DQ2)+1),"")</f>
        <v>1</v>
      </c>
      <c r="DS2" s="7">
        <f t="shared" ref="DS2:DS33" si="66">IF(DQ2&lt;&gt;"",COUNTIFS(Sufficient_data,"Yes",Include_study?,"Yes",Subgroup,DQ2),"")</f>
        <v>7</v>
      </c>
      <c r="DT2" s="19">
        <f t="shared" ref="DT2:DT33" si="67">IF(AND(DQ2&lt;&gt;"",Subgroup_valid_options="Yes",SUMIF(Subgroup,DQ2,Subgroup_weightf)&gt;0),MAX(0,SUMPRODUCT(--(Subgroup=DQ2),Subgroup_weightf,Subgroup_effect_size,Subgroup_effect_size)-(SUMPRODUCT(--(Subgroup=DQ2),Subgroup_weightf,Subgroup_effect_size)^2/SUMIF(Subgroup,DQ2,Subgroup_weightf))),"")</f>
        <v>7.0600987463466458</v>
      </c>
      <c r="DU2" s="12">
        <f>IF(DT2&lt;&gt;"",CHIDIST(DT2,DS2-1),"")</f>
        <v>0.31532506734507931</v>
      </c>
      <c r="DV2" s="11">
        <f>IF(DT2&lt;&gt;"",IF((DT2-(DS2-1))&lt;=0,0,(DT2-(DS2-1))/DT2),"")</f>
        <v>0.15015352963656631</v>
      </c>
      <c r="DW2" s="12">
        <f t="shared" ref="DW2:DW33" si="68">IF(DT2&lt;&gt;"",SUMIF(Subgroup,DQ2,Subgroup_weightf)-SUMPRODUCT(--(Subgroup=DQ2),Subgroup_weightf,Subgroup_weightf)/SUMIF(Subgroup,DQ2,Subgroup_weightf),"")</f>
        <v>27.986473523858692</v>
      </c>
      <c r="DX2" s="19">
        <f t="shared" ref="DX2:DX33" si="69">IF(DT2&lt;&gt;"",IF(Within_subgroup_weighting=EX$44,MAX(0,(SUM(DT:DT)-(Subgroup_k-COUNT(DT:DT)))/SUM(DW:DW)),MAX(0,(DT2-(DS2-1))/DW2)),"")</f>
        <v>3.7878968403893515E-2</v>
      </c>
      <c r="DY2" s="19">
        <f>IF(DX2&lt;&gt;"",SQRT(DX2),"")</f>
        <v>0.19462519981722182</v>
      </c>
      <c r="DZ2" s="19">
        <f t="shared" ref="DZ2:DZ33" si="70">IF(DT2&lt;&gt;"",SUMPRODUCT(--(Subgroup=DQ2),DE:DE,Subgroup_effect_size)/SUMIF(Subgroup,DQ2,DE:DE),"")</f>
        <v>0.46723360668854025</v>
      </c>
      <c r="EA2" s="19">
        <f t="shared" ref="EA2:EA33" si="71">IF(DT2&lt;&gt;"",IF(Within_subgroup_weighting=EX$42,1/SQRT(SUMIF(Subgroup,DQ2,DD:DD)),SQRT(SUMPRODUCT(--(Subgroup=DQ2),DE:DE,DJ:DJ,DJ:DJ)/((DS2-1)*SUMIF(Subgroup,DQ2,DE:DE)))),"")</f>
        <v>0.19108665778255779</v>
      </c>
      <c r="EB2" s="7">
        <f t="shared" ref="EB2:EB33" si="72">IF(DT2&lt;&gt;"",SUMIFS(Number_of_subjects,Subgroup,DQ2,Include_study?,"Yes",Sufficient_data,"Yes"),"")</f>
        <v>1100</v>
      </c>
      <c r="EC2" s="19">
        <f>IF(DT2&lt;&gt;"",DZ2-ABS(TINV((1-Subgroup_confidence_level),DS2-1))*EA2,"")</f>
        <v>-3.3860083528336471E-4</v>
      </c>
      <c r="ED2" s="19">
        <f>IF(DT2&lt;&gt;"",DZ2+ABS(TINV((1-Subgroup_confidence_level),DS2-1))*EA2,"")</f>
        <v>0.93480581421236386</v>
      </c>
      <c r="EE2" s="19">
        <f>IF(AND(EE$1&lt;&gt;"",DT2&lt;&gt;""),EXP(DZ2),"")</f>
        <v>1.5955740966645304</v>
      </c>
      <c r="EF2" s="19">
        <f>IF(AND(EF$1&lt;&gt;"",DT2&lt;&gt;""),EXP(EC2),"")</f>
        <v>0.9996614564835099</v>
      </c>
      <c r="EG2" s="19">
        <f>IF(AND(EG$1&lt;&gt;"",DT2&lt;&gt;""),EXP(ED2),"")</f>
        <v>2.5467188731096462</v>
      </c>
      <c r="EH2" s="19">
        <f>IF(AND(EE$1&lt;&gt;"",DT2&lt;&gt;""),EE2-EF2,IF(DT2&lt;&gt;"",DZ2-EC2,""))</f>
        <v>0.59591264018102053</v>
      </c>
      <c r="EI2" s="19">
        <f>IF(AND(EE$1&lt;&gt;"",DT2&lt;&gt;""),EG2-EE2,IF(DT2&lt;&gt;"",ED2-DZ2,""))</f>
        <v>0.95114477644511575</v>
      </c>
      <c r="EJ2" s="19">
        <f>IF(DT2&lt;&gt;"",DZ2-ABS(TINV((1-Subgroup_confidence_level),DS2-1))*SQRT(DX2+EA2^2),"")</f>
        <v>-0.20016391837190045</v>
      </c>
      <c r="EK2" s="19">
        <f t="shared" ref="EK2:EK33" si="73">IF(DT2&lt;&gt;"",DZ2+ABS(TINV((1-Subgroup_confidence_level),DS2-1))*SQRT(DX2+EA2^2),"")</f>
        <v>1.134631131748981</v>
      </c>
      <c r="EL2" s="19">
        <f>IF(AND(EL$1&lt;&gt;"",DT2&lt;&gt;""),EXP(EJ2),"")</f>
        <v>0.81859655906464501</v>
      </c>
      <c r="EM2" s="19">
        <f>IF(AND(EM$1&lt;&gt;"",DT2&lt;&gt;""),EXP(EK2),"")</f>
        <v>3.1100261413947434</v>
      </c>
      <c r="EN2" s="19">
        <f>IF(AND(EE$1&lt;&gt;"",DT2&lt;&gt;""),EE2-EL2,IF(DT2&lt;&gt;"",DZ2-EJ2,""))</f>
        <v>0.77697753759988541</v>
      </c>
      <c r="EO2" s="19">
        <f>IF(AND(EE$1&lt;&gt;"",DT2&lt;&gt;""),EM2-EE2,IF(DT2&lt;&gt;"",EK2-DZ2,""))</f>
        <v>1.514452044730213</v>
      </c>
      <c r="EP2" s="19">
        <f t="shared" ref="EP2:EP33" si="74">IF(DT2&lt;&gt;"",SUMPRODUCT(--(Subgroup=DQ2),DE:DE,Subgroup_effect_size,Subgroup_effect_size)-(SUMPRODUCT(--(Subgroup=DQ2),DE:DE,Subgroup_effect_size)^2/SUMIF(Subgroup,DQ2,DE:DE)),"")</f>
        <v>6.1106771778151909</v>
      </c>
      <c r="EQ2" s="19">
        <f>IF(DT2&lt;&gt;"",IF(EE2&lt;&gt;"",EE2,DZ2),NA())</f>
        <v>1.5955740966645304</v>
      </c>
      <c r="ER2" s="11">
        <f>IF(DT2&lt;&gt;"",(ET2/SUM(ET:ET)),"")</f>
        <v>0.65771972193884187</v>
      </c>
      <c r="ES2" s="19">
        <f>IF(DT2&lt;&gt;"",1/(EA2^2),"")</f>
        <v>27.386672674472962</v>
      </c>
      <c r="ET2" s="3">
        <f>IF(EA2&lt;&gt;"",1/(EA2^2+IF(Between_subgroup_weighting=EX$38,0,EY$35)),"")</f>
        <v>27.386672674472962</v>
      </c>
      <c r="EU2" s="127">
        <f t="shared" ref="EU2:EU33" si="75">IF(ES2&lt;&gt;"",IF(Subgroup_effect_size_measure="Risk Difference",(EY$9-DZ2)^2*ET2,(EY$2-DZ2)^2*ET2),"")</f>
        <v>5.3719024189536689E-2</v>
      </c>
      <c r="EV2" s="73">
        <f t="shared" ref="EV2:EV33" si="76">IF(DT2&lt;&gt;"",IF(Subgroup_effect_size_measure="Risk Difference",EE:EE-EY$9,DZ:DZ-EY$2),"")</f>
        <v>4.4288851874766277E-2</v>
      </c>
      <c r="EX2" s="2" t="str">
        <f>IF(Subgroup_effect_size_measure="Risk Difference","",CONCATENATE("Log ",Subgroup_effect_size_measure))</f>
        <v>Log Odds Ratio</v>
      </c>
      <c r="EY2" s="19">
        <f>IF(Subgroup_effect_size_measure="Risk Difference","",SUMPRODUCT(ET:ET,DZ:DZ)/SUM(ET:ET))</f>
        <v>0.42294475481377397</v>
      </c>
      <c r="FA2" s="196" t="s">
        <v>319</v>
      </c>
      <c r="FB2" s="84">
        <f>IF(AND(Include_study?="Yes",Sufficient_data="Yes",Moderator&lt;&gt;""),'Moderator Analysis'!E2,NA())</f>
        <v>15</v>
      </c>
      <c r="FC2" s="39">
        <f>IF(AND(Include_study?="Yes",Sufficient_data="Yes",Moderator&lt;&gt;""),'Moderator Analysis'!F2,NA())</f>
        <v>1.0560526742493137</v>
      </c>
      <c r="FD2" s="39">
        <f t="shared" ref="FD2:FD33" si="77">IF(AND(Include_study?="Yes",Sufficient_data="Yes",Moderator&lt;&gt;""),IF(Moderator_effect_size_measure="Log Odds Ratio",SELogOddsRatio,IF(Moderator_effect_size_measure="Log Risk Ratio",SELogRiskRatio,IF(Moderator_effect_size_measure="Risk Difference",SERiskDifference,SELogPetoOddsRatio))),"")</f>
        <v>0.62987231280219214</v>
      </c>
      <c r="FE2" s="39">
        <f t="shared" ref="FE2:FE33" si="78">IF(AND(Include_study?="Yes",Sufficient_data="Yes",Moderator&lt;&gt;""),IF(Moderator_weighting_method="Inverse Variance",1/FD:FD^2,IF(Moderator_weighting_method="Mantel-Haenszel",Weightf_MH,Weightf_Peto)),"")</f>
        <v>2.5205479452054798</v>
      </c>
      <c r="FF2" s="39">
        <f>IF(AND(Include_study?="Yes",Sufficient_data="Yes",Moderator&lt;&gt;""),'Moderator Analysis'!F:F-FP$2,"")</f>
        <v>0.63311414426781454</v>
      </c>
      <c r="FG2" s="39">
        <f>IF(AND(Include_study?="Yes",Sufficient_data="Yes",Moderator&lt;&gt;""),'Moderator Analysis'!E:E-FP$3,"")</f>
        <v>-1.9341919734670689</v>
      </c>
      <c r="FH2" s="73">
        <f>IF(AND(Include_study?="Yes",Sufficient_data="Yes",Moderator&lt;&gt;""),FE:FE*('Moderator Analysis'!F:F-FP$5-FP$4*'Moderator Analysis'!E:E)^2,"")</f>
        <v>1.0062815486945189</v>
      </c>
      <c r="FI2" s="128"/>
      <c r="FJ2" s="91">
        <f t="shared" ref="FJ2:FJ33" si="79">IF(AND(Include_study?="Yes",Sufficient_data="Yes",Moderator&lt;&gt;""),1/(FD:FD^2+FP$7),"")</f>
        <v>2.2199515753694752</v>
      </c>
      <c r="FK2" s="137">
        <f>IF(AND(Include_study?="Yes",Sufficient_data="Yes",Moderator&lt;&gt;""),'Moderator Analysis'!F:F-'Moderator Analysis'!J$37,"")</f>
        <v>0.63311414426781454</v>
      </c>
      <c r="FL2" s="137">
        <f>IF(AND(Include_study?="Yes",Sufficient_data="Yes",Moderator&lt;&gt;""),'Moderator Analysis'!E:E-SUMPRODUCT('Moderator Analysis'!E:E,FJ:FJ)/SUM(FJ:FJ),"")</f>
        <v>-1.9180948142383265</v>
      </c>
      <c r="FM2" s="94">
        <f>IF(AND(Include_study?="Yes",Sufficient_data="Yes",Moderator&lt;&gt;""),FJ:FJ*('Moderator Analysis'!F:F-'Moderator Analysis'!J$29-'Moderator Analysis'!J$30*'Moderator Analysis'!E:E)^2,"")</f>
        <v>0.88627407922903823</v>
      </c>
      <c r="FN2" s="21"/>
      <c r="FO2" s="2" t="s">
        <v>17</v>
      </c>
      <c r="FP2" s="19">
        <f>SUMPRODUCT('Moderator Analysis'!F:F,Calculations!FE:FE)/SUM(Calculations!FE:FE)</f>
        <v>0.42293852998149922</v>
      </c>
      <c r="FR2" s="196" t="s">
        <v>318</v>
      </c>
      <c r="FS2" s="182" t="s">
        <v>148</v>
      </c>
      <c r="FT2" s="131">
        <f>IF(AND(Include_study?="Yes",Sufficient_data="Yes"),IF(Additional_weighting_method="Inverse Variance",1/'Publication Bias Analysis'!F:F^2,IF(Additional_weighting_method="Mantel-Haenszel",Weightf_MH,Weightf_Peto)),"")</f>
        <v>2.5205479452054798</v>
      </c>
      <c r="FU2" s="127">
        <f>IF(AND(Include_study?="Yes",Sufficient_data="Yes"),1/('Publication Bias Analysis'!F:F^2+IF(Additional_model="Fixed effect",0,Calculations!GH$12)),"")</f>
        <v>2.5205479452054798</v>
      </c>
      <c r="FV2" s="127">
        <f>IF(AND(Include_study?="Yes",Sufficient_data="Yes"),1/('Publication Bias Analysis'!F:F^2+IF(Additional_model="Fixed effect",0,'Publication Bias Analysis'!L$32)),"")</f>
        <v>2.5205479452054798</v>
      </c>
      <c r="FW2" s="127">
        <f>IF(AND(Include_study?="Yes",Sufficient_data="Yes"),'Publication Bias Analysis'!E:E-'Publication Bias Analysis'!I$37,"")</f>
        <v>0.63311414426781454</v>
      </c>
      <c r="FX2" s="127">
        <f>IF(AND(Include_study?="Yes",Sufficient_data="Yes"),IF(Additional_model="Fixed effect",1/'Publication Bias Analysis'!F:F,1/SQRT('Publication Bias Analysis'!F:F^2+GH$12)),"")</f>
        <v>1.5876233637753885</v>
      </c>
      <c r="FY2" s="127">
        <f>IF(AND(Include_study?="Yes",Sufficient_data="Yes"),IF(Additional_model="Fixed effect",'Publication Bias Analysis'!E:E/'Publication Bias Analysis'!F:F,'Publication Bias Analysis'!E:E/SQRT('Publication Bias Analysis'!F:F^2+GH$12)),"")</f>
        <v>1.67661389901569</v>
      </c>
      <c r="FZ2" s="76">
        <f t="shared" ref="FZ2:FZ33" si="80">IF(AND(Include_study?="Yes",Sufficient_data="Yes"),RANK(GM:GM,GM:GM,1)*IF(GL:GL&gt;0,1,-1),"")</f>
        <v>9</v>
      </c>
      <c r="GA2" s="143">
        <f>IF(AND(Include_study?="Yes",Sufficient_data="Yes"),FZ:FZ,"")</f>
        <v>9</v>
      </c>
      <c r="GB2" s="143">
        <f>IF(AND(Include_study?="Yes",Sufficient_data="Yes"),RANK(GP:GP,GP:GP,1)*IF(GO:GO&lt;0,-1,1),"")</f>
        <v>9</v>
      </c>
      <c r="GC2" s="143">
        <f>IF(AND(Include_study?="Yes",Sufficient_data="Yes"),RANK(GS:GS,GS:GS,1)*IF(GR:GR&lt;0,-1,1),"")</f>
        <v>9</v>
      </c>
      <c r="GD2" s="127">
        <f>IF(AND(Include_study?="Yes",Sufficient_data="Yes"),'Publication Bias Analysis'!E2,NA())</f>
        <v>1.0560526742493137</v>
      </c>
      <c r="GE2" s="73">
        <f>IF(AND(Include_study?="Yes",Sufficient_data="Yes"),'Publication Bias Analysis'!F2,NA())</f>
        <v>0.62987231280219214</v>
      </c>
      <c r="GG2" s="36" t="s">
        <v>153</v>
      </c>
      <c r="GH2" s="48" t="s">
        <v>68</v>
      </c>
      <c r="GI2" s="48" t="s">
        <v>69</v>
      </c>
      <c r="GK2" s="176" t="s">
        <v>175</v>
      </c>
      <c r="GL2" s="131">
        <f>IF(AND(Include_study?="Yes",Sufficient_data="Yes"),IF('Publication Bias Analysis'!L$38="Left",'Publication Bias Analysis'!E:E-'Publication Bias Analysis'!I$29,'Publication Bias Analysis'!I$29-'Publication Bias Analysis'!E:E),"")</f>
        <v>0.63311414426781454</v>
      </c>
      <c r="GM2" s="127">
        <f t="shared" ref="GM2:GM33" si="81">IF(AND(Include_study?="Yes",Sufficient_data="Yes"),ABS(GL2),"")</f>
        <v>0.63311414426781454</v>
      </c>
      <c r="GN2" s="73">
        <f>IF(AND(Include_study?="Yes",Sufficient_data="Yes"),IF(AND(Additional_weighting_method="Mantel-Haenszel",Additional_model="Fixed effect"),Weightf_MH,1/('Publication Bias Analysis'!F:F^2+IF(Additional_model="Fixed effect",0,GW$6))),"")</f>
        <v>2.5205479452054798</v>
      </c>
      <c r="GO2" s="127">
        <f>IF(AND(Include_study?="Yes",Sufficient_data="Yes"),IF('Publication Bias Analysis'!L$38="Left",'Publication Bias Analysis'!E:E-GW$3,GW$3-'Publication Bias Analysis'!E:E),"")</f>
        <v>0.63311414426781454</v>
      </c>
      <c r="GP2" s="127">
        <f t="shared" ref="GP2:GP33" si="82">IF(GO2&lt;&gt;"",ABS(GO2),"")</f>
        <v>0.63311414426781454</v>
      </c>
      <c r="GQ2" s="73">
        <f>IF(AND(Include_study?="Yes",Sufficient_data="Yes"),IF(AND(Additional_weighting_method="Mantel-Haenszel",Additional_model="Fixed effect"),Weightf_MH,1/('Publication Bias Analysis'!F:F^2+IF(Additional_model="Fixed effect",0,GW$13))),"")</f>
        <v>2.5205479452054798</v>
      </c>
      <c r="GR2" s="127">
        <f>IF(AND(Include_study?="Yes",Sufficient_data="Yes"),IF('Publication Bias Analysis'!L$38="Left",'Publication Bias Analysis'!E:E-GW$10,GW$10-'Publication Bias Analysis'!E:E),"")</f>
        <v>0.63311414426781454</v>
      </c>
      <c r="GS2" s="127">
        <f t="shared" ref="GS2:GS33" si="83">IF(GR2&lt;&gt;"",ABS(GR2),"")</f>
        <v>0.63311414426781454</v>
      </c>
      <c r="GT2" s="73">
        <f>IF(AND(Include_study?="Yes",Sufficient_data="Yes"),IF(AND(Additional_weighting_method="Mantel-Haenszel",Additional_model="Fixed effect"),Weightf_MH,1/('Publication Bias Analysis'!F:F^2+IF(Additional_model="Fixed effect",0,GW$20))),"")</f>
        <v>2.5205479452054798</v>
      </c>
      <c r="GV2" s="192" t="s">
        <v>17</v>
      </c>
      <c r="GW2" s="192"/>
      <c r="GY2" s="88">
        <v>1</v>
      </c>
      <c r="GZ2" s="7" t="str">
        <f>IF(Trim_and_fill="On",IF(GW$21&gt;(GY2-1),IF(COUNTIF(GA:GA,-1*(MAX(GA:GA)-GY2+1))=1,"",MAX(GA:GA)-GY2+1),""),"")</f>
        <v/>
      </c>
      <c r="HA2" s="3" t="str">
        <f t="shared" ref="HA2:HA41" si="84">IF(GZ2&lt;&gt;"",GW$17-(INDEX(GA:GE,MATCH(GZ2,GA:GA,0),4)-GW$17),"")</f>
        <v/>
      </c>
      <c r="HB2" s="3" t="str">
        <f t="shared" ref="HB2:HB41" si="85">IF(GZ2&lt;&gt;"",INDEX(GA:GE,MATCH(GZ2,GA:GA,0),5),"")</f>
        <v/>
      </c>
      <c r="HC2" s="3" t="str">
        <f t="shared" ref="HC2:HC41" si="86">IF(GZ2&lt;&gt;"",1/HB2^2,"")</f>
        <v/>
      </c>
      <c r="HD2" s="127" t="str">
        <f>IF(GZ2&lt;&gt;"",1/(HB2^2+'Publication Bias Analysis'!L$32),"")</f>
        <v/>
      </c>
      <c r="HE2" s="73" t="str">
        <f>IF(GZ2&lt;&gt;"",HA:HA-'Publication Bias Analysis'!I$37,"")</f>
        <v/>
      </c>
      <c r="HG2" s="88">
        <v>1</v>
      </c>
      <c r="HH2" s="3" t="e">
        <f t="shared" ref="HH2:HH41" si="87">IF(GZ2&lt;&gt;"",HA2,NA())</f>
        <v>#N/A</v>
      </c>
      <c r="HI2" s="73" t="e">
        <f t="shared" ref="HI2:HI41" si="88">IF(GZ2&lt;&gt;"",HB2,NA())</f>
        <v>#N/A</v>
      </c>
      <c r="HK2" s="176" t="s">
        <v>229</v>
      </c>
      <c r="HL2" s="66">
        <f t="shared" ref="HL2:HL65" si="89">IF(AND(Include_study?="Yes",Sufficient_data="Yes"),Inverse_standard_error-AVERAGE(Inverse_standard_error),"")</f>
        <v>-0.4426092397796435</v>
      </c>
      <c r="HM2" s="73">
        <f>IF(AND(Include_study?="Yes",Sufficient_data="Yes"),Z_score-('Publication Bias Analysis'!P$3+'Publication Bias Analysis'!P$4*Inverse_standard_error),"")</f>
        <v>0.9744973402628806</v>
      </c>
      <c r="HO2" s="176" t="s">
        <v>263</v>
      </c>
      <c r="HP2" s="63">
        <f>IF(AND(Include_study?="Yes",Sufficient_data="Yes"),(GD:GD-SUMPRODUCT(Calculations!FT:FT,'Publication Bias Analysis'!E:E)/SUM(Calculations!FT:FT))/SQRT(Calculations!HQ:HQ),"")</f>
        <v>1.0305413354407142</v>
      </c>
      <c r="HQ2" s="63">
        <f>IF(AND(Include_study?="Yes",Sufficient_data="Yes"),GE:GE^2-1/SUM(Calculations!FT:FT),"")</f>
        <v>0.37742720401754065</v>
      </c>
      <c r="HR2" s="7">
        <f t="shared" ref="HR2:HR33" si="90">IF(AND(Include_study?="Yes",Sufficient_data="Yes"),RANK(HP:HP,HP:HP,0),"")</f>
        <v>2</v>
      </c>
      <c r="HS2" s="7">
        <f t="shared" ref="HS2:HS33" si="91">IF(AND(Include_study?="Yes",Sufficient_data="Yes"),RANK(HQ:HQ,HQ:HQ,0),"")</f>
        <v>2</v>
      </c>
      <c r="HT2" s="7">
        <f>IF(AND(Include_study?="Yes",Sufficient_data="Yes"),COUNTIFS(HR3:HR201,"&lt;"&amp;HR2,HS3:HS201,"&lt;"&amp;HS2)+COUNTIFS(HR3:HR201,"&gt;"&amp;HR2,HS3:HS201,"&gt;"&amp;HS2),"")</f>
        <v>9</v>
      </c>
      <c r="HU2" s="103">
        <f>IF(AND(Include_study?="Yes",Sufficient_data="Yes"),COUNTIFS(HR3:HR201,"&lt;"&amp;HR2,HS3:HS201,"&gt;"&amp;HS2)+COUNTIFS(HR3:HR201,"&gt;"&amp;HR2,HS3:HS201,"&lt;"&amp;HS2),"")</f>
        <v>2</v>
      </c>
      <c r="HW2" s="176" t="s">
        <v>132</v>
      </c>
      <c r="HX2" s="32">
        <v>1</v>
      </c>
      <c r="HY2" s="3"/>
      <c r="HZ2" s="73">
        <f>HZ3-HY14</f>
        <v>-1.75</v>
      </c>
      <c r="IB2" s="176" t="s">
        <v>140</v>
      </c>
      <c r="IC2" s="145">
        <f t="shared" ref="IC2:IC33" si="92">IF(AND(Include_study?="Yes",Sufficient_data="Yes"),a_/(a_+b_),NA())</f>
        <v>0.2</v>
      </c>
      <c r="ID2" s="135">
        <f t="shared" ref="ID2:ID33" si="93">IF(AND(Include_study?="Yes",Sufficient_data="Yes"),c_/(c_+d_),NA())</f>
        <v>0.08</v>
      </c>
      <c r="IE2" s="135">
        <f t="shared" ref="IE2:IE33" si="94">IF(AND(Include_study?="Yes",Sufficient_data="Yes"),1/SELogRiskRatio^2,"")</f>
        <v>3.2258064516129026</v>
      </c>
      <c r="IF2" s="135">
        <f t="shared" ref="IF2:IF33" si="95">IF(AND(Include_study?="Yes",Sufficient_data="Yes"),IF(Additional_model="Fixed effect",Weightf,Weightr),"")</f>
        <v>2.5205479452054798</v>
      </c>
      <c r="IH2" s="2" t="s">
        <v>68</v>
      </c>
      <c r="II2" s="2" t="s">
        <v>69</v>
      </c>
      <c r="IK2" s="176" t="s">
        <v>141</v>
      </c>
      <c r="IL2" s="158">
        <f>IF(AND(Include_study?="Yes",Sufficient_data="Yes"),'Publication Bias Analysis'!AV:AV,NA())</f>
        <v>1.67661389901569</v>
      </c>
      <c r="IM2" s="3">
        <f>IF(AND(Sufficient_data="Yes",Include_study?="Yes"),'Publication Bias Analysis'!AU:AU,NA())</f>
        <v>1.5876233637753885</v>
      </c>
      <c r="IN2" s="62">
        <f t="shared" ref="IN2:IN33" si="96">IF(AND(Include_study?="Yes",Sufficient_data="Yes"),Inverse_standard_error-AVERAGE(Inverse_standard_error),"")</f>
        <v>-0.4426092397796435</v>
      </c>
      <c r="IO2" s="73">
        <f>IF(AND(Include_study?="Yes",Sufficient_data="Yes"),Z_score-('Publication Bias Analysis'!AY$30+'Publication Bias Analysis'!AY$31*Inverse_standard_error),"")</f>
        <v>1.0051468073762444</v>
      </c>
      <c r="IQ2" s="36" t="s">
        <v>146</v>
      </c>
      <c r="IR2" s="2" t="s">
        <v>68</v>
      </c>
      <c r="IS2" s="2" t="s">
        <v>69</v>
      </c>
      <c r="IU2" s="176" t="s">
        <v>157</v>
      </c>
      <c r="IV2" s="7">
        <f>IF('Publication Bias Analysis'!BG:BG&lt;&gt;"",RANK('Publication Bias Analysis'!BG:BG,'Publication Bias Analysis'!BG:BG,1),"")</f>
        <v>11</v>
      </c>
      <c r="IW2" s="3">
        <f t="shared" ref="IW2:IW33" si="97">IF(IV:IV&lt;&gt;"",(IV:IV-1/3)/(k_+1/3),"")</f>
        <v>0.8648648648648648</v>
      </c>
      <c r="IX2" s="3">
        <f>IF('Publication Bias Analysis'!BF2&lt;&gt;"",'Publication Bias Analysis'!BF2,NA())</f>
        <v>1.1024403670151643</v>
      </c>
      <c r="IY2" s="125">
        <f>IF('Publication Bias Analysis'!BG2&lt;&gt;"",'Publication Bias Analysis'!BG2,NA())</f>
        <v>1.67661389901569</v>
      </c>
      <c r="IZ2" s="62">
        <f>IF(AND(Include_study?="Yes",Sufficient_data="Yes"),'Publication Bias Analysis'!BF:BF-AVERAGE('Publication Bias Analysis'!BF:BF),"")</f>
        <v>1.1024403670151646</v>
      </c>
      <c r="JA2" s="73">
        <f>IF(AND(Include_study?="Yes",Sufficient_data="Yes"),'Publication Bias Analysis'!BG:BG-('Publication Bias Analysis'!BJ$30+'Publication Bias Analysis'!BJ$31*'Publication Bias Analysis'!BF:BF),"")</f>
        <v>-0.36668409494269616</v>
      </c>
      <c r="JC2" s="36" t="s">
        <v>159</v>
      </c>
      <c r="JD2" s="2" t="s">
        <v>68</v>
      </c>
      <c r="JE2" s="2" t="s">
        <v>69</v>
      </c>
      <c r="JG2" s="176" t="s">
        <v>329</v>
      </c>
      <c r="JH2" s="127">
        <f t="shared" ref="JH2:JH33" si="98">IF(AND(Include_study?="Yes",Sufficient_data="Yes"),IF(AND(Additional_valid_options="No",Additional_model="Random effects"),NA(),Z_score),"")</f>
        <v>1.67661389901569</v>
      </c>
      <c r="JI2" s="147">
        <f>IF(JH2&lt;&gt;"",1-NORMSDIST(ABS(JH2)),"")</f>
        <v>4.6809003540843497E-2</v>
      </c>
      <c r="JJ2" s="73">
        <f>IF(JI2&lt;&gt;"",LN(MAX(10^-306,JI2)),"")</f>
        <v>-3.0616797112104832</v>
      </c>
    </row>
    <row r="3" spans="1:270" ht="13.5" x14ac:dyDescent="0.25">
      <c r="A3" s="2">
        <f t="shared" si="0"/>
        <v>2</v>
      </c>
      <c r="B3" s="7">
        <f>IF(AND(Include_study?="Yes",Sufficient_data="Yes"),IF(Input!a_&lt;&gt;"",Input!a_,Input!n1_-Input!b_),"")</f>
        <v>20</v>
      </c>
      <c r="C3" s="7">
        <f>IF(AND(Include_study?="Yes",Sufficient_data="Yes"),IF(Input!b_&lt;&gt;"",Input!b_,Input!n1_-Input!a_),"")</f>
        <v>45</v>
      </c>
      <c r="D3" s="7">
        <f>IF(AND(Include_study?="Yes",Sufficient_data="Yes"),IF(Input!c_&lt;&gt;"",Input!c_,Input!n2_-Input!d_),"")</f>
        <v>12</v>
      </c>
      <c r="E3" s="7">
        <f>IF(AND(Include_study?="Yes",Sufficient_data="Yes"),IF(Input!d_&lt;&gt;"",Input!d_,Input!n2_-Input!c_),"")</f>
        <v>53</v>
      </c>
      <c r="F3" s="74" t="str">
        <f t="shared" si="1"/>
        <v>No</v>
      </c>
      <c r="H3" s="196"/>
      <c r="I3" s="182"/>
      <c r="J3" s="146">
        <f t="shared" si="2"/>
        <v>1.962962962962963</v>
      </c>
      <c r="K3" s="39">
        <f t="shared" si="3"/>
        <v>0.67445504754779284</v>
      </c>
      <c r="L3" s="39">
        <f t="shared" si="4"/>
        <v>0.41764037171214358</v>
      </c>
      <c r="M3" s="39">
        <f t="shared" si="5"/>
        <v>0.85905890822261832</v>
      </c>
      <c r="N3" s="74">
        <f t="shared" si="6"/>
        <v>4.4854008928638018</v>
      </c>
      <c r="P3" s="176"/>
      <c r="Q3" s="130">
        <f t="shared" si="7"/>
        <v>1.9312418958010105</v>
      </c>
      <c r="R3" s="39">
        <f t="shared" si="8"/>
        <v>0.40563631041430526</v>
      </c>
      <c r="S3" s="39">
        <f t="shared" si="9"/>
        <v>0.86549171427878524</v>
      </c>
      <c r="T3" s="74">
        <f t="shared" si="10"/>
        <v>4.3093367603236246</v>
      </c>
      <c r="V3" s="176"/>
      <c r="W3" s="130">
        <f t="shared" si="11"/>
        <v>0.12307692307692308</v>
      </c>
      <c r="X3" s="39">
        <f t="shared" si="12"/>
        <v>7.4786907107716918E-2</v>
      </c>
      <c r="Y3" s="39">
        <f t="shared" si="13"/>
        <v>-2.4901749966646375E-2</v>
      </c>
      <c r="Z3" s="74">
        <f t="shared" si="14"/>
        <v>0.27105559612049257</v>
      </c>
      <c r="AB3" s="176"/>
      <c r="AC3" s="130">
        <f t="shared" si="15"/>
        <v>1.6666666666666667</v>
      </c>
      <c r="AD3" s="39">
        <f t="shared" si="16"/>
        <v>0.51082562376599072</v>
      </c>
      <c r="AE3" s="39">
        <f t="shared" si="17"/>
        <v>0.32025630761017426</v>
      </c>
      <c r="AF3" s="39">
        <f t="shared" si="18"/>
        <v>0.88439083184406841</v>
      </c>
      <c r="AG3" s="74">
        <f t="shared" si="19"/>
        <v>3.1408939099761524</v>
      </c>
      <c r="AI3" s="196"/>
      <c r="AJ3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2</v>
      </c>
      <c r="AK3" s="136">
        <f>IF(AJ3&lt;&gt;"",IF(AJ3=0,COUNTIF(AJ$2:AJ2,0)+1,COUNTIF(AJ$2:AJ2,AJ3)+AJ3+COUNTIF(AJ:AJ,0)),"")</f>
        <v>2</v>
      </c>
      <c r="AL3" s="136">
        <f t="shared" si="20"/>
        <v>2</v>
      </c>
      <c r="AM3" s="155" t="str">
        <f>IF(AND(Include_study?="Yes",Sufficient_data="Yes",Input!Study_name&lt;&gt;""),Input!Study_name,"")</f>
        <v>bbbb</v>
      </c>
      <c r="AN3" s="136">
        <f t="shared" si="21"/>
        <v>130</v>
      </c>
      <c r="AO3" s="19">
        <f t="shared" si="22"/>
        <v>1.962962962962963</v>
      </c>
      <c r="AP3" s="158">
        <f t="shared" si="23"/>
        <v>5.7331730769230758</v>
      </c>
      <c r="AQ3" s="158">
        <f t="shared" si="24"/>
        <v>4.9555950268028166</v>
      </c>
      <c r="AR3" s="39">
        <f t="shared" si="25"/>
        <v>0.41764037171214358</v>
      </c>
      <c r="AS3" s="158">
        <f t="shared" si="26"/>
        <v>0.85905890822261832</v>
      </c>
      <c r="AT3" s="39">
        <f t="shared" si="27"/>
        <v>4.4854008928638018</v>
      </c>
      <c r="AU3" s="172">
        <f t="shared" si="28"/>
        <v>0.10910214442402615</v>
      </c>
      <c r="AW3" s="84">
        <f t="shared" si="29"/>
        <v>1.962962962962963</v>
      </c>
      <c r="AX3" s="3">
        <f t="shared" si="30"/>
        <v>1.1039040547403447</v>
      </c>
      <c r="AY3" s="74">
        <f t="shared" si="31"/>
        <v>2.522437929900839</v>
      </c>
      <c r="BA3" s="54" t="s">
        <v>126</v>
      </c>
      <c r="BB3" s="7">
        <f>IF(BB2&lt;&gt;"",MAX(Entry_number)+1,"")</f>
        <v>13</v>
      </c>
      <c r="BD3" s="196"/>
      <c r="BE3" s="182"/>
      <c r="BF3" s="3">
        <f t="shared" si="32"/>
        <v>0.67445504754779284</v>
      </c>
      <c r="BG3" s="3">
        <f t="shared" si="33"/>
        <v>0.41764037171214358</v>
      </c>
      <c r="BH3" s="3">
        <f t="shared" si="34"/>
        <v>5.7331730769230758</v>
      </c>
      <c r="BI3" s="39">
        <f t="shared" ref="BI3:BI33" si="99">IF(Weightf&lt;&gt;"",1/(IF(Model_effect_size_measure="Odds Ratio",SELogOddsRatio,IF(Model_effect_size_measure="Risk Ratio",SELogRiskRatio,SERiskDifference))^2+T2_),"")</f>
        <v>4.9555950268028166</v>
      </c>
      <c r="BJ3" s="95">
        <f t="shared" si="35"/>
        <v>0.25224563472496031</v>
      </c>
      <c r="BL3" s="3" t="str">
        <f>IF(OR(Model_effect_size_measure="Odds Ratio",Model_effect_size_measure="Risk Ratio",Model_effect_size_measure="Peto Odds Ratio"),CONCATENATE("SE Log ",Model_effect_size_measure),"")</f>
        <v>SE Log Odds Ratio</v>
      </c>
      <c r="BM3" s="19">
        <f>IF(OR(Model_effect_size_measure="Odds Ratio",Model_effect_size_measure="Risk Ratio",Model_effect_size_measure="Peto Odds Ratio"),IF(Meta_analysis_model="Fixed effect model",1/SQRT(SUM(Weightf)),SQRT(SUMPRODUCT(Weight,BJ:BJ,BJ:BJ)/((k_-1)*SUM(Weight)))),"")</f>
        <v>0.14876781504920755</v>
      </c>
      <c r="BO3" s="176"/>
      <c r="BP3" s="158">
        <f t="shared" si="36"/>
        <v>8.1538461538461533</v>
      </c>
      <c r="BQ3" s="158">
        <f t="shared" si="37"/>
        <v>4.1538461538461542</v>
      </c>
      <c r="BR3" s="158">
        <f t="shared" si="38"/>
        <v>4.5786982248520713</v>
      </c>
      <c r="BS3" s="158">
        <f>IF(AND(Sufficient_data="Yes",Include_study?="Yes"),IF(Add_0_5="Yes",(a_+d_+1)*(ab_+0.5)*(c_+0.5)/(Number_of_subjects+2)^2,(a_+d_)*b_*c_/Number_of_subjects^2),"")</f>
        <v>2.3325443786982247</v>
      </c>
      <c r="BT3" s="158">
        <f t="shared" si="39"/>
        <v>3.5751479289940828</v>
      </c>
      <c r="BU3" s="158">
        <f t="shared" si="40"/>
        <v>1.821301775147929</v>
      </c>
      <c r="BV3" s="158">
        <f t="shared" si="41"/>
        <v>4.1538461538461542</v>
      </c>
      <c r="BW3" s="3">
        <f t="shared" si="42"/>
        <v>0.35500436998038104</v>
      </c>
      <c r="BX3" s="137">
        <f t="shared" si="43"/>
        <v>4.8372040360273569</v>
      </c>
      <c r="BY3" s="95">
        <f t="shared" si="44"/>
        <v>0.25231210240213336</v>
      </c>
      <c r="CA3" s="3" t="s">
        <v>37</v>
      </c>
      <c r="CB3" s="19">
        <f>IF(Meta_analysis_model="Fixed effect model",0.5*(SUM(BR:BR)/SUM(BP:BP)^2+(SUM(BS:BS)+SUM(BT:BT))/(SUM(BP:BP)*SUM(BQ:BQ))+SUM(BU:BU)/SUM(BQ:BQ)^2),SUMPRODUCT(Weight_MH,BY:BY,BY:BY)/((k_-1)*SUM(Weight_MH)))</f>
        <v>2.2213790489841047E-2</v>
      </c>
      <c r="CD3" s="176"/>
      <c r="CE3" s="130">
        <f t="shared" si="45"/>
        <v>16</v>
      </c>
      <c r="CF3" s="39">
        <f t="shared" si="46"/>
        <v>6.0775193798449614</v>
      </c>
      <c r="CG3" s="137">
        <f t="shared" si="47"/>
        <v>0.65816326530612246</v>
      </c>
      <c r="CH3" s="137">
        <f t="shared" si="48"/>
        <v>0.16454081632653061</v>
      </c>
      <c r="CI3" s="39">
        <f t="shared" si="49"/>
        <v>6.0775193798449614</v>
      </c>
      <c r="CJ3" s="39">
        <f t="shared" si="50"/>
        <v>5.3041012966430356</v>
      </c>
      <c r="CK3" s="95">
        <f t="shared" si="51"/>
        <v>0.23769779070828123</v>
      </c>
      <c r="CM3" s="3" t="s">
        <v>37</v>
      </c>
      <c r="CN3" s="3">
        <f>IF(Meta_analysis_model="Fixed effect model",1/SUM(Weightf_Peto),SUMPRODUCT(Weight_Peto,CK:CK,CK:CK)/((k_-1)*SUM(Weight_Peto)))</f>
        <v>2.0526923584443999E-2</v>
      </c>
      <c r="CP3" s="176"/>
      <c r="CQ3" s="99">
        <f t="shared" si="52"/>
        <v>0.18461538461538463</v>
      </c>
      <c r="CS3" s="2" t="s">
        <v>47</v>
      </c>
      <c r="CT3" s="3">
        <f>IF(Weighting_method="Inverse variance",IF(Model_effect_size_measure="Odds Ratio",CES_IV,NA()),NA())</f>
        <v>1.5253279144642675</v>
      </c>
      <c r="CU3" s="3">
        <f>IF(Model_effect_size_measure="Odds Ratio",CES_OddsRatio_MH,NA())</f>
        <v>1.5252265328302042</v>
      </c>
      <c r="CV3" s="3" t="e">
        <f>IF(Model_effect_size_measure="Peto Odds Ratio",CES_PetoOddsRatio,NA())</f>
        <v>#N/A</v>
      </c>
      <c r="CX3" s="196"/>
      <c r="CY3" s="89">
        <f t="shared" si="53"/>
        <v>2</v>
      </c>
      <c r="CZ3" s="136" t="str">
        <f t="shared" si="54"/>
        <v>bbbb</v>
      </c>
      <c r="DA3" s="140" t="str">
        <f t="shared" si="55"/>
        <v>AA</v>
      </c>
      <c r="DB3" s="39">
        <f t="shared" si="56"/>
        <v>0.67445504754779284</v>
      </c>
      <c r="DC3" s="39">
        <f t="shared" si="57"/>
        <v>0.41764037171214358</v>
      </c>
      <c r="DD3" s="39">
        <f t="shared" si="58"/>
        <v>5.7331730769230758</v>
      </c>
      <c r="DE3" s="39">
        <f t="shared" si="59"/>
        <v>4.7102612669947428</v>
      </c>
      <c r="DF3" s="141">
        <f t="shared" si="60"/>
        <v>0.16887588401038506</v>
      </c>
      <c r="DG3" s="39">
        <f t="shared" si="61"/>
        <v>1.962962962962963</v>
      </c>
      <c r="DH3" s="39">
        <f t="shared" si="62"/>
        <v>0.85911141994008999</v>
      </c>
      <c r="DI3" s="39">
        <f t="shared" si="63"/>
        <v>4.4851267303989966</v>
      </c>
      <c r="DJ3" s="74">
        <f t="shared" si="64"/>
        <v>0.20722144085925259</v>
      </c>
      <c r="DK3" s="45"/>
      <c r="DL3" s="84">
        <f t="shared" si="65"/>
        <v>1.962962962962963</v>
      </c>
      <c r="DM3" s="39">
        <f t="shared" ref="DM3:DM33" si="100">IF(AND(Include_study?="Yes",Sufficient_data="Yes",Subgroup&lt;&gt;""),IF(Subgroup_effect_size_measure="Risk Difference",DB3-DH3,DG3-DH3),NA())</f>
        <v>1.103851543022873</v>
      </c>
      <c r="DN3" s="74">
        <f t="shared" ref="DN3:DN33" si="101">IF(AND(Include_study?="Yes",Sufficient_data="Yes",Subgroup&lt;&gt;""),IF(Subgroup_effect_size_measure="Risk Difference",DI3-DB3,DI3-DG3),NA())</f>
        <v>2.5221637674360338</v>
      </c>
      <c r="DP3" s="89" t="str">
        <f t="shared" ref="DP3:DP66" si="102">IF(DQ3&lt;&gt;"",SUMIFS(DS:DS,DS:DS,"&gt;="&amp;0,DQ:DQ,"&lt;"&amp;DQ3)+DS3+DR3,"")</f>
        <v/>
      </c>
      <c r="DQ3" s="26" t="str">
        <f>IF(AND(Sufficient_data="Yes",Subgroup&lt;&gt;""),IF(COUNTIFS(Input!J$2:J2,"="&amp;"Yes",Input!C$2:C2,"="&amp;"Yes",Input!K$2:K2,"="&amp;Subgroup)&gt;0,"",Subgroup),"")</f>
        <v/>
      </c>
      <c r="DR3" s="7" t="str">
        <f t="shared" ref="DR3:DR66" si="103">IF(DQ3&lt;&gt;"",(COUNTIFS(DS:DS,"&gt;"&amp;0,DQ:DQ,"&lt;"&amp;DQ3)+1),"")</f>
        <v/>
      </c>
      <c r="DS3" s="7" t="str">
        <f t="shared" si="66"/>
        <v/>
      </c>
      <c r="DT3" s="19" t="str">
        <f t="shared" si="67"/>
        <v/>
      </c>
      <c r="DU3" s="12" t="str">
        <f t="shared" ref="DU3:DU51" si="104">IF(DT3&lt;&gt;"",CHIDIST(DT3,DS3-1),"")</f>
        <v/>
      </c>
      <c r="DV3" s="11" t="str">
        <f t="shared" ref="DV3:DV51" si="105">IF(DT3&lt;&gt;"",IF((DT3-(DS3-1))&lt;=0,0,(DT3-(DS3-1))/DT3),"")</f>
        <v/>
      </c>
      <c r="DW3" s="12" t="str">
        <f t="shared" si="68"/>
        <v/>
      </c>
      <c r="DX3" s="19" t="str">
        <f t="shared" si="69"/>
        <v/>
      </c>
      <c r="DY3" s="19" t="str">
        <f t="shared" ref="DY3:DY51" si="106">IF(DX3&lt;&gt;"",SQRT(DX3),"")</f>
        <v/>
      </c>
      <c r="DZ3" s="19" t="str">
        <f t="shared" si="70"/>
        <v/>
      </c>
      <c r="EA3" s="19" t="str">
        <f t="shared" si="71"/>
        <v/>
      </c>
      <c r="EB3" s="7" t="str">
        <f t="shared" si="72"/>
        <v/>
      </c>
      <c r="EC3" s="19" t="str">
        <f t="shared" ref="EC3:EC33" si="107">IF(DT3&lt;&gt;"",DZ3-ABS(TINV((1-Subgroup_confidence_level),DS3-1))*EA3,"")</f>
        <v/>
      </c>
      <c r="ED3" s="19" t="str">
        <f t="shared" ref="ED3:ED33" si="108">IF(DT3&lt;&gt;"",DZ3+ABS(TINV((1-Subgroup_confidence_level),DS3-1))*EA3,"")</f>
        <v/>
      </c>
      <c r="EE3" s="19" t="str">
        <f t="shared" ref="EE3:EE51" si="109">IF(AND(EE$1&lt;&gt;"",DT3&lt;&gt;""),EXP(DZ3),"")</f>
        <v/>
      </c>
      <c r="EF3" s="19" t="str">
        <f t="shared" ref="EF3:EF51" si="110">IF(AND(EF$1&lt;&gt;"",DT3&lt;&gt;""),EXP(EC3),"")</f>
        <v/>
      </c>
      <c r="EG3" s="19" t="str">
        <f t="shared" ref="EG3:EG51" si="111">IF(AND(EG$1&lt;&gt;"",DT3&lt;&gt;""),EXP(ED3),"")</f>
        <v/>
      </c>
      <c r="EH3" s="19" t="str">
        <f t="shared" ref="EH3:EH51" si="112">IF(AND(EE$1&lt;&gt;"",DT3&lt;&gt;""),EE3-EF3,IF(DT3&lt;&gt;"",DZ3-EC3,""))</f>
        <v/>
      </c>
      <c r="EI3" s="19" t="str">
        <f t="shared" ref="EI3:EI51" si="113">IF(AND(EE$1&lt;&gt;"",DT3&lt;&gt;""),EG3-EE3,IF(DT3&lt;&gt;"",ED3-DZ3,""))</f>
        <v/>
      </c>
      <c r="EJ3" s="19" t="str">
        <f t="shared" ref="EJ3:EJ33" si="114">IF(DT3&lt;&gt;"",DZ3-ABS(TINV((1-Subgroup_confidence_level),DS3-1))*SQRT(DX3+EA3^2),"")</f>
        <v/>
      </c>
      <c r="EK3" s="19" t="str">
        <f t="shared" si="73"/>
        <v/>
      </c>
      <c r="EL3" s="19" t="str">
        <f t="shared" ref="EL3:EL51" si="115">IF(AND(EL$1&lt;&gt;"",DT3&lt;&gt;""),EXP(EJ3),"")</f>
        <v/>
      </c>
      <c r="EM3" s="19" t="str">
        <f t="shared" ref="EM3:EM51" si="116">IF(AND(EM$1&lt;&gt;"",DT3&lt;&gt;""),EXP(EK3),"")</f>
        <v/>
      </c>
      <c r="EN3" s="19" t="str">
        <f t="shared" ref="EN3:EN51" si="117">IF(AND(EE$1&lt;&gt;"",DT3&lt;&gt;""),EE3-EL3,IF(DT3&lt;&gt;"",DZ3-EJ3,""))</f>
        <v/>
      </c>
      <c r="EO3" s="19" t="str">
        <f t="shared" ref="EO3:EO51" si="118">IF(AND(EE$1&lt;&gt;"",DT3&lt;&gt;""),EM3-EE3,IF(DT3&lt;&gt;"",EK3-DZ3,""))</f>
        <v/>
      </c>
      <c r="EP3" s="19" t="str">
        <f t="shared" si="74"/>
        <v/>
      </c>
      <c r="EQ3" s="19" t="e">
        <f t="shared" ref="EQ3:EQ51" si="119">IF(DT3&lt;&gt;"",IF(EE3&lt;&gt;"",EE3,DZ3),NA())</f>
        <v>#N/A</v>
      </c>
      <c r="ER3" s="11" t="str">
        <f t="shared" ref="ER3:ER66" si="120">IF(DT3&lt;&gt;"",(ET3/SUM(ET:ET)),"")</f>
        <v/>
      </c>
      <c r="ES3" s="19" t="str">
        <f t="shared" ref="ES3:ES66" si="121">IF(DT3&lt;&gt;"",1/(EA3^2),"")</f>
        <v/>
      </c>
      <c r="ET3" s="156" t="str">
        <f t="shared" ref="ET3:ET33" si="122">IF(EA3&lt;&gt;"",1/(EA3^2+IF(Between_subgroup_weighting=EX$38,0,EY$35)),"")</f>
        <v/>
      </c>
      <c r="EU3" s="39" t="str">
        <f t="shared" si="75"/>
        <v/>
      </c>
      <c r="EV3" s="74" t="str">
        <f t="shared" si="76"/>
        <v/>
      </c>
      <c r="EX3" s="2" t="str">
        <f>IF(Subgroup_effect_size_measure="Risk Difference","","Standard Error log")</f>
        <v>Standard Error log</v>
      </c>
      <c r="EY3" s="19">
        <f>IF(Subgroup_effect_size_measure="Risk Difference","",IF(Between_subgroup_weighting=EX38,1/SQRT(SUM(ES:ES)),SQRT(SUMPRODUCT(ET:ET,EV:EV,EV:EV)/((COUNT(DT:DT)-1)*SUM(ET:ET)))))</f>
        <v>6.1393715333058735E-2</v>
      </c>
      <c r="FA3" s="196"/>
      <c r="FB3" s="84">
        <f>IF(AND(Include_study?="Yes",Sufficient_data="Yes",Moderator&lt;&gt;""),'Moderator Analysis'!E3,NA())</f>
        <v>16</v>
      </c>
      <c r="FC3" s="39">
        <f>IF(AND(Include_study?="Yes",Sufficient_data="Yes",Moderator&lt;&gt;""),'Moderator Analysis'!F3,NA())</f>
        <v>0.67445504754779284</v>
      </c>
      <c r="FD3" s="39">
        <f t="shared" si="77"/>
        <v>0.41764037171214358</v>
      </c>
      <c r="FE3" s="39">
        <f t="shared" si="78"/>
        <v>5.7331730769230758</v>
      </c>
      <c r="FF3" s="39">
        <f>IF(AND(Include_study?="Yes",Sufficient_data="Yes",Moderator&lt;&gt;""),'Moderator Analysis'!F:F-FP$2,"")</f>
        <v>0.25151651756629362</v>
      </c>
      <c r="FG3" s="39">
        <f>IF(AND(Include_study?="Yes",Sufficient_data="Yes",Moderator&lt;&gt;""),'Moderator Analysis'!E:E-FP$3,"")</f>
        <v>-0.93419197346706895</v>
      </c>
      <c r="FH3" s="74">
        <f>IF(AND(Include_study?="Yes",Sufficient_data="Yes",Moderator&lt;&gt;""),FE:FE*('Moderator Analysis'!F:F-FP$5-FP$4*'Moderator Analysis'!E:E)^2,"")</f>
        <v>0.36092153885065481</v>
      </c>
      <c r="FI3" s="128"/>
      <c r="FJ3" s="92">
        <f t="shared" si="79"/>
        <v>4.3831845517587427</v>
      </c>
      <c r="FK3" s="137">
        <f>IF(AND(Include_study?="Yes",Sufficient_data="Yes",Moderator&lt;&gt;""),'Moderator Analysis'!F:F-'Moderator Analysis'!J$37,"")</f>
        <v>0.25151651756629362</v>
      </c>
      <c r="FL3" s="137">
        <f>IF(AND(Include_study?="Yes",Sufficient_data="Yes",Moderator&lt;&gt;""),'Moderator Analysis'!E:E-SUMPRODUCT('Moderator Analysis'!E:E,FJ:FJ)/SUM(FJ:FJ),"")</f>
        <v>-0.91809481423832651</v>
      </c>
      <c r="FM3" s="95">
        <f>IF(AND(Include_study?="Yes",Sufficient_data="Yes",Moderator&lt;&gt;""),FJ:FJ*('Moderator Analysis'!F:F-'Moderator Analysis'!J$29-'Moderator Analysis'!J$30*'Moderator Analysis'!E:E)^2,"")</f>
        <v>0.27593545358937865</v>
      </c>
      <c r="FN3" s="21"/>
      <c r="FO3" s="2" t="s">
        <v>163</v>
      </c>
      <c r="FP3" s="19">
        <f>IF(SUM(Moderator)&lt;&gt;0,SUMPRODUCT(Moderator,FE:FE)/SUM(Calculations!FE:FE),"")</f>
        <v>16.934191973467069</v>
      </c>
      <c r="FR3" s="196"/>
      <c r="FS3" s="182"/>
      <c r="FT3" s="130">
        <f>IF(AND(Include_study?="Yes",Sufficient_data="Yes"),IF(Additional_weighting_method="Inverse Variance",1/'Publication Bias Analysis'!F:F^2,IF(Additional_weighting_method="Mantel-Haenszel",Weightf_MH,Weightf_Peto)),"")</f>
        <v>5.7331730769230758</v>
      </c>
      <c r="FU3" s="39">
        <f>IF(AND(Include_study?="Yes",Sufficient_data="Yes"),1/('Publication Bias Analysis'!F:F^2+IF(Additional_model="Fixed effect",0,Calculations!GH$12)),"")</f>
        <v>5.7331730769230758</v>
      </c>
      <c r="FV3" s="39">
        <f>IF(AND(Include_study?="Yes",Sufficient_data="Yes"),1/('Publication Bias Analysis'!F:F^2+IF(Additional_model="Fixed effect",0,'Publication Bias Analysis'!L$32)),"")</f>
        <v>5.7331730769230758</v>
      </c>
      <c r="FW3" s="39">
        <f>IF(AND(Include_study?="Yes",Sufficient_data="Yes"),'Publication Bias Analysis'!E:E-'Publication Bias Analysis'!I$37,"")</f>
        <v>0.25151651756629362</v>
      </c>
      <c r="FX3" s="39">
        <f>IF(AND(Include_study?="Yes",Sufficient_data="Yes"),IF(Additional_model="Fixed effect",1/'Publication Bias Analysis'!F:F,1/SQRT('Publication Bias Analysis'!F:F^2+GH$12)),"")</f>
        <v>2.3944045349362075</v>
      </c>
      <c r="FY3" s="39">
        <f>IF(AND(Include_study?="Yes",Sufficient_data="Yes"),IF(Additional_model="Fixed effect",'Publication Bias Analysis'!E:E/'Publication Bias Analysis'!F:F,'Publication Bias Analysis'!E:E/SQRT('Publication Bias Analysis'!F:F^2+GH$12)),"")</f>
        <v>1.6149182244590508</v>
      </c>
      <c r="FZ3" s="136">
        <f t="shared" si="80"/>
        <v>4</v>
      </c>
      <c r="GA3" s="144">
        <f>IF(AND(Include_study?="Yes",Sufficient_data="Yes"),FZ:FZ+IF(GL:GL&lt;0,-1,1)*COUNTIF(FZ$2:FZ2,FZ:FZ),"")</f>
        <v>4</v>
      </c>
      <c r="GB3" s="144">
        <f>IF(AND(Include_study?="Yes",Sufficient_data="Yes"),RANK(GP:GP,GP:GP,1)*IF(GO:GO&lt;0,-1,1)+IF(GO:GO&lt;0,-1,1)*COUNTIF(FZ$2:FZ2,FZ:FZ),"")</f>
        <v>4</v>
      </c>
      <c r="GC3" s="144">
        <f>IF(AND(Include_study?="Yes",Sufficient_data="Yes"),RANK(GS:GS,GS:GS,1)*IF(GR:GR&lt;0,-1,1)+IF(GR:GR&lt;0,-1,1)*COUNTIF(FZ$2:FZ2,FZ:FZ),"")</f>
        <v>4</v>
      </c>
      <c r="GD3" s="39">
        <f>IF(AND(Include_study?="Yes",Sufficient_data="Yes"),'Publication Bias Analysis'!E3,NA())</f>
        <v>0.67445504754779284</v>
      </c>
      <c r="GE3" s="74">
        <f>IF(AND(Include_study?="Yes",Sufficient_data="Yes"),'Publication Bias Analysis'!F3,NA())</f>
        <v>0.41764037171214358</v>
      </c>
      <c r="GG3" s="48" t="s">
        <v>154</v>
      </c>
      <c r="GH3" s="49">
        <f>IF(Additional_valid_options="Yes",IF(Trim_and_fill="Off",'Publication Bias Analysis'!I29,'Publication Bias Analysis'!I37)-ABS(TINV((1-Additional_confidence_level),k_-1))*GI3,"")</f>
        <v>-1.4564796658938781</v>
      </c>
      <c r="GI3" s="49">
        <f>IF(Trim_and_fill="Off",GH17,GH22)</f>
        <v>0.85389862228654345</v>
      </c>
      <c r="GK3" s="176"/>
      <c r="GL3" s="130">
        <f>IF(AND(Include_study?="Yes",Sufficient_data="Yes"),IF('Publication Bias Analysis'!L$38="Left",'Publication Bias Analysis'!E:E-'Publication Bias Analysis'!I$29,'Publication Bias Analysis'!I$29-'Publication Bias Analysis'!E:E),"")</f>
        <v>0.25151651756629362</v>
      </c>
      <c r="GM3" s="39">
        <f t="shared" si="81"/>
        <v>0.25151651756629362</v>
      </c>
      <c r="GN3" s="74">
        <f>IF(AND(Include_study?="Yes",Sufficient_data="Yes"),IF(AND(Additional_weighting_method="Mantel-Haenszel",Additional_model="Fixed effect"),Weightf_MH,1/('Publication Bias Analysis'!F:F^2+IF(Additional_model="Fixed effect",0,GW$6))),"")</f>
        <v>5.7331730769230758</v>
      </c>
      <c r="GO3" s="39">
        <f>IF(AND(Include_study?="Yes",Sufficient_data="Yes"),IF('Publication Bias Analysis'!L$38="Left",'Publication Bias Analysis'!E:E-GW$3,GW$3-'Publication Bias Analysis'!E:E),"")</f>
        <v>0.25151651756629362</v>
      </c>
      <c r="GP3" s="39">
        <f t="shared" si="82"/>
        <v>0.25151651756629362</v>
      </c>
      <c r="GQ3" s="74">
        <f>IF(AND(Include_study?="Yes",Sufficient_data="Yes"),IF(AND(Additional_weighting_method="Mantel-Haenszel",Additional_model="Fixed effect"),Weightf_MH,1/('Publication Bias Analysis'!F:F^2+IF(Additional_model="Fixed effect",0,GW$13))),"")</f>
        <v>5.7331730769230758</v>
      </c>
      <c r="GR3" s="39">
        <f>IF(AND(Include_study?="Yes",Sufficient_data="Yes"),IF('Publication Bias Analysis'!L$38="Left",'Publication Bias Analysis'!E:E-GW$10,GW$10-'Publication Bias Analysis'!E:E),"")</f>
        <v>0.25151651756629362</v>
      </c>
      <c r="GS3" s="39">
        <f t="shared" si="83"/>
        <v>0.25151651756629362</v>
      </c>
      <c r="GT3" s="74">
        <f>IF(AND(Include_study?="Yes",Sufficient_data="Yes"),IF(AND(Additional_weighting_method="Mantel-Haenszel",Additional_model="Fixed effect"),Weightf_MH,1/('Publication Bias Analysis'!F:F^2+IF(Additional_model="Fixed effect",0,GW$20))),"")</f>
        <v>5.7331730769230758</v>
      </c>
      <c r="GV3" s="2" t="str">
        <f>Additional_effect_size_measure</f>
        <v>Log Odds Ratio</v>
      </c>
      <c r="GW3" s="19">
        <f>SUMPRODUCT(--(GA:GA&lt;=MAX(GA:GA)-GW7),GN:GN,'Publication Bias Analysis'!E:E)/SUMIF(GA:GA,"&lt;="&amp;MAX(GA:GA)-GW7,GN:GN)</f>
        <v>0.42293852998149922</v>
      </c>
      <c r="GY3" s="89">
        <v>2</v>
      </c>
      <c r="GZ3" s="7" t="str">
        <f>IF(Trim_and_fill="On",IF(GW$21&gt;(COUNT(GZ$2:GZ2)),IF(COUNTIF(GA:GA,-1*(MAX(GA:GA)-GY3+1))=1,"",MAX(GA:GA)-GY3+1),""),"")</f>
        <v/>
      </c>
      <c r="HA3" s="60" t="str">
        <f t="shared" si="84"/>
        <v/>
      </c>
      <c r="HB3" s="65" t="str">
        <f t="shared" si="85"/>
        <v/>
      </c>
      <c r="HC3" s="3" t="str">
        <f t="shared" si="86"/>
        <v/>
      </c>
      <c r="HD3" s="39" t="str">
        <f>IF(GZ3&lt;&gt;"",1/(HB3^2+'Publication Bias Analysis'!L$32),"")</f>
        <v/>
      </c>
      <c r="HE3" s="74" t="str">
        <f>IF(GZ3&lt;&gt;"",HA:HA-'Publication Bias Analysis'!I$37,"")</f>
        <v/>
      </c>
      <c r="HG3" s="89">
        <v>2</v>
      </c>
      <c r="HH3" s="3" t="e">
        <f t="shared" si="87"/>
        <v>#N/A</v>
      </c>
      <c r="HI3" s="74" t="e">
        <f t="shared" si="88"/>
        <v>#N/A</v>
      </c>
      <c r="HK3" s="176"/>
      <c r="HL3" s="66">
        <f t="shared" si="89"/>
        <v>0.36417193138117554</v>
      </c>
      <c r="HM3" s="74">
        <f>IF(AND(Include_study?="Yes",Sufficient_data="Yes"),Z_score-('Publication Bias Analysis'!P$3+'Publication Bias Analysis'!P$4*Inverse_standard_error),"")</f>
        <v>0.61756085156547669</v>
      </c>
      <c r="HO3" s="176"/>
      <c r="HP3" s="64">
        <f>IF(AND(Include_study?="Yes",Sufficient_data="Yes"),(GD:GD-SUMPRODUCT(Calculations!FT:FT,'Publication Bias Analysis'!E:E)/SUM(Calculations!FT:FT))/SQRT(Calculations!HQ:HQ),"")</f>
        <v>0.63862282603764042</v>
      </c>
      <c r="HQ3" s="64">
        <f>IF(AND(Include_study?="Yes",Sufficient_data="Yes"),GE:GE^2-1/SUM(Calculations!FT:FT),"")</f>
        <v>0.15511155366661553</v>
      </c>
      <c r="HR3" s="7">
        <f t="shared" si="90"/>
        <v>4</v>
      </c>
      <c r="HS3" s="7">
        <f t="shared" si="91"/>
        <v>11</v>
      </c>
      <c r="HT3" s="7">
        <f>IF(AND(Include_study?="Yes",Sufficient_data="Yes"),COUNTIFS(HR$2:HR2,"&lt;"&amp;HR3,HS$2:HS2,"&lt;"&amp;HS3)+COUNTIFS(HR4:HR$201,"&lt;"&amp;HR3,HS4:HS$201,"&lt;"&amp;HS3)+COUNTIFS(HR$2:HR2,"&gt;"&amp;HR3,HS$2:HS2,"&gt;"&amp;HS3)+COUNTIFS(HR4:HR$201,"&gt;"&amp;HR3,HS4:HS$201,"&gt;"&amp;HS3),"")</f>
        <v>4</v>
      </c>
      <c r="HU3" s="104">
        <f>IF(AND(Include_study?="Yes",Sufficient_data="Yes"),COUNTIFS(HR$2:HR2,"&lt;"&amp;HR3,HS$2:HS2,"&gt;"&amp;HS3)+COUNTIFS(HR4:HR$201,"&lt;"&amp;HR3,HS4:HS$201,"&gt;"&amp;HS3)+COUNTIFS(HR$2:HR2,"&gt;"&amp;HR3,HS$2:HS2,"&lt;"&amp;HS3)+COUNTIFS(HR4:HR$201,"&gt;"&amp;HR3,HS4:HS$201,"&lt;"&amp;HS3),"")</f>
        <v>7</v>
      </c>
      <c r="HW3" s="176"/>
      <c r="HX3" s="32">
        <v>2</v>
      </c>
      <c r="HY3" s="3">
        <f t="shared" ref="HY3:HY10" si="123">HZ2</f>
        <v>-1.75</v>
      </c>
      <c r="HZ3" s="74">
        <f>HZ4-HY14</f>
        <v>-1.25</v>
      </c>
      <c r="IB3" s="176"/>
      <c r="IC3" s="146">
        <f t="shared" si="92"/>
        <v>0.30769230769230771</v>
      </c>
      <c r="ID3" s="137">
        <f t="shared" si="93"/>
        <v>0.18461538461538463</v>
      </c>
      <c r="IE3" s="137">
        <f t="shared" si="94"/>
        <v>9.75</v>
      </c>
      <c r="IF3" s="95">
        <f t="shared" si="95"/>
        <v>5.7331730769230758</v>
      </c>
      <c r="IH3" s="19">
        <v>0</v>
      </c>
      <c r="II3" s="19">
        <v>0</v>
      </c>
      <c r="IK3" s="176"/>
      <c r="IL3" s="158">
        <f>IF(AND(Include_study?="Yes",Sufficient_data="Yes"),'Publication Bias Analysis'!AV:AV,NA())</f>
        <v>1.6149182244590508</v>
      </c>
      <c r="IM3" s="158">
        <f>IF(AND(Sufficient_data="Yes",Include_study?="Yes"),'Publication Bias Analysis'!AU:AU,NA())</f>
        <v>2.3944045349362075</v>
      </c>
      <c r="IN3" s="62">
        <f t="shared" si="96"/>
        <v>0.36417193138117554</v>
      </c>
      <c r="IO3" s="74">
        <f>IF(AND(Include_study?="Yes",Sufficient_data="Yes"),Z_score-('Publication Bias Analysis'!AY$30+'Publication Bias Analysis'!AY$31*Inverse_standard_error),"")</f>
        <v>0.60223229027209579</v>
      </c>
      <c r="IQ3" s="2" t="s">
        <v>221</v>
      </c>
      <c r="IR3" s="3">
        <v>0</v>
      </c>
      <c r="IS3" s="3">
        <v>0</v>
      </c>
      <c r="IU3" s="176"/>
      <c r="IV3" s="7">
        <f>IF('Publication Bias Analysis'!BG:BG&lt;&gt;"",RANK('Publication Bias Analysis'!BG:BG,'Publication Bias Analysis'!BG:BG,1)+COUNTIF('Publication Bias Analysis'!BG$2:BG2,'Publication Bias Analysis'!BG3),"")</f>
        <v>10</v>
      </c>
      <c r="IW3" s="124">
        <f t="shared" si="97"/>
        <v>0.78378378378378366</v>
      </c>
      <c r="IX3" s="125">
        <f>IF('Publication Bias Analysis'!BF3&lt;&gt;"",'Publication Bias Analysis'!BF3,NA())</f>
        <v>0.78503604987689113</v>
      </c>
      <c r="IY3" s="125">
        <f>IF('Publication Bias Analysis'!BG3&lt;&gt;"",'Publication Bias Analysis'!BG3,NA())</f>
        <v>1.6149182244590508</v>
      </c>
      <c r="IZ3" s="62">
        <f>IF(AND(Include_study?="Yes",Sufficient_data="Yes"),'Publication Bias Analysis'!BF:BF-AVERAGE('Publication Bias Analysis'!BF:BF),"")</f>
        <v>0.78503604987689124</v>
      </c>
      <c r="JA3" s="74">
        <f>IF(AND(Include_study?="Yes",Sufficient_data="Yes"),'Publication Bias Analysis'!BG:BG-('Publication Bias Analysis'!BJ$30+'Publication Bias Analysis'!BJ$31*'Publication Bias Analysis'!BF:BF),"")</f>
        <v>-8.8872946196703939E-2</v>
      </c>
      <c r="JC3" s="2" t="s">
        <v>134</v>
      </c>
      <c r="JD3" s="3">
        <f>MIN('Publication Bias Analysis'!BF:BF)</f>
        <v>-1.6067550689692427</v>
      </c>
      <c r="JE3" s="3">
        <f>'Publication Bias Analysis'!BJ$30+JD3*'Publication Bias Analysis'!BJ$31</f>
        <v>-0.85455274881005205</v>
      </c>
      <c r="JG3" s="176"/>
      <c r="JH3" s="39">
        <f t="shared" si="98"/>
        <v>1.6149182244590508</v>
      </c>
      <c r="JI3" s="148">
        <f t="shared" ref="JI3:JI66" si="124">IF(JH3&lt;&gt;"",1-NORMSDIST(ABS(JH3)),"")</f>
        <v>5.3164202532597127E-2</v>
      </c>
      <c r="JJ3" s="74">
        <f t="shared" ref="JJ3:JJ66" si="125">IF(JI3&lt;&gt;"",LN(MAX(10^-306,JI3)),"")</f>
        <v>-2.9343699938486894</v>
      </c>
    </row>
    <row r="4" spans="1:270" ht="13.5" x14ac:dyDescent="0.25">
      <c r="A4" s="2">
        <f t="shared" si="0"/>
        <v>3</v>
      </c>
      <c r="B4" s="7">
        <f>IF(AND(Include_study?="Yes",Sufficient_data="Yes"),IF(Input!a_&lt;&gt;"",Input!a_,Input!n1_-Input!b_),"")</f>
        <v>15</v>
      </c>
      <c r="C4" s="7">
        <f>IF(AND(Include_study?="Yes",Sufficient_data="Yes"),IF(Input!b_&lt;&gt;"",Input!b_,Input!n1_-Input!a_),"")</f>
        <v>25</v>
      </c>
      <c r="D4" s="7">
        <f>IF(AND(Include_study?="Yes",Sufficient_data="Yes"),IF(Input!c_&lt;&gt;"",Input!c_,Input!n2_-Input!d_),"")</f>
        <v>18</v>
      </c>
      <c r="E4" s="7">
        <f>IF(AND(Include_study?="Yes",Sufficient_data="Yes"),IF(Input!d_&lt;&gt;"",Input!d_,Input!n2_-Input!c_),"")</f>
        <v>22</v>
      </c>
      <c r="F4" s="74" t="str">
        <f t="shared" si="1"/>
        <v>No</v>
      </c>
      <c r="H4" s="196"/>
      <c r="I4" s="182"/>
      <c r="J4" s="146">
        <f t="shared" si="2"/>
        <v>0.73333333333333328</v>
      </c>
      <c r="K4" s="39">
        <f t="shared" si="3"/>
        <v>-0.31015492830383962</v>
      </c>
      <c r="L4" s="39">
        <f t="shared" si="4"/>
        <v>0.45571566538442332</v>
      </c>
      <c r="M4" s="39">
        <f t="shared" si="5"/>
        <v>0.29599428716990839</v>
      </c>
      <c r="N4" s="74">
        <f t="shared" si="6"/>
        <v>1.8168518822428461</v>
      </c>
      <c r="P4" s="176"/>
      <c r="Q4" s="130">
        <f t="shared" si="7"/>
        <v>0.73667439346076535</v>
      </c>
      <c r="R4" s="39">
        <f t="shared" si="8"/>
        <v>0.45137514651170046</v>
      </c>
      <c r="S4" s="39">
        <f t="shared" si="9"/>
        <v>0.29992339956883651</v>
      </c>
      <c r="T4" s="74">
        <f t="shared" si="10"/>
        <v>1.8094258826118432</v>
      </c>
      <c r="V4" s="176"/>
      <c r="W4" s="130">
        <f t="shared" si="11"/>
        <v>-7.5000000000000011E-2</v>
      </c>
      <c r="X4" s="39">
        <f t="shared" si="12"/>
        <v>0.10975825709257596</v>
      </c>
      <c r="Y4" s="39">
        <f t="shared" si="13"/>
        <v>-0.29351190441063446</v>
      </c>
      <c r="Z4" s="74">
        <f t="shared" si="14"/>
        <v>0.14351190441063447</v>
      </c>
      <c r="AB4" s="176"/>
      <c r="AC4" s="130">
        <f t="shared" si="15"/>
        <v>0.83333333333333326</v>
      </c>
      <c r="AD4" s="39">
        <f t="shared" si="16"/>
        <v>-0.1823215567939547</v>
      </c>
      <c r="AE4" s="39">
        <f t="shared" si="17"/>
        <v>0.26874192494328497</v>
      </c>
      <c r="AF4" s="39">
        <f t="shared" si="18"/>
        <v>0.48804599265110821</v>
      </c>
      <c r="AG4" s="74">
        <f t="shared" si="19"/>
        <v>1.4229077892273265</v>
      </c>
      <c r="AI4" s="196"/>
      <c r="AJ4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3</v>
      </c>
      <c r="AK4" s="136">
        <f>IF(AJ4&lt;&gt;"",IF(AJ4=0,COUNTIF(AJ$2:AJ3,0)+1,COUNTIF(AJ$2:AJ3,AJ4)+AJ4+COUNTIF(AJ:AJ,0)),"")</f>
        <v>3</v>
      </c>
      <c r="AL4" s="136">
        <f t="shared" si="20"/>
        <v>3</v>
      </c>
      <c r="AM4" s="155" t="str">
        <f>IF(AND(Include_study?="Yes",Sufficient_data="Yes",Input!Study_name&lt;&gt;""),Input!Study_name,"")</f>
        <v>cccc</v>
      </c>
      <c r="AN4" s="136">
        <f t="shared" si="21"/>
        <v>80</v>
      </c>
      <c r="AO4" s="19">
        <f t="shared" si="22"/>
        <v>0.73333333333333328</v>
      </c>
      <c r="AP4" s="158">
        <f t="shared" si="23"/>
        <v>4.8151750972762644</v>
      </c>
      <c r="AQ4" s="158">
        <f t="shared" si="24"/>
        <v>4.2544971749812319</v>
      </c>
      <c r="AR4" s="39">
        <f t="shared" si="25"/>
        <v>0.45571566538442332</v>
      </c>
      <c r="AS4" s="158">
        <f t="shared" si="26"/>
        <v>0.29599428716990839</v>
      </c>
      <c r="AT4" s="39">
        <f t="shared" si="27"/>
        <v>1.8168518822428461</v>
      </c>
      <c r="AU4" s="172">
        <f t="shared" si="28"/>
        <v>9.3666807462248092E-2</v>
      </c>
      <c r="AW4" s="84">
        <f t="shared" si="29"/>
        <v>0.73333333333333328</v>
      </c>
      <c r="AX4" s="3">
        <f t="shared" si="30"/>
        <v>0.43733904616342489</v>
      </c>
      <c r="AY4" s="74">
        <f t="shared" si="31"/>
        <v>1.0835185489095127</v>
      </c>
      <c r="BA4" s="54" t="s">
        <v>99</v>
      </c>
      <c r="BB4" s="3">
        <f>'Forest Plot'!$B$16-CES_CI_Lower_limit</f>
        <v>0.42591792839737774</v>
      </c>
      <c r="BD4" s="196"/>
      <c r="BE4" s="182"/>
      <c r="BF4" s="3">
        <f t="shared" si="32"/>
        <v>-0.31015492830383962</v>
      </c>
      <c r="BG4" s="3">
        <f t="shared" si="33"/>
        <v>0.45571566538442332</v>
      </c>
      <c r="BH4" s="3">
        <f t="shared" si="34"/>
        <v>4.8151750972762644</v>
      </c>
      <c r="BI4" s="39">
        <f t="shared" si="99"/>
        <v>4.2544971749812319</v>
      </c>
      <c r="BJ4" s="95">
        <f t="shared" si="35"/>
        <v>-0.73236434112667215</v>
      </c>
      <c r="BL4" s="3" t="str">
        <f>IF(OR(Model_effect_size_measure="Odds Ratio",Model_effect_size_measure="Risk Ratio",Model_effect_size_measure="Peto Odds Ratio"),CONCATENATE("CI LL Log ",Model_effect_size_measure),"")</f>
        <v>CI LL Log Odds Ratio</v>
      </c>
      <c r="BM4" s="3">
        <f>IF(OR(Model_effect_size_measure="Odds Ratio",Model_effect_size_measure="Risk Ratio",Model_effect_size_measure="Peto Odds Ratio"),lnCES_IV-ABS(TINV((1-Confidence_level),k_-1))*SElnCES,"")</f>
        <v>9.4773659600269178E-2</v>
      </c>
      <c r="BO4" s="176"/>
      <c r="BP4" s="158">
        <f t="shared" si="36"/>
        <v>4.125</v>
      </c>
      <c r="BQ4" s="158">
        <f t="shared" si="37"/>
        <v>5.625</v>
      </c>
      <c r="BR4" s="158">
        <f t="shared" si="38"/>
        <v>1.9078124999999999</v>
      </c>
      <c r="BS4" s="158">
        <f>IF(AND(Sufficient_data="Yes",Include_study?="Yes"),IF(Add_0_5="Yes",(a_+d_+1)*(ab_+0.5)*(c_+0.5)/(Number_of_subjects+2)^2,(a_+d_)*b_*c_/Number_of_subjects^2),"")</f>
        <v>2.6015625</v>
      </c>
      <c r="BT4" s="158">
        <f t="shared" si="39"/>
        <v>2.2171875000000001</v>
      </c>
      <c r="BU4" s="158">
        <f t="shared" si="40"/>
        <v>3.0234375</v>
      </c>
      <c r="BV4" s="158">
        <f t="shared" si="41"/>
        <v>5.625</v>
      </c>
      <c r="BW4" s="3">
        <f t="shared" si="42"/>
        <v>2.6067344775229424</v>
      </c>
      <c r="BX4" s="137">
        <f t="shared" si="43"/>
        <v>4.1669395683428876</v>
      </c>
      <c r="BY4" s="95">
        <f t="shared" si="44"/>
        <v>-0.73229787344949915</v>
      </c>
      <c r="CA4" s="3" t="s">
        <v>38</v>
      </c>
      <c r="CB4" s="19">
        <f>SQRT(VarlnCES_MH)</f>
        <v>0.14904291492667823</v>
      </c>
      <c r="CD4" s="176"/>
      <c r="CE4" s="130">
        <f t="shared" si="45"/>
        <v>16.5</v>
      </c>
      <c r="CF4" s="39">
        <f t="shared" si="46"/>
        <v>4.9082278481012658</v>
      </c>
      <c r="CG4" s="137">
        <f t="shared" si="47"/>
        <v>-0.30560928433268858</v>
      </c>
      <c r="CH4" s="137">
        <f t="shared" si="48"/>
        <v>0.20373952288845906</v>
      </c>
      <c r="CI4" s="39">
        <f t="shared" si="49"/>
        <v>4.9082278481012658</v>
      </c>
      <c r="CJ4" s="39">
        <f t="shared" si="50"/>
        <v>4.3911252709371933</v>
      </c>
      <c r="CK4" s="95">
        <f t="shared" si="51"/>
        <v>-0.72607475893052986</v>
      </c>
      <c r="CM4" s="3" t="s">
        <v>38</v>
      </c>
      <c r="CN4" s="19">
        <f>SQRT(VarlnCES_Peto)</f>
        <v>0.14327220101765728</v>
      </c>
      <c r="CP4" s="176"/>
      <c r="CQ4" s="99">
        <f t="shared" si="52"/>
        <v>0.45</v>
      </c>
      <c r="CS4" s="2" t="s">
        <v>43</v>
      </c>
      <c r="CT4" s="3">
        <f>IF(Weighting_method="Inverse variance",IF(Model_effect_size_measure="Odds Ratio",CICES_LL,""),"")</f>
        <v>1.0994099860668898</v>
      </c>
      <c r="CU4" s="3">
        <f>IF(Model_effect_size_measure="Odds Ratio",CICES_LL_MH,"")</f>
        <v>1.0986714764158703</v>
      </c>
      <c r="CV4" s="3" t="str">
        <f>IF(Model_effect_size_measure="Peto Odds Ratio",CICES_LL_Peto,"")</f>
        <v/>
      </c>
      <c r="CX4" s="196"/>
      <c r="CY4" s="89">
        <f t="shared" si="53"/>
        <v>3</v>
      </c>
      <c r="CZ4" s="136" t="str">
        <f t="shared" si="54"/>
        <v>cccc</v>
      </c>
      <c r="DA4" s="140" t="str">
        <f t="shared" si="55"/>
        <v>AA</v>
      </c>
      <c r="DB4" s="39">
        <f t="shared" si="56"/>
        <v>-0.31015492830383962</v>
      </c>
      <c r="DC4" s="39">
        <f t="shared" si="57"/>
        <v>0.45571566538442332</v>
      </c>
      <c r="DD4" s="39">
        <f t="shared" si="58"/>
        <v>4.8151750972762644</v>
      </c>
      <c r="DE4" s="39">
        <f t="shared" si="59"/>
        <v>4.0723951961420104</v>
      </c>
      <c r="DF4" s="141">
        <f t="shared" si="60"/>
        <v>0.14600662252158145</v>
      </c>
      <c r="DG4" s="39">
        <f t="shared" si="61"/>
        <v>0.73333333333333328</v>
      </c>
      <c r="DH4" s="39">
        <f t="shared" si="62"/>
        <v>0.29604782396083729</v>
      </c>
      <c r="DI4" s="39">
        <f t="shared" si="63"/>
        <v>1.8165233258019748</v>
      </c>
      <c r="DJ4" s="74">
        <f t="shared" si="64"/>
        <v>-0.77738853499237992</v>
      </c>
      <c r="DK4" s="45"/>
      <c r="DL4" s="84">
        <f t="shared" si="65"/>
        <v>0.73333333333333328</v>
      </c>
      <c r="DM4" s="39">
        <f t="shared" si="100"/>
        <v>0.437285509372496</v>
      </c>
      <c r="DN4" s="74">
        <f t="shared" si="101"/>
        <v>1.0831899924686414</v>
      </c>
      <c r="DP4" s="89" t="str">
        <f t="shared" si="102"/>
        <v/>
      </c>
      <c r="DQ4" s="26" t="str">
        <f>IF(AND(Sufficient_data="Yes",Subgroup&lt;&gt;""),IF(COUNTIFS(Input!J$2:J3,"="&amp;"Yes",Input!C$2:C3,"="&amp;"Yes",Input!K$2:K3,"="&amp;Subgroup)&gt;0,"",Subgroup),"")</f>
        <v/>
      </c>
      <c r="DR4" s="7" t="str">
        <f t="shared" si="103"/>
        <v/>
      </c>
      <c r="DS4" s="7" t="str">
        <f t="shared" si="66"/>
        <v/>
      </c>
      <c r="DT4" s="19" t="str">
        <f t="shared" si="67"/>
        <v/>
      </c>
      <c r="DU4" s="12" t="str">
        <f t="shared" si="104"/>
        <v/>
      </c>
      <c r="DV4" s="11" t="str">
        <f t="shared" si="105"/>
        <v/>
      </c>
      <c r="DW4" s="12" t="str">
        <f t="shared" si="68"/>
        <v/>
      </c>
      <c r="DX4" s="19" t="str">
        <f t="shared" si="69"/>
        <v/>
      </c>
      <c r="DY4" s="19" t="str">
        <f t="shared" si="106"/>
        <v/>
      </c>
      <c r="DZ4" s="19" t="str">
        <f t="shared" si="70"/>
        <v/>
      </c>
      <c r="EA4" s="19" t="str">
        <f t="shared" si="71"/>
        <v/>
      </c>
      <c r="EB4" s="7" t="str">
        <f t="shared" si="72"/>
        <v/>
      </c>
      <c r="EC4" s="19" t="str">
        <f t="shared" si="107"/>
        <v/>
      </c>
      <c r="ED4" s="19" t="str">
        <f t="shared" si="108"/>
        <v/>
      </c>
      <c r="EE4" s="19" t="str">
        <f t="shared" si="109"/>
        <v/>
      </c>
      <c r="EF4" s="19" t="str">
        <f t="shared" si="110"/>
        <v/>
      </c>
      <c r="EG4" s="19" t="str">
        <f t="shared" si="111"/>
        <v/>
      </c>
      <c r="EH4" s="19" t="str">
        <f t="shared" si="112"/>
        <v/>
      </c>
      <c r="EI4" s="19" t="str">
        <f t="shared" si="113"/>
        <v/>
      </c>
      <c r="EJ4" s="19" t="str">
        <f t="shared" si="114"/>
        <v/>
      </c>
      <c r="EK4" s="19" t="str">
        <f t="shared" si="73"/>
        <v/>
      </c>
      <c r="EL4" s="19" t="str">
        <f t="shared" si="115"/>
        <v/>
      </c>
      <c r="EM4" s="19" t="str">
        <f t="shared" si="116"/>
        <v/>
      </c>
      <c r="EN4" s="19" t="str">
        <f t="shared" si="117"/>
        <v/>
      </c>
      <c r="EO4" s="19" t="str">
        <f t="shared" si="118"/>
        <v/>
      </c>
      <c r="EP4" s="19" t="str">
        <f t="shared" si="74"/>
        <v/>
      </c>
      <c r="EQ4" s="19" t="e">
        <f t="shared" si="119"/>
        <v>#N/A</v>
      </c>
      <c r="ER4" s="11" t="str">
        <f t="shared" si="120"/>
        <v/>
      </c>
      <c r="ES4" s="19" t="str">
        <f t="shared" si="121"/>
        <v/>
      </c>
      <c r="ET4" s="156" t="str">
        <f t="shared" si="122"/>
        <v/>
      </c>
      <c r="EU4" s="39" t="str">
        <f t="shared" si="75"/>
        <v/>
      </c>
      <c r="EV4" s="74" t="str">
        <f t="shared" si="76"/>
        <v/>
      </c>
      <c r="EX4" s="2" t="str">
        <f>IF(Subgroup_effect_size_measure="Risk Difference","","CI Lower Limit log")</f>
        <v>CI Lower Limit log</v>
      </c>
      <c r="EY4" s="3">
        <f>IF(Subgroup_effect_size_measure="Risk Difference","",EY2-ABS(TINV((1-Subgroup_confidence_level),Subgroup_k-1))*EY3)</f>
        <v>0.28781809844282125</v>
      </c>
      <c r="FA4" s="196"/>
      <c r="FB4" s="84">
        <f>IF(AND(Include_study?="Yes",Sufficient_data="Yes",Moderator&lt;&gt;""),'Moderator Analysis'!E4,NA())</f>
        <v>13</v>
      </c>
      <c r="FC4" s="39">
        <f>IF(AND(Include_study?="Yes",Sufficient_data="Yes",Moderator&lt;&gt;""),'Moderator Analysis'!F4,NA())</f>
        <v>-0.31015492830383962</v>
      </c>
      <c r="FD4" s="39">
        <f t="shared" si="77"/>
        <v>0.45571566538442332</v>
      </c>
      <c r="FE4" s="39">
        <f t="shared" si="78"/>
        <v>4.8151750972762644</v>
      </c>
      <c r="FF4" s="39">
        <f>IF(AND(Include_study?="Yes",Sufficient_data="Yes",Moderator&lt;&gt;""),'Moderator Analysis'!F:F-FP$2,"")</f>
        <v>-0.73309345828533878</v>
      </c>
      <c r="FG4" s="39">
        <f>IF(AND(Include_study?="Yes",Sufficient_data="Yes",Moderator&lt;&gt;""),'Moderator Analysis'!E:E-FP$3,"")</f>
        <v>-3.9341919734670689</v>
      </c>
      <c r="FH4" s="74">
        <f>IF(AND(Include_study?="Yes",Sufficient_data="Yes",Moderator&lt;&gt;""),FE:FE*('Moderator Analysis'!F:F-FP$5-FP$4*'Moderator Analysis'!E:E)^2,"")</f>
        <v>2.6060214405707578</v>
      </c>
      <c r="FI4" s="128"/>
      <c r="FJ4" s="92">
        <f t="shared" si="79"/>
        <v>3.8255852408046849</v>
      </c>
      <c r="FK4" s="137">
        <f>IF(AND(Include_study?="Yes",Sufficient_data="Yes",Moderator&lt;&gt;""),'Moderator Analysis'!F:F-'Moderator Analysis'!J$37,"")</f>
        <v>-0.73309345828533878</v>
      </c>
      <c r="FL4" s="137">
        <f>IF(AND(Include_study?="Yes",Sufficient_data="Yes",Moderator&lt;&gt;""),'Moderator Analysis'!E:E-SUMPRODUCT('Moderator Analysis'!E:E,FJ:FJ)/SUM(FJ:FJ),"")</f>
        <v>-3.9180948142383265</v>
      </c>
      <c r="FM4" s="95">
        <f>IF(AND(Include_study?="Yes",Sufficient_data="Yes",Moderator&lt;&gt;""),FJ:FJ*('Moderator Analysis'!F:F-'Moderator Analysis'!J$29-'Moderator Analysis'!J$30*'Moderator Analysis'!E:E)^2,"")</f>
        <v>2.070445406213246</v>
      </c>
      <c r="FN4" s="21"/>
      <c r="FO4" s="2" t="s">
        <v>144</v>
      </c>
      <c r="FP4" s="19">
        <f>IF(FP3&lt;&gt;"",SUMPRODUCT(FF:FF,FG:FG,FE:FE)/SUMPRODUCT(FG:FG,FG:FG,FE:FE),"")</f>
        <v>-6.5486861588207805E-4</v>
      </c>
      <c r="FR4" s="196"/>
      <c r="FS4" s="182"/>
      <c r="FT4" s="130">
        <f>IF(AND(Include_study?="Yes",Sufficient_data="Yes"),IF(Additional_weighting_method="Inverse Variance",1/'Publication Bias Analysis'!F:F^2,IF(Additional_weighting_method="Mantel-Haenszel",Weightf_MH,Weightf_Peto)),"")</f>
        <v>4.8151750972762644</v>
      </c>
      <c r="FU4" s="39">
        <f>IF(AND(Include_study?="Yes",Sufficient_data="Yes"),1/('Publication Bias Analysis'!F:F^2+IF(Additional_model="Fixed effect",0,Calculations!GH$12)),"")</f>
        <v>4.8151750972762644</v>
      </c>
      <c r="FV4" s="39">
        <f>IF(AND(Include_study?="Yes",Sufficient_data="Yes"),1/('Publication Bias Analysis'!F:F^2+IF(Additional_model="Fixed effect",0,'Publication Bias Analysis'!L$32)),"")</f>
        <v>4.8151750972762644</v>
      </c>
      <c r="FW4" s="39">
        <f>IF(AND(Include_study?="Yes",Sufficient_data="Yes"),'Publication Bias Analysis'!E:E-'Publication Bias Analysis'!I$37,"")</f>
        <v>-0.73309345828533878</v>
      </c>
      <c r="FX4" s="39">
        <f>IF(AND(Include_study?="Yes",Sufficient_data="Yes"),IF(Additional_model="Fixed effect",1/'Publication Bias Analysis'!F:F,1/SQRT('Publication Bias Analysis'!F:F^2+GH$12)),"")</f>
        <v>2.1943507233977582</v>
      </c>
      <c r="FY4" s="39">
        <f>IF(AND(Include_study?="Yes",Sufficient_data="Yes"),IF(Additional_model="Fixed effect",'Publication Bias Analysis'!E:E/'Publication Bias Analysis'!F:F,'Publication Bias Analysis'!E:E/SQRT('Publication Bias Analysis'!F:F^2+GH$12)),"")</f>
        <v>-0.68058869128891031</v>
      </c>
      <c r="FZ4" s="136">
        <f t="shared" si="80"/>
        <v>-11</v>
      </c>
      <c r="GA4" s="144">
        <f>IF(AND(Include_study?="Yes",Sufficient_data="Yes"),FZ:FZ+IF(GL:GL&lt;0,-1,1)*COUNTIF(FZ$2:FZ3,FZ:FZ),"")</f>
        <v>-11</v>
      </c>
      <c r="GB4" s="144">
        <f>IF(AND(Include_study?="Yes",Sufficient_data="Yes"),RANK(GP:GP,GP:GP,1)*IF(GO:GO&lt;0,-1,1)+IF(GO:GO&lt;0,-1,1)*COUNTIF(FZ$2:FZ3,FZ:FZ),"")</f>
        <v>-11</v>
      </c>
      <c r="GC4" s="144">
        <f>IF(AND(Include_study?="Yes",Sufficient_data="Yes"),RANK(GS:GS,GS:GS,1)*IF(GR:GR&lt;0,-1,1)+IF(GR:GR&lt;0,-1,1)*COUNTIF(FZ$2:FZ3,FZ:FZ),"")</f>
        <v>-11</v>
      </c>
      <c r="GD4" s="39">
        <f>IF(AND(Include_study?="Yes",Sufficient_data="Yes"),'Publication Bias Analysis'!E4,NA())</f>
        <v>-0.31015492830383962</v>
      </c>
      <c r="GE4" s="74">
        <f>IF(AND(Include_study?="Yes",Sufficient_data="Yes"),'Publication Bias Analysis'!F4,NA())</f>
        <v>0.45571566538442332</v>
      </c>
      <c r="GG4" s="2" t="s">
        <v>146</v>
      </c>
      <c r="GH4" s="3">
        <f>IF(Trim_and_fill="Off",'Publication Bias Analysis'!I29,'Publication Bias Analysis'!I37)</f>
        <v>0.42293852998149922</v>
      </c>
      <c r="GI4" s="3">
        <v>0</v>
      </c>
      <c r="GK4" s="176"/>
      <c r="GL4" s="130">
        <f>IF(AND(Include_study?="Yes",Sufficient_data="Yes"),IF('Publication Bias Analysis'!L$38="Left",'Publication Bias Analysis'!E:E-'Publication Bias Analysis'!I$29,'Publication Bias Analysis'!I$29-'Publication Bias Analysis'!E:E),"")</f>
        <v>-0.73309345828533878</v>
      </c>
      <c r="GM4" s="39">
        <f t="shared" si="81"/>
        <v>0.73309345828533878</v>
      </c>
      <c r="GN4" s="74">
        <f>IF(AND(Include_study?="Yes",Sufficient_data="Yes"),IF(AND(Additional_weighting_method="Mantel-Haenszel",Additional_model="Fixed effect"),Weightf_MH,1/('Publication Bias Analysis'!F:F^2+IF(Additional_model="Fixed effect",0,GW$6))),"")</f>
        <v>4.8151750972762644</v>
      </c>
      <c r="GO4" s="39">
        <f>IF(AND(Include_study?="Yes",Sufficient_data="Yes"),IF('Publication Bias Analysis'!L$38="Left",'Publication Bias Analysis'!E:E-GW$3,GW$3-'Publication Bias Analysis'!E:E),"")</f>
        <v>-0.73309345828533878</v>
      </c>
      <c r="GP4" s="39">
        <f t="shared" si="82"/>
        <v>0.73309345828533878</v>
      </c>
      <c r="GQ4" s="74">
        <f>IF(AND(Include_study?="Yes",Sufficient_data="Yes"),IF(AND(Additional_weighting_method="Mantel-Haenszel",Additional_model="Fixed effect"),Weightf_MH,1/('Publication Bias Analysis'!F:F^2+IF(Additional_model="Fixed effect",0,GW$13))),"")</f>
        <v>4.8151750972762644</v>
      </c>
      <c r="GR4" s="39">
        <f>IF(AND(Include_study?="Yes",Sufficient_data="Yes"),IF('Publication Bias Analysis'!L$38="Left",'Publication Bias Analysis'!E:E-GW$10,GW$10-'Publication Bias Analysis'!E:E),"")</f>
        <v>-0.73309345828533878</v>
      </c>
      <c r="GS4" s="39">
        <f t="shared" si="83"/>
        <v>0.73309345828533878</v>
      </c>
      <c r="GT4" s="74">
        <f>IF(AND(Include_study?="Yes",Sufficient_data="Yes"),IF(AND(Additional_weighting_method="Mantel-Haenszel",Additional_model="Fixed effect"),Weightf_MH,1/('Publication Bias Analysis'!F:F^2+IF(Additional_model="Fixed effect",0,GW$20))),"")</f>
        <v>4.8151750972762644</v>
      </c>
      <c r="GV4" s="178" t="s">
        <v>5</v>
      </c>
      <c r="GW4" s="178"/>
      <c r="GY4" s="89">
        <v>3</v>
      </c>
      <c r="GZ4" s="7" t="str">
        <f>IF(Trim_and_fill="On",IF(GW$21&gt;(COUNT(GZ$2:GZ3)),IF(COUNTIF(GA:GA,-1*(MAX(GA:GA)-GY4+1))=1,"",MAX(GA:GA)-GY4+1),""),"")</f>
        <v/>
      </c>
      <c r="HA4" s="60" t="str">
        <f t="shared" si="84"/>
        <v/>
      </c>
      <c r="HB4" s="65" t="str">
        <f t="shared" si="85"/>
        <v/>
      </c>
      <c r="HC4" s="3" t="str">
        <f t="shared" si="86"/>
        <v/>
      </c>
      <c r="HD4" s="39" t="str">
        <f>IF(GZ4&lt;&gt;"",1/(HB4^2+'Publication Bias Analysis'!L$32),"")</f>
        <v/>
      </c>
      <c r="HE4" s="74" t="str">
        <f>IF(GZ4&lt;&gt;"",HA:HA-'Publication Bias Analysis'!I$37,"")</f>
        <v/>
      </c>
      <c r="HG4" s="89">
        <v>3</v>
      </c>
      <c r="HH4" s="3" t="e">
        <f t="shared" si="87"/>
        <v>#N/A</v>
      </c>
      <c r="HI4" s="74" t="e">
        <f t="shared" si="88"/>
        <v>#N/A</v>
      </c>
      <c r="HK4" s="176"/>
      <c r="HL4" s="66">
        <f t="shared" si="89"/>
        <v>0.16411811984272617</v>
      </c>
      <c r="HM4" s="74">
        <f>IF(AND(Include_study?="Yes",Sufficient_data="Yes"),Z_score-('Publication Bias Analysis'!P$3+'Publication Bias Analysis'!P$4*Inverse_standard_error),"")</f>
        <v>-1.6047365591743397</v>
      </c>
      <c r="HO4" s="176"/>
      <c r="HP4" s="64">
        <f>IF(AND(Include_study?="Yes",Sufficient_data="Yes"),(GD:GD-SUMPRODUCT(Calculations!FT:FT,'Publication Bias Analysis'!E:E)/SUM(Calculations!FT:FT))/SQRT(Calculations!HQ:HQ),"")</f>
        <v>-1.6891157915219959</v>
      </c>
      <c r="HQ4" s="64">
        <f>IF(AND(Include_study?="Yes",Sufficient_data="Yes"),GE:GE^2-1/SUM(Calculations!FT:FT),"")</f>
        <v>0.18836484125952574</v>
      </c>
      <c r="HR4" s="7">
        <f t="shared" si="90"/>
        <v>11</v>
      </c>
      <c r="HS4" s="7">
        <f t="shared" si="91"/>
        <v>9</v>
      </c>
      <c r="HT4" s="7">
        <f>IF(AND(Include_study?="Yes",Sufficient_data="Yes"),COUNTIFS(HR$2:HR3,"&lt;"&amp;HR4,HS$2:HS3,"&lt;"&amp;HS4)+COUNTIFS(HR5:HR$201,"&lt;"&amp;HR4,HS5:HS$201,"&lt;"&amp;HS4)+COUNTIFS(HR$2:HR3,"&gt;"&amp;HR4,HS$2:HS3,"&gt;"&amp;HS4)+COUNTIFS(HR5:HR$201,"&gt;"&amp;HR4,HS5:HS$201,"&gt;"&amp;HS4),"")</f>
        <v>7</v>
      </c>
      <c r="HU4" s="104">
        <f>IF(AND(Include_study?="Yes",Sufficient_data="Yes"),COUNTIFS(HR$2:HR3,"&lt;"&amp;HR4,HS$2:HS3,"&gt;"&amp;HS4)+COUNTIFS(HR5:HR$201,"&lt;"&amp;HR4,HS5:HS$201,"&gt;"&amp;HS4)+COUNTIFS(HR$2:HR3,"&gt;"&amp;HR4,HS$2:HS3,"&lt;"&amp;HS4)+COUNTIFS(HR5:HR$201,"&gt;"&amp;HR4,HS5:HS$201,"&lt;"&amp;HS4),"")</f>
        <v>4</v>
      </c>
      <c r="HW4" s="176"/>
      <c r="HX4" s="32">
        <v>3</v>
      </c>
      <c r="HY4" s="3">
        <f t="shared" si="123"/>
        <v>-1.25</v>
      </c>
      <c r="HZ4" s="74">
        <f>HZ5-HY14</f>
        <v>-0.75</v>
      </c>
      <c r="IB4" s="176"/>
      <c r="IC4" s="146">
        <f t="shared" si="92"/>
        <v>0.375</v>
      </c>
      <c r="ID4" s="137">
        <f t="shared" si="93"/>
        <v>0.45</v>
      </c>
      <c r="IE4" s="137">
        <f t="shared" si="94"/>
        <v>13.846153846153847</v>
      </c>
      <c r="IF4" s="95">
        <f t="shared" si="95"/>
        <v>4.8151750972762644</v>
      </c>
      <c r="IH4" s="19">
        <f>MAX('Publication Bias Analysis'!AH:AH)</f>
        <v>0.45</v>
      </c>
      <c r="II4" s="19">
        <f>MAX('Publication Bias Analysis'!AH:AH)</f>
        <v>0.45</v>
      </c>
      <c r="IK4" s="176"/>
      <c r="IL4" s="158">
        <f>IF(AND(Include_study?="Yes",Sufficient_data="Yes"),'Publication Bias Analysis'!AV:AV,NA())</f>
        <v>-0.68058869128891031</v>
      </c>
      <c r="IM4" s="158">
        <f>IF(AND(Sufficient_data="Yes",Include_study?="Yes"),'Publication Bias Analysis'!AU:AU,NA())</f>
        <v>2.1943507233977582</v>
      </c>
      <c r="IN4" s="62">
        <f t="shared" si="96"/>
        <v>0.16411811984272617</v>
      </c>
      <c r="IO4" s="74">
        <f>IF(AND(Include_study?="Yes",Sufficient_data="Yes"),Z_score-('Publication Bias Analysis'!AY$30+'Publication Bias Analysis'!AY$31*Inverse_standard_error),"")</f>
        <v>-1.6086641605065974</v>
      </c>
      <c r="IQ4" s="2" t="s">
        <v>147</v>
      </c>
      <c r="IR4" s="3">
        <f>MAX(Inverse_standard_error)</f>
        <v>3.1724621556501278</v>
      </c>
      <c r="IS4" s="3">
        <f>IR4*'Publication Bias Analysis'!AY31</f>
        <v>1.3417564805326032</v>
      </c>
      <c r="IU4" s="176"/>
      <c r="IV4" s="7">
        <f>IF('Publication Bias Analysis'!BG:BG&lt;&gt;"",RANK('Publication Bias Analysis'!BG:BG,'Publication Bias Analysis'!BG:BG,1)+COUNTIF('Publication Bias Analysis'!BG$2:BG3,'Publication Bias Analysis'!BG4),"")</f>
        <v>2</v>
      </c>
      <c r="IW4" s="124">
        <f t="shared" si="97"/>
        <v>0.13513513513513514</v>
      </c>
      <c r="IX4" s="125">
        <f>IF('Publication Bias Analysis'!BF4&lt;&gt;"",'Publication Bias Analysis'!BF4,NA())</f>
        <v>-1.1024403670151643</v>
      </c>
      <c r="IY4" s="125">
        <f>IF('Publication Bias Analysis'!BG4&lt;&gt;"",'Publication Bias Analysis'!BG4,NA())</f>
        <v>-0.68058869128891031</v>
      </c>
      <c r="IZ4" s="62">
        <f>IF(AND(Include_study?="Yes",Sufficient_data="Yes"),'Publication Bias Analysis'!BF:BF-AVERAGE('Publication Bias Analysis'!BF:BF),"")</f>
        <v>-1.1024403670151641</v>
      </c>
      <c r="JA4" s="74">
        <f>IF(AND(Include_study?="Yes",Sufficient_data="Yes"),'Publication Bias Analysis'!BG:BG-('Publication Bias Analysis'!BJ$30+'Publication Bias Analysis'!BJ$31*'Publication Bias Analysis'!BF:BF),"")</f>
        <v>-0.36546868853899916</v>
      </c>
      <c r="JC4" s="2" t="s">
        <v>135</v>
      </c>
      <c r="JD4" s="3">
        <f>MAX('Publication Bias Analysis'!BF:BF)</f>
        <v>1.6067550689692418</v>
      </c>
      <c r="JE4" s="134">
        <f>'Publication Bias Analysis'!BJ$30+JD4*'Publication Bias Analysis'!BJ$31</f>
        <v>2.5827307400185262</v>
      </c>
      <c r="JG4" s="176"/>
      <c r="JH4" s="39">
        <f t="shared" si="98"/>
        <v>-0.68058869128891031</v>
      </c>
      <c r="JI4" s="148">
        <f t="shared" si="124"/>
        <v>0.2480658922764476</v>
      </c>
      <c r="JJ4" s="74">
        <f t="shared" si="125"/>
        <v>-1.3940608734446358</v>
      </c>
    </row>
    <row r="5" spans="1:270" ht="13.5" customHeight="1" x14ac:dyDescent="0.25">
      <c r="A5" s="2">
        <f t="shared" si="0"/>
        <v>4</v>
      </c>
      <c r="B5" s="7">
        <f>IF(AND(Include_study?="Yes",Sufficient_data="Yes"),IF(Input!a_&lt;&gt;"",Input!a_,Input!n1_-Input!b_),"")</f>
        <v>30</v>
      </c>
      <c r="C5" s="7">
        <f>IF(AND(Include_study?="Yes",Sufficient_data="Yes"),IF(Input!b_&lt;&gt;"",Input!b_,Input!n1_-Input!a_),"")</f>
        <v>120</v>
      </c>
      <c r="D5" s="7">
        <f>IF(AND(Include_study?="Yes",Sufficient_data="Yes"),IF(Input!c_&lt;&gt;"",Input!c_,Input!n2_-Input!d_),"")</f>
        <v>20</v>
      </c>
      <c r="E5" s="7">
        <f>IF(AND(Include_study?="Yes",Sufficient_data="Yes"),IF(Input!d_&lt;&gt;"",Input!d_,Input!n2_-Input!c_),"")</f>
        <v>130</v>
      </c>
      <c r="F5" s="74" t="str">
        <f t="shared" si="1"/>
        <v>No</v>
      </c>
      <c r="H5" s="196"/>
      <c r="I5" s="182"/>
      <c r="J5" s="146">
        <f t="shared" si="2"/>
        <v>1.625</v>
      </c>
      <c r="K5" s="39">
        <f t="shared" si="3"/>
        <v>0.48550781578170082</v>
      </c>
      <c r="L5" s="39">
        <f t="shared" si="4"/>
        <v>0.31521258597805762</v>
      </c>
      <c r="M5" s="39">
        <f t="shared" si="5"/>
        <v>0.87387595289696185</v>
      </c>
      <c r="N5" s="74">
        <f t="shared" si="6"/>
        <v>3.0217389450369216</v>
      </c>
      <c r="P5" s="176"/>
      <c r="Q5" s="130">
        <f t="shared" si="7"/>
        <v>1.6134907506218206</v>
      </c>
      <c r="R5" s="39">
        <f t="shared" si="8"/>
        <v>0.30932183886689929</v>
      </c>
      <c r="S5" s="39">
        <f t="shared" si="9"/>
        <v>0.87780401711019873</v>
      </c>
      <c r="T5" s="74">
        <f t="shared" si="10"/>
        <v>2.9657558539235347</v>
      </c>
      <c r="V5" s="176"/>
      <c r="W5" s="130">
        <f t="shared" si="11"/>
        <v>6.666666666666668E-2</v>
      </c>
      <c r="X5" s="39">
        <f t="shared" si="12"/>
        <v>4.2860670048857581E-2</v>
      </c>
      <c r="Y5" s="39">
        <f t="shared" si="13"/>
        <v>-1.7681267828795894E-2</v>
      </c>
      <c r="Z5" s="74">
        <f t="shared" si="14"/>
        <v>0.15101460116212925</v>
      </c>
      <c r="AB5" s="176"/>
      <c r="AC5" s="130">
        <f t="shared" si="15"/>
        <v>1.5</v>
      </c>
      <c r="AD5" s="39">
        <f t="shared" si="16"/>
        <v>0.40546510810816438</v>
      </c>
      <c r="AE5" s="39">
        <f t="shared" si="17"/>
        <v>0.26457513110645903</v>
      </c>
      <c r="AF5" s="39">
        <f t="shared" si="18"/>
        <v>0.89118143400120908</v>
      </c>
      <c r="AG5" s="74">
        <f t="shared" si="19"/>
        <v>2.5247384137010056</v>
      </c>
      <c r="AI5" s="196"/>
      <c r="AJ5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4</v>
      </c>
      <c r="AK5" s="136">
        <f>IF(AJ5&lt;&gt;"",IF(AJ5=0,COUNTIF(AJ$2:AJ4,0)+1,COUNTIF(AJ$2:AJ4,AJ5)+AJ5+COUNTIF(AJ:AJ,0)),"")</f>
        <v>4</v>
      </c>
      <c r="AL5" s="136">
        <f t="shared" si="20"/>
        <v>4</v>
      </c>
      <c r="AM5" s="155" t="str">
        <f>IF(AND(Include_study?="Yes",Sufficient_data="Yes",Input!Study_name&lt;&gt;""),Input!Study_name,"")</f>
        <v>dddd</v>
      </c>
      <c r="AN5" s="136">
        <f t="shared" si="21"/>
        <v>300</v>
      </c>
      <c r="AO5" s="19">
        <f t="shared" si="22"/>
        <v>1.625</v>
      </c>
      <c r="AP5" s="158">
        <f t="shared" si="23"/>
        <v>10.064516129032258</v>
      </c>
      <c r="AQ5" s="158">
        <f t="shared" si="24"/>
        <v>7.890940326069563</v>
      </c>
      <c r="AR5" s="39">
        <f t="shared" si="25"/>
        <v>0.31521258597805762</v>
      </c>
      <c r="AS5" s="158">
        <f t="shared" si="26"/>
        <v>0.87387595289696185</v>
      </c>
      <c r="AT5" s="39">
        <f t="shared" si="27"/>
        <v>3.0217389450369216</v>
      </c>
      <c r="AU5" s="172">
        <f t="shared" si="28"/>
        <v>0.17372656692886568</v>
      </c>
      <c r="AW5" s="84">
        <f t="shared" si="29"/>
        <v>1.625</v>
      </c>
      <c r="AX5" s="3">
        <f t="shared" si="30"/>
        <v>0.75112404710303815</v>
      </c>
      <c r="AY5" s="74">
        <f t="shared" si="31"/>
        <v>1.3967389450369216</v>
      </c>
      <c r="BA5" s="54" t="s">
        <v>102</v>
      </c>
      <c r="BB5" s="53">
        <f>CES_CI_Upper_limit-'Forest Plot'!$B$16</f>
        <v>0.59092105191755739</v>
      </c>
      <c r="BD5" s="196"/>
      <c r="BE5" s="182"/>
      <c r="BF5" s="3">
        <f t="shared" si="32"/>
        <v>0.48550781578170082</v>
      </c>
      <c r="BG5" s="3">
        <f t="shared" si="33"/>
        <v>0.31521258597805762</v>
      </c>
      <c r="BH5" s="3">
        <f t="shared" si="34"/>
        <v>10.064516129032258</v>
      </c>
      <c r="BI5" s="39">
        <f t="shared" si="99"/>
        <v>7.890940326069563</v>
      </c>
      <c r="BJ5" s="95">
        <f t="shared" si="35"/>
        <v>6.3298402958868294E-2</v>
      </c>
      <c r="BL5" s="3" t="str">
        <f>IF(OR(Model_effect_size_measure="Odds Ratio",Model_effect_size_measure="Risk Ratio",Model_effect_size_measure="Peto Odds Ratio"),CONCATENATE("CI UL Log ",Model_effect_size_measure),"")</f>
        <v>CI UL Log Odds Ratio</v>
      </c>
      <c r="BM5" s="3">
        <f>IF(OR(Model_effect_size_measure="Odds Ratio",Model_effect_size_measure="Risk Ratio",Model_effect_size_measure="Peto Odds Ratio"),lnCES_IV+ABS(TINV((1-Confidence_level),k_-1))*SElnCES,"")</f>
        <v>0.74964516604539588</v>
      </c>
      <c r="BO5" s="176"/>
      <c r="BP5" s="158">
        <f t="shared" si="36"/>
        <v>13</v>
      </c>
      <c r="BQ5" s="158">
        <f t="shared" si="37"/>
        <v>8</v>
      </c>
      <c r="BR5" s="158">
        <f t="shared" si="38"/>
        <v>6.9333333333333336</v>
      </c>
      <c r="BS5" s="158">
        <f>IF(AND(Sufficient_data="Yes",Include_study?="Yes"),IF(Add_0_5="Yes",(a_+d_+1)*(ab_+0.5)*(c_+0.5)/(Number_of_subjects+2)^2,(a_+d_)*b_*c_/Number_of_subjects^2),"")</f>
        <v>4.2666666666666666</v>
      </c>
      <c r="BT5" s="158">
        <f t="shared" si="39"/>
        <v>6.0666666666666664</v>
      </c>
      <c r="BU5" s="158">
        <f t="shared" si="40"/>
        <v>3.7333333333333334</v>
      </c>
      <c r="BV5" s="158">
        <f t="shared" si="41"/>
        <v>8</v>
      </c>
      <c r="BW5" s="3">
        <f t="shared" si="42"/>
        <v>3.6102264875111624E-2</v>
      </c>
      <c r="BX5" s="137">
        <f t="shared" si="43"/>
        <v>7.5949469817397581</v>
      </c>
      <c r="BY5" s="95">
        <f t="shared" si="44"/>
        <v>6.3364870636041348E-2</v>
      </c>
      <c r="CA5" s="3" t="s">
        <v>39</v>
      </c>
      <c r="CB5" s="3">
        <f>lnCES_OddsRatio_MH-ABS(TINV((1-Confidence_level),k_-1))*SElnCES_MH</f>
        <v>9.4101701175240138E-2</v>
      </c>
      <c r="CD5" s="176"/>
      <c r="CE5" s="130">
        <f t="shared" si="45"/>
        <v>25</v>
      </c>
      <c r="CF5" s="39">
        <f t="shared" si="46"/>
        <v>10.451505016722408</v>
      </c>
      <c r="CG5" s="137">
        <f t="shared" si="47"/>
        <v>0.47840000000000005</v>
      </c>
      <c r="CH5" s="137">
        <f t="shared" si="48"/>
        <v>9.5680000000000001E-2</v>
      </c>
      <c r="CI5" s="39">
        <f t="shared" si="49"/>
        <v>10.451505016722408</v>
      </c>
      <c r="CJ5" s="39">
        <f t="shared" si="50"/>
        <v>8.3561360953609576</v>
      </c>
      <c r="CK5" s="95">
        <f t="shared" si="51"/>
        <v>5.7934525402158821E-2</v>
      </c>
      <c r="CM5" s="3" t="s">
        <v>39</v>
      </c>
      <c r="CN5" s="3">
        <f>lnCES_PetoOddsRatio-ABS(TINV((1-Confidence_level),k_-1))*SElnCES_Peto</f>
        <v>0.1051254863043114</v>
      </c>
      <c r="CP5" s="176"/>
      <c r="CQ5" s="99">
        <f t="shared" si="52"/>
        <v>0.13333333333333333</v>
      </c>
      <c r="CS5" s="2" t="s">
        <v>44</v>
      </c>
      <c r="CT5" s="3">
        <f>IF(Weighting_method="Inverse variance",IF(Model_effect_size_measure="Odds Ratio",CICES_UL,""),"")</f>
        <v>2.1162489663818249</v>
      </c>
      <c r="CU5" s="3">
        <f>IF(Model_effect_size_measure="Odds Ratio",CICES_UL_MH,"")</f>
        <v>2.1173899808869581</v>
      </c>
      <c r="CV5" s="3" t="str">
        <f>IF(Model_effect_size_measure="Peto Odds Ratio",CICES_UL_Peto,"")</f>
        <v/>
      </c>
      <c r="CX5" s="196"/>
      <c r="CY5" s="89">
        <f t="shared" si="53"/>
        <v>4</v>
      </c>
      <c r="CZ5" s="136" t="str">
        <f t="shared" si="54"/>
        <v>dddd</v>
      </c>
      <c r="DA5" s="140" t="str">
        <f t="shared" si="55"/>
        <v>AA</v>
      </c>
      <c r="DB5" s="39">
        <f t="shared" si="56"/>
        <v>0.48550781578170082</v>
      </c>
      <c r="DC5" s="39">
        <f t="shared" si="57"/>
        <v>0.31521258597805762</v>
      </c>
      <c r="DD5" s="39">
        <f t="shared" si="58"/>
        <v>10.064516129032258</v>
      </c>
      <c r="DE5" s="39">
        <f t="shared" si="59"/>
        <v>7.2866146188732248</v>
      </c>
      <c r="DF5" s="141">
        <f t="shared" si="60"/>
        <v>0.26124527185523194</v>
      </c>
      <c r="DG5" s="39">
        <f t="shared" si="61"/>
        <v>1.625</v>
      </c>
      <c r="DH5" s="39">
        <f t="shared" si="62"/>
        <v>0.8738833454784235</v>
      </c>
      <c r="DI5" s="39">
        <f t="shared" si="63"/>
        <v>3.0217133827563005</v>
      </c>
      <c r="DJ5" s="74">
        <f t="shared" si="64"/>
        <v>1.8274209093160576E-2</v>
      </c>
      <c r="DK5" s="45"/>
      <c r="DL5" s="84">
        <f t="shared" si="65"/>
        <v>1.625</v>
      </c>
      <c r="DM5" s="39">
        <f t="shared" si="100"/>
        <v>0.7511166545215765</v>
      </c>
      <c r="DN5" s="74">
        <f t="shared" si="101"/>
        <v>1.3967133827563005</v>
      </c>
      <c r="DP5" s="89" t="str">
        <f t="shared" si="102"/>
        <v/>
      </c>
      <c r="DQ5" s="26" t="str">
        <f>IF(AND(Sufficient_data="Yes",Subgroup&lt;&gt;""),IF(COUNTIFS(Input!J$2:J4,"="&amp;"Yes",Input!C$2:C4,"="&amp;"Yes",Input!K$2:K4,"="&amp;Subgroup)&gt;0,"",Subgroup),"")</f>
        <v/>
      </c>
      <c r="DR5" s="7" t="str">
        <f t="shared" si="103"/>
        <v/>
      </c>
      <c r="DS5" s="7" t="str">
        <f t="shared" si="66"/>
        <v/>
      </c>
      <c r="DT5" s="19" t="str">
        <f t="shared" si="67"/>
        <v/>
      </c>
      <c r="DU5" s="12" t="str">
        <f t="shared" si="104"/>
        <v/>
      </c>
      <c r="DV5" s="11" t="str">
        <f t="shared" si="105"/>
        <v/>
      </c>
      <c r="DW5" s="12" t="str">
        <f t="shared" si="68"/>
        <v/>
      </c>
      <c r="DX5" s="19" t="str">
        <f t="shared" si="69"/>
        <v/>
      </c>
      <c r="DY5" s="19" t="str">
        <f t="shared" si="106"/>
        <v/>
      </c>
      <c r="DZ5" s="19" t="str">
        <f t="shared" si="70"/>
        <v/>
      </c>
      <c r="EA5" s="19" t="str">
        <f t="shared" si="71"/>
        <v/>
      </c>
      <c r="EB5" s="7" t="str">
        <f t="shared" si="72"/>
        <v/>
      </c>
      <c r="EC5" s="19" t="str">
        <f t="shared" si="107"/>
        <v/>
      </c>
      <c r="ED5" s="19" t="str">
        <f t="shared" si="108"/>
        <v/>
      </c>
      <c r="EE5" s="19" t="str">
        <f t="shared" si="109"/>
        <v/>
      </c>
      <c r="EF5" s="19" t="str">
        <f t="shared" si="110"/>
        <v/>
      </c>
      <c r="EG5" s="19" t="str">
        <f t="shared" si="111"/>
        <v/>
      </c>
      <c r="EH5" s="19" t="str">
        <f t="shared" si="112"/>
        <v/>
      </c>
      <c r="EI5" s="19" t="str">
        <f t="shared" si="113"/>
        <v/>
      </c>
      <c r="EJ5" s="19" t="str">
        <f t="shared" si="114"/>
        <v/>
      </c>
      <c r="EK5" s="19" t="str">
        <f t="shared" si="73"/>
        <v/>
      </c>
      <c r="EL5" s="19" t="str">
        <f t="shared" si="115"/>
        <v/>
      </c>
      <c r="EM5" s="19" t="str">
        <f t="shared" si="116"/>
        <v/>
      </c>
      <c r="EN5" s="19" t="str">
        <f t="shared" si="117"/>
        <v/>
      </c>
      <c r="EO5" s="19" t="str">
        <f t="shared" si="118"/>
        <v/>
      </c>
      <c r="EP5" s="19" t="str">
        <f t="shared" si="74"/>
        <v/>
      </c>
      <c r="EQ5" s="19" t="e">
        <f t="shared" si="119"/>
        <v>#N/A</v>
      </c>
      <c r="ER5" s="11" t="str">
        <f t="shared" si="120"/>
        <v/>
      </c>
      <c r="ES5" s="19" t="str">
        <f t="shared" si="121"/>
        <v/>
      </c>
      <c r="ET5" s="156" t="str">
        <f t="shared" si="122"/>
        <v/>
      </c>
      <c r="EU5" s="39" t="str">
        <f t="shared" si="75"/>
        <v/>
      </c>
      <c r="EV5" s="74" t="str">
        <f t="shared" si="76"/>
        <v/>
      </c>
      <c r="EX5" s="2" t="str">
        <f>IF(Subgroup_effect_size_measure="Risk Difference","","CI Upper Limit Log")</f>
        <v>CI Upper Limit Log</v>
      </c>
      <c r="EY5" s="3">
        <f>IF(Subgroup_effect_size_measure="Risk Difference","",EY2+ABS(TINV((1-Subgroup_confidence_level),Subgroup_k-1))*EY3)</f>
        <v>0.5580714111847267</v>
      </c>
      <c r="FA5" s="196"/>
      <c r="FB5" s="84">
        <f>IF(AND(Include_study?="Yes",Sufficient_data="Yes",Moderator&lt;&gt;""),'Moderator Analysis'!E5,NA())</f>
        <v>18</v>
      </c>
      <c r="FC5" s="39">
        <f>IF(AND(Include_study?="Yes",Sufficient_data="Yes",Moderator&lt;&gt;""),'Moderator Analysis'!F5,NA())</f>
        <v>0.48550781578170082</v>
      </c>
      <c r="FD5" s="39">
        <f t="shared" si="77"/>
        <v>0.31521258597805762</v>
      </c>
      <c r="FE5" s="39">
        <f t="shared" si="78"/>
        <v>10.064516129032258</v>
      </c>
      <c r="FF5" s="39">
        <f>IF(AND(Include_study?="Yes",Sufficient_data="Yes",Moderator&lt;&gt;""),'Moderator Analysis'!F:F-FP$2,"")</f>
        <v>6.2569285800201602E-2</v>
      </c>
      <c r="FG5" s="39">
        <f>IF(AND(Include_study?="Yes",Sufficient_data="Yes",Moderator&lt;&gt;""),'Moderator Analysis'!E:E-FP$3,"")</f>
        <v>1.0658080265329311</v>
      </c>
      <c r="FH5" s="74">
        <f>IF(AND(Include_study?="Yes",Sufficient_data="Yes",Moderator&lt;&gt;""),FE:FE*('Moderator Analysis'!F:F-FP$5-FP$4*'Moderator Analysis'!E:E)^2,"")</f>
        <v>4.0285690868341342E-2</v>
      </c>
      <c r="FI5" s="128"/>
      <c r="FJ5" s="92">
        <f t="shared" si="79"/>
        <v>6.5325268792273343</v>
      </c>
      <c r="FK5" s="137">
        <f>IF(AND(Include_study?="Yes",Sufficient_data="Yes",Moderator&lt;&gt;""),'Moderator Analysis'!F:F-'Moderator Analysis'!J$37,"")</f>
        <v>6.2569285800201602E-2</v>
      </c>
      <c r="FL5" s="137">
        <f>IF(AND(Include_study?="Yes",Sufficient_data="Yes",Moderator&lt;&gt;""),'Moderator Analysis'!E:E-SUMPRODUCT('Moderator Analysis'!E:E,FJ:FJ)/SUM(FJ:FJ),"")</f>
        <v>1.0819051857616735</v>
      </c>
      <c r="FM5" s="95">
        <f>IF(AND(Include_study?="Yes",Sufficient_data="Yes",Moderator&lt;&gt;""),FJ:FJ*('Moderator Analysis'!F:F-'Moderator Analysis'!J$29-'Moderator Analysis'!J$30*'Moderator Analysis'!E:E)^2,"")</f>
        <v>2.6148038819923652E-2</v>
      </c>
      <c r="FN5" s="21"/>
      <c r="FO5" s="2" t="s">
        <v>221</v>
      </c>
      <c r="FP5" s="19">
        <f>IF(FP3&lt;&gt;"",FP2-FP3*FP4,"")</f>
        <v>0.43402820084024502</v>
      </c>
      <c r="FR5" s="196"/>
      <c r="FS5" s="182"/>
      <c r="FT5" s="130">
        <f>IF(AND(Include_study?="Yes",Sufficient_data="Yes"),IF(Additional_weighting_method="Inverse Variance",1/'Publication Bias Analysis'!F:F^2,IF(Additional_weighting_method="Mantel-Haenszel",Weightf_MH,Weightf_Peto)),"")</f>
        <v>10.064516129032258</v>
      </c>
      <c r="FU5" s="39">
        <f>IF(AND(Include_study?="Yes",Sufficient_data="Yes"),1/('Publication Bias Analysis'!F:F^2+IF(Additional_model="Fixed effect",0,Calculations!GH$12)),"")</f>
        <v>10.064516129032258</v>
      </c>
      <c r="FV5" s="39">
        <f>IF(AND(Include_study?="Yes",Sufficient_data="Yes"),1/('Publication Bias Analysis'!F:F^2+IF(Additional_model="Fixed effect",0,'Publication Bias Analysis'!L$32)),"")</f>
        <v>10.064516129032258</v>
      </c>
      <c r="FW5" s="39">
        <f>IF(AND(Include_study?="Yes",Sufficient_data="Yes"),'Publication Bias Analysis'!E:E-'Publication Bias Analysis'!I$37,"")</f>
        <v>6.2569285800201602E-2</v>
      </c>
      <c r="FX5" s="39">
        <f>IF(AND(Include_study?="Yes",Sufficient_data="Yes"),IF(Additional_model="Fixed effect",1/'Publication Bias Analysis'!F:F,1/SQRT('Publication Bias Analysis'!F:F^2+GH$12)),"")</f>
        <v>3.1724621556501278</v>
      </c>
      <c r="FY5" s="39">
        <f>IF(AND(Include_study?="Yes",Sufficient_data="Yes"),IF(Additional_model="Fixed effect",'Publication Bias Analysis'!E:E/'Publication Bias Analysis'!F:F,'Publication Bias Analysis'!E:E/SQRT('Publication Bias Analysis'!F:F^2+GH$12)),"")</f>
        <v>1.5402551718397999</v>
      </c>
      <c r="FZ5" s="136">
        <f t="shared" si="80"/>
        <v>1</v>
      </c>
      <c r="GA5" s="144">
        <f>IF(AND(Include_study?="Yes",Sufficient_data="Yes"),FZ:FZ+IF(GL:GL&lt;0,-1,1)*COUNTIF(FZ$2:FZ4,FZ:FZ),"")</f>
        <v>1</v>
      </c>
      <c r="GB5" s="144">
        <f>IF(AND(Include_study?="Yes",Sufficient_data="Yes"),RANK(GP:GP,GP:GP,1)*IF(GO:GO&lt;0,-1,1)+IF(GO:GO&lt;0,-1,1)*COUNTIF(FZ$2:FZ4,FZ:FZ),"")</f>
        <v>1</v>
      </c>
      <c r="GC5" s="144">
        <f>IF(AND(Include_study?="Yes",Sufficient_data="Yes"),RANK(GS:GS,GS:GS,1)*IF(GR:GR&lt;0,-1,1)+IF(GR:GR&lt;0,-1,1)*COUNTIF(FZ$2:FZ4,FZ:FZ),"")</f>
        <v>1</v>
      </c>
      <c r="GD5" s="39">
        <f>IF(AND(Include_study?="Yes",Sufficient_data="Yes"),'Publication Bias Analysis'!E5,NA())</f>
        <v>0.48550781578170082</v>
      </c>
      <c r="GE5" s="74">
        <f>IF(AND(Include_study?="Yes",Sufficient_data="Yes"),'Publication Bias Analysis'!F5,NA())</f>
        <v>0.31521258597805762</v>
      </c>
      <c r="GG5" s="2" t="s">
        <v>155</v>
      </c>
      <c r="GH5" s="3">
        <f>IF(Additional_valid_options="Yes",IF(Trim_and_fill="Off",'Publication Bias Analysis'!I29,'Publication Bias Analysis'!I37)+ABS(TINV((1-Additional_confidence_level),k_-1))*GI3,"")</f>
        <v>2.3023567258568765</v>
      </c>
      <c r="GI5" s="3">
        <f>IF(Trim_and_fill="Off",GH17,GH22)</f>
        <v>0.85389862228654345</v>
      </c>
      <c r="GK5" s="176"/>
      <c r="GL5" s="130">
        <f>IF(AND(Include_study?="Yes",Sufficient_data="Yes"),IF('Publication Bias Analysis'!L$38="Left",'Publication Bias Analysis'!E:E-'Publication Bias Analysis'!I$29,'Publication Bias Analysis'!I$29-'Publication Bias Analysis'!E:E),"")</f>
        <v>6.2569285800201602E-2</v>
      </c>
      <c r="GM5" s="39">
        <f t="shared" si="81"/>
        <v>6.2569285800201602E-2</v>
      </c>
      <c r="GN5" s="74">
        <f>IF(AND(Include_study?="Yes",Sufficient_data="Yes"),IF(AND(Additional_weighting_method="Mantel-Haenszel",Additional_model="Fixed effect"),Weightf_MH,1/('Publication Bias Analysis'!F:F^2+IF(Additional_model="Fixed effect",0,GW$6))),"")</f>
        <v>10.064516129032258</v>
      </c>
      <c r="GO5" s="39">
        <f>IF(AND(Include_study?="Yes",Sufficient_data="Yes"),IF('Publication Bias Analysis'!L$38="Left",'Publication Bias Analysis'!E:E-GW$3,GW$3-'Publication Bias Analysis'!E:E),"")</f>
        <v>6.2569285800201602E-2</v>
      </c>
      <c r="GP5" s="39">
        <f t="shared" si="82"/>
        <v>6.2569285800201602E-2</v>
      </c>
      <c r="GQ5" s="74">
        <f>IF(AND(Include_study?="Yes",Sufficient_data="Yes"),IF(AND(Additional_weighting_method="Mantel-Haenszel",Additional_model="Fixed effect"),Weightf_MH,1/('Publication Bias Analysis'!F:F^2+IF(Additional_model="Fixed effect",0,GW$13))),"")</f>
        <v>10.064516129032258</v>
      </c>
      <c r="GR5" s="39">
        <f>IF(AND(Include_study?="Yes",Sufficient_data="Yes"),IF('Publication Bias Analysis'!L$38="Left",'Publication Bias Analysis'!E:E-GW$10,GW$10-'Publication Bias Analysis'!E:E),"")</f>
        <v>6.2569285800201602E-2</v>
      </c>
      <c r="GS5" s="39">
        <f t="shared" si="83"/>
        <v>6.2569285800201602E-2</v>
      </c>
      <c r="GT5" s="74">
        <f>IF(AND(Include_study?="Yes",Sufficient_data="Yes"),IF(AND(Additional_weighting_method="Mantel-Haenszel",Additional_model="Fixed effect"),Weightf_MH,1/('Publication Bias Analysis'!F:F^2+IF(Additional_model="Fixed effect",0,GW$20))),"")</f>
        <v>10.064516129032258</v>
      </c>
      <c r="GV5" s="2" t="s">
        <v>6</v>
      </c>
      <c r="GW5" s="3">
        <f>SUMPRODUCT(--(GA:GA&lt;=(MAX(GA:GA)-GW7)),Calculations!FT:FT,'Publication Bias Analysis'!E:E,'Publication Bias Analysis'!E:E)-SUMPRODUCT(--(GA:GA&lt;=(MAX(GA:GA)-GW7)),Calculations!FT:FT,'Publication Bias Analysis'!E:E)^2/SUMIF(GA:GA,"&lt;="&amp;(MAX(GA:GA)-GW7),Calculations!FT:FT)</f>
        <v>12.273195457938824</v>
      </c>
      <c r="GY5" s="89">
        <v>4</v>
      </c>
      <c r="GZ5" s="7" t="str">
        <f>IF(Trim_and_fill="On",IF(GW$21&gt;(COUNT(GZ$2:GZ4)),IF(COUNTIF(GA:GA,-1*(MAX(GA:GA)-GY5+1))=1,"",MAX(GA:GA)-GY5+1),""),"")</f>
        <v/>
      </c>
      <c r="HA5" s="60" t="str">
        <f t="shared" si="84"/>
        <v/>
      </c>
      <c r="HB5" s="65" t="str">
        <f t="shared" si="85"/>
        <v/>
      </c>
      <c r="HC5" s="3" t="str">
        <f t="shared" si="86"/>
        <v/>
      </c>
      <c r="HD5" s="39" t="str">
        <f>IF(GZ5&lt;&gt;"",1/(HB5^2+'Publication Bias Analysis'!L$32),"")</f>
        <v/>
      </c>
      <c r="HE5" s="74" t="str">
        <f>IF(GZ5&lt;&gt;"",HA:HA-'Publication Bias Analysis'!I$37,"")</f>
        <v/>
      </c>
      <c r="HG5" s="89">
        <v>4</v>
      </c>
      <c r="HH5" s="3" t="e">
        <f t="shared" si="87"/>
        <v>#N/A</v>
      </c>
      <c r="HI5" s="74" t="e">
        <f t="shared" si="88"/>
        <v>#N/A</v>
      </c>
      <c r="HK5" s="176"/>
      <c r="HL5" s="66">
        <f t="shared" si="89"/>
        <v>1.1422295520950958</v>
      </c>
      <c r="HM5" s="74">
        <f>IF(AND(Include_study?="Yes",Sufficient_data="Yes"),Z_score-('Publication Bias Analysis'!P$3+'Publication Bias Analysis'!P$4*Inverse_standard_error),"")</f>
        <v>0.25816834119563836</v>
      </c>
      <c r="HO5" s="176"/>
      <c r="HP5" s="64">
        <f>IF(AND(Include_study?="Yes",Sufficient_data="Yes"),(GD:GD-SUMPRODUCT(Calculations!FT:FT,'Publication Bias Analysis'!E:E)/SUM(Calculations!FT:FT))/SQRT(Calculations!HQ:HQ),"")</f>
        <v>0.22115081165909012</v>
      </c>
      <c r="HQ5" s="64">
        <f>IF(AND(Include_study?="Yes",Sufficient_data="Yes"),GE:GE^2-1/SUM(Calculations!FT:FT),"")</f>
        <v>8.0047047941732424E-2</v>
      </c>
      <c r="HR5" s="7">
        <f t="shared" si="90"/>
        <v>7</v>
      </c>
      <c r="HS5" s="7">
        <f t="shared" si="91"/>
        <v>12</v>
      </c>
      <c r="HT5" s="7">
        <f>IF(AND(Include_study?="Yes",Sufficient_data="Yes"),COUNTIFS(HR$2:HR4,"&lt;"&amp;HR5,HS$2:HS4,"&lt;"&amp;HS5)+COUNTIFS(HR6:HR$201,"&lt;"&amp;HR5,HS6:HS$201,"&lt;"&amp;HS5)+COUNTIFS(HR$2:HR4,"&gt;"&amp;HR5,HS$2:HS4,"&gt;"&amp;HS5)+COUNTIFS(HR6:HR$201,"&gt;"&amp;HR5,HS6:HS$201,"&gt;"&amp;HS5),"")</f>
        <v>6</v>
      </c>
      <c r="HU5" s="104">
        <f>IF(AND(Include_study?="Yes",Sufficient_data="Yes"),COUNTIFS(HR$2:HR4,"&lt;"&amp;HR5,HS$2:HS4,"&gt;"&amp;HS5)+COUNTIFS(HR6:HR$201,"&lt;"&amp;HR5,HS6:HS$201,"&gt;"&amp;HS5)+COUNTIFS(HR$2:HR4,"&gt;"&amp;HR5,HS$2:HS4,"&lt;"&amp;HS5)+COUNTIFS(HR6:HR$201,"&gt;"&amp;HR5,HS6:HS$201,"&lt;"&amp;HS5),"")</f>
        <v>5</v>
      </c>
      <c r="HW5" s="176"/>
      <c r="HX5" s="32">
        <v>4</v>
      </c>
      <c r="HY5" s="3">
        <f t="shared" si="123"/>
        <v>-0.75</v>
      </c>
      <c r="HZ5" s="74">
        <f>HZ6-HY14</f>
        <v>-0.25</v>
      </c>
      <c r="IB5" s="176"/>
      <c r="IC5" s="146">
        <f t="shared" si="92"/>
        <v>0.2</v>
      </c>
      <c r="ID5" s="137">
        <f t="shared" si="93"/>
        <v>0.13333333333333333</v>
      </c>
      <c r="IE5" s="137">
        <f t="shared" si="94"/>
        <v>14.28571428571429</v>
      </c>
      <c r="IF5" s="95">
        <f t="shared" si="95"/>
        <v>10.064516129032258</v>
      </c>
      <c r="IH5" s="178" t="s">
        <v>236</v>
      </c>
      <c r="II5" s="178"/>
      <c r="IK5" s="176"/>
      <c r="IL5" s="158">
        <f>IF(AND(Include_study?="Yes",Sufficient_data="Yes"),'Publication Bias Analysis'!AV:AV,NA())</f>
        <v>1.5402551718397999</v>
      </c>
      <c r="IM5" s="158">
        <f>IF(AND(Sufficient_data="Yes",Include_study?="Yes"),'Publication Bias Analysis'!AU:AU,NA())</f>
        <v>3.1724621556501278</v>
      </c>
      <c r="IN5" s="62">
        <f t="shared" si="96"/>
        <v>1.1422295520950958</v>
      </c>
      <c r="IO5" s="74">
        <f>IF(AND(Include_study?="Yes",Sufficient_data="Yes"),Z_score-('Publication Bias Analysis'!AY$30+'Publication Bias Analysis'!AY$31*Inverse_standard_error),"")</f>
        <v>0.19849869130719666</v>
      </c>
      <c r="IQ5" s="36" t="s">
        <v>134</v>
      </c>
      <c r="IR5" s="2" t="s">
        <v>68</v>
      </c>
      <c r="IS5" s="2" t="s">
        <v>69</v>
      </c>
      <c r="IU5" s="176"/>
      <c r="IV5" s="7">
        <f>IF('Publication Bias Analysis'!BG:BG&lt;&gt;"",RANK('Publication Bias Analysis'!BG:BG,'Publication Bias Analysis'!BG:BG,1)+COUNTIF('Publication Bias Analysis'!BG$2:BG4,'Publication Bias Analysis'!BG5),"")</f>
        <v>8</v>
      </c>
      <c r="IW5" s="124">
        <f t="shared" si="97"/>
        <v>0.6216216216216216</v>
      </c>
      <c r="IX5" s="125">
        <f>IF('Publication Bias Analysis'!BF5&lt;&gt;"",'Publication Bias Analysis'!BF5,NA())</f>
        <v>0.30974253153853021</v>
      </c>
      <c r="IY5" s="125">
        <f>IF('Publication Bias Analysis'!BG5&lt;&gt;"",'Publication Bias Analysis'!BG5,NA())</f>
        <v>1.5402551718397999</v>
      </c>
      <c r="IZ5" s="62">
        <f>IF(AND(Include_study?="Yes",Sufficient_data="Yes"),'Publication Bias Analysis'!BF:BF-AVERAGE('Publication Bias Analysis'!BF:BF),"")</f>
        <v>0.30974253153853037</v>
      </c>
      <c r="JA5" s="74">
        <f>IF(AND(Include_study?="Yes",Sufficient_data="Yes"),'Publication Bias Analysis'!BG:BG-('Publication Bias Analysis'!BJ$30+'Publication Bias Analysis'!BJ$31*'Publication Bias Analysis'!BF:BF),"")</f>
        <v>0.3448546683377347</v>
      </c>
      <c r="JC5" s="36" t="s">
        <v>160</v>
      </c>
      <c r="JD5" s="2" t="s">
        <v>68</v>
      </c>
      <c r="JE5" s="2" t="s">
        <v>69</v>
      </c>
      <c r="JG5" s="176"/>
      <c r="JH5" s="39">
        <f t="shared" si="98"/>
        <v>1.5402551718397999</v>
      </c>
      <c r="JI5" s="148">
        <f t="shared" si="124"/>
        <v>6.1749083106538261E-2</v>
      </c>
      <c r="JJ5" s="74">
        <f t="shared" si="125"/>
        <v>-2.7846761520614032</v>
      </c>
    </row>
    <row r="6" spans="1:270" ht="15" x14ac:dyDescent="0.25">
      <c r="A6" s="2">
        <f t="shared" si="0"/>
        <v>5</v>
      </c>
      <c r="B6" s="7">
        <f>IF(AND(Include_study?="Yes",Sufficient_data="Yes"),IF(Input!a_&lt;&gt;"",Input!a_,Input!n1_-Input!b_),"")</f>
        <v>18</v>
      </c>
      <c r="C6" s="7">
        <f>IF(AND(Include_study?="Yes",Sufficient_data="Yes"),IF(Input!b_&lt;&gt;"",Input!b_,Input!n1_-Input!a_),"")</f>
        <v>30</v>
      </c>
      <c r="D6" s="7">
        <f>IF(AND(Include_study?="Yes",Sufficient_data="Yes"),IF(Input!c_&lt;&gt;"",Input!c_,Input!n2_-Input!d_),"")</f>
        <v>11</v>
      </c>
      <c r="E6" s="7">
        <f>IF(AND(Include_study?="Yes",Sufficient_data="Yes"),IF(Input!d_&lt;&gt;"",Input!d_,Input!n2_-Input!c_),"")</f>
        <v>36</v>
      </c>
      <c r="F6" s="74" t="str">
        <f t="shared" si="1"/>
        <v>No</v>
      </c>
      <c r="H6" s="196"/>
      <c r="I6" s="182"/>
      <c r="J6" s="146">
        <f t="shared" si="2"/>
        <v>1.9636363636363636</v>
      </c>
      <c r="K6" s="39">
        <f t="shared" si="3"/>
        <v>0.67479804189174875</v>
      </c>
      <c r="L6" s="39">
        <f t="shared" si="4"/>
        <v>0.45560482611113501</v>
      </c>
      <c r="M6" s="39">
        <f t="shared" si="5"/>
        <v>0.79457901264815833</v>
      </c>
      <c r="N6" s="74">
        <f t="shared" si="6"/>
        <v>4.8527178634435311</v>
      </c>
      <c r="P6" s="176"/>
      <c r="Q6" s="130">
        <f t="shared" si="7"/>
        <v>1.9302588777708409</v>
      </c>
      <c r="R6" s="39">
        <f t="shared" si="8"/>
        <v>0.4432482378400513</v>
      </c>
      <c r="S6" s="39">
        <f t="shared" si="9"/>
        <v>0.80047576052153313</v>
      </c>
      <c r="T6" s="74">
        <f t="shared" si="10"/>
        <v>4.6546060717511493</v>
      </c>
      <c r="V6" s="176"/>
      <c r="W6" s="130">
        <f t="shared" si="11"/>
        <v>0.14095744680851063</v>
      </c>
      <c r="X6" s="39">
        <f t="shared" si="12"/>
        <v>9.3257687377741913E-2</v>
      </c>
      <c r="Y6" s="39">
        <f t="shared" si="13"/>
        <v>-4.4233837987904673E-2</v>
      </c>
      <c r="Z6" s="74">
        <f t="shared" si="14"/>
        <v>0.32614873160492597</v>
      </c>
      <c r="AB6" s="176"/>
      <c r="AC6" s="130">
        <f t="shared" si="15"/>
        <v>1.6022727272727273</v>
      </c>
      <c r="AD6" s="39">
        <f t="shared" si="16"/>
        <v>0.4714230758999618</v>
      </c>
      <c r="AE6" s="39">
        <f t="shared" si="17"/>
        <v>0.32303980774299673</v>
      </c>
      <c r="AF6" s="39">
        <f t="shared" si="18"/>
        <v>0.84360579551437653</v>
      </c>
      <c r="AG6" s="74">
        <f t="shared" si="19"/>
        <v>3.0432198382380991</v>
      </c>
      <c r="AI6" s="196"/>
      <c r="AJ6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5</v>
      </c>
      <c r="AK6" s="136">
        <f>IF(AJ6&lt;&gt;"",IF(AJ6=0,COUNTIF(AJ$2:AJ5,0)+1,COUNTIF(AJ$2:AJ5,AJ6)+AJ6+COUNTIF(AJ:AJ,0)),"")</f>
        <v>5</v>
      </c>
      <c r="AL6" s="136">
        <f t="shared" si="20"/>
        <v>5</v>
      </c>
      <c r="AM6" s="155" t="str">
        <f>IF(AND(Include_study?="Yes",Sufficient_data="Yes",Input!Study_name&lt;&gt;""),Input!Study_name,"")</f>
        <v>eeee</v>
      </c>
      <c r="AN6" s="136">
        <f t="shared" si="21"/>
        <v>95</v>
      </c>
      <c r="AO6" s="19">
        <f t="shared" si="22"/>
        <v>1.9636363636363636</v>
      </c>
      <c r="AP6" s="158">
        <f t="shared" si="23"/>
        <v>4.8175182481751824</v>
      </c>
      <c r="AQ6" s="158">
        <f t="shared" si="24"/>
        <v>4.2563263192540672</v>
      </c>
      <c r="AR6" s="39">
        <f t="shared" si="25"/>
        <v>0.45560482611113501</v>
      </c>
      <c r="AS6" s="158">
        <f t="shared" si="26"/>
        <v>0.79457901264815833</v>
      </c>
      <c r="AT6" s="39">
        <f t="shared" si="27"/>
        <v>4.8527178634435311</v>
      </c>
      <c r="AU6" s="172">
        <f t="shared" si="28"/>
        <v>9.3707077815565476E-2</v>
      </c>
      <c r="AW6" s="84">
        <f t="shared" si="29"/>
        <v>1.9636363636363636</v>
      </c>
      <c r="AX6" s="3">
        <f t="shared" si="30"/>
        <v>1.1690573509882052</v>
      </c>
      <c r="AY6" s="74">
        <f t="shared" si="31"/>
        <v>2.8890814998071672</v>
      </c>
      <c r="BA6" s="54" t="s">
        <v>101</v>
      </c>
      <c r="BB6" s="53">
        <f>'Forest Plot'!$B$16-CES_PI_Lower_limit</f>
        <v>0.59058274410682832</v>
      </c>
      <c r="BD6" s="196"/>
      <c r="BE6" s="182"/>
      <c r="BF6" s="3">
        <f t="shared" si="32"/>
        <v>0.67479804189174875</v>
      </c>
      <c r="BG6" s="3">
        <f t="shared" si="33"/>
        <v>0.45560482611113501</v>
      </c>
      <c r="BH6" s="3">
        <f t="shared" si="34"/>
        <v>4.8175182481751824</v>
      </c>
      <c r="BI6" s="39">
        <f t="shared" si="99"/>
        <v>4.2563263192540672</v>
      </c>
      <c r="BJ6" s="95">
        <f t="shared" si="35"/>
        <v>0.25258862906891622</v>
      </c>
      <c r="BL6" s="3" t="str">
        <f>IF(OR(Model_effect_size_measure="Odds Ratio",Model_effect_size_measure="Risk Ratio",Model_effect_size_measure="Peto Odds Ratio"),CONCATENATE("PI LL Log ",Model_effect_size_measure),"")</f>
        <v>PI LL Log Odds Ratio</v>
      </c>
      <c r="BM6" s="3">
        <f>IF(OR(Model_effect_size_measure="Odds Ratio",Model_effect_size_measure="Risk Ratio",Model_effect_size_measure="Peto Odds Ratio"),lnCES_IV-ABS(TINV((1-Confidence_level),k_-1))*SQRT(T2_+SElnCES^2),"")</f>
        <v>-6.7481331912865428E-2</v>
      </c>
      <c r="BN6" s="6"/>
      <c r="BO6" s="176"/>
      <c r="BP6" s="158">
        <f t="shared" si="36"/>
        <v>6.8210526315789473</v>
      </c>
      <c r="BQ6" s="158">
        <f t="shared" si="37"/>
        <v>3.4736842105263159</v>
      </c>
      <c r="BR6" s="158">
        <f t="shared" si="38"/>
        <v>3.8772299168975071</v>
      </c>
      <c r="BS6" s="158">
        <f>IF(AND(Sufficient_data="Yes",Include_study?="Yes"),IF(Add_0_5="Yes",(a_+d_+1)*(ab_+0.5)*(c_+0.5)/(Number_of_subjects+2)^2,(a_+d_)*b_*c_/Number_of_subjects^2),"")</f>
        <v>1.9745152354570636</v>
      </c>
      <c r="BT6" s="158">
        <f t="shared" si="39"/>
        <v>2.9438227146814406</v>
      </c>
      <c r="BU6" s="158">
        <f t="shared" si="40"/>
        <v>1.4991689750692521</v>
      </c>
      <c r="BV6" s="158">
        <f t="shared" si="41"/>
        <v>3.4736842105263159</v>
      </c>
      <c r="BW6" s="3">
        <f t="shared" si="42"/>
        <v>0.29912894025091386</v>
      </c>
      <c r="BX6" s="137">
        <f t="shared" si="43"/>
        <v>4.168694184175652</v>
      </c>
      <c r="BY6" s="95">
        <f t="shared" si="44"/>
        <v>0.25265509674608927</v>
      </c>
      <c r="CA6" s="3" t="s">
        <v>40</v>
      </c>
      <c r="CB6" s="3">
        <f>lnCES_OddsRatio_MH+ABS(TINV((1-Confidence_level),k_-1))*SElnCES_MH</f>
        <v>0.75018418911607876</v>
      </c>
      <c r="CD6" s="176"/>
      <c r="CE6" s="130">
        <f t="shared" si="45"/>
        <v>14.652631578947368</v>
      </c>
      <c r="CF6" s="39">
        <f t="shared" si="46"/>
        <v>5.0898614958448753</v>
      </c>
      <c r="CG6" s="137">
        <f t="shared" si="47"/>
        <v>0.65765412748171381</v>
      </c>
      <c r="CH6" s="137">
        <f t="shared" si="48"/>
        <v>0.19646900034831069</v>
      </c>
      <c r="CI6" s="39">
        <f t="shared" si="49"/>
        <v>5.0898614958448753</v>
      </c>
      <c r="CJ6" s="39">
        <f t="shared" si="50"/>
        <v>4.5359386281685561</v>
      </c>
      <c r="CK6" s="95">
        <f t="shared" si="51"/>
        <v>0.23718865288387259</v>
      </c>
      <c r="CM6" s="3" t="s">
        <v>40</v>
      </c>
      <c r="CN6" s="3">
        <f>lnCES_PetoOddsRatio+ABS(TINV((1-Confidence_level),k_-1))*SElnCES_Peto</f>
        <v>0.73580546289137105</v>
      </c>
      <c r="CP6" s="176"/>
      <c r="CQ6" s="99">
        <f t="shared" si="52"/>
        <v>0.23404255319148937</v>
      </c>
      <c r="CS6" s="2" t="s">
        <v>45</v>
      </c>
      <c r="CT6" s="3">
        <f>IF(Weighting_method="Inverse variance",IF(Model_effect_size_measure="Odds Ratio",PICES_LL,""),"")</f>
        <v>0.9347451703574392</v>
      </c>
      <c r="CU6" s="3">
        <f>IF(Model_effect_size_measure="Odds Ratio",PICES_LL_MH,"")</f>
        <v>0.9123034312703483</v>
      </c>
      <c r="CV6" s="3" t="str">
        <f>IF(Model_effect_size_measure="Peto Odds Ratio",PICES_LL_Peto,"")</f>
        <v/>
      </c>
      <c r="CX6" s="196"/>
      <c r="CY6" s="89">
        <f t="shared" si="53"/>
        <v>9</v>
      </c>
      <c r="CZ6" s="136" t="str">
        <f t="shared" si="54"/>
        <v>eeee</v>
      </c>
      <c r="DA6" s="140" t="str">
        <f t="shared" si="55"/>
        <v>BB</v>
      </c>
      <c r="DB6" s="39">
        <f t="shared" si="56"/>
        <v>0.67479804189174875</v>
      </c>
      <c r="DC6" s="39">
        <f t="shared" si="57"/>
        <v>0.45560482611113501</v>
      </c>
      <c r="DD6" s="39">
        <f t="shared" si="58"/>
        <v>4.8175182481751824</v>
      </c>
      <c r="DE6" s="39">
        <f t="shared" si="59"/>
        <v>3.5336480129954251</v>
      </c>
      <c r="DF6" s="141">
        <f t="shared" si="60"/>
        <v>0.25565758424503837</v>
      </c>
      <c r="DG6" s="39">
        <f t="shared" si="61"/>
        <v>1.9636363636363636</v>
      </c>
      <c r="DH6" s="39">
        <f t="shared" si="62"/>
        <v>0.79467979378279652</v>
      </c>
      <c r="DI6" s="39">
        <f t="shared" si="63"/>
        <v>4.8521024427216464</v>
      </c>
      <c r="DJ6" s="74">
        <f t="shared" si="64"/>
        <v>0.33695796066614153</v>
      </c>
      <c r="DK6" s="45"/>
      <c r="DL6" s="84">
        <f t="shared" si="65"/>
        <v>1.9636363636363636</v>
      </c>
      <c r="DM6" s="39">
        <f t="shared" si="100"/>
        <v>1.1689565698535671</v>
      </c>
      <c r="DN6" s="74">
        <f t="shared" si="101"/>
        <v>2.8884660790852825</v>
      </c>
      <c r="DP6" s="89">
        <f t="shared" si="102"/>
        <v>14</v>
      </c>
      <c r="DQ6" s="26" t="str">
        <f>IF(AND(Sufficient_data="Yes",Subgroup&lt;&gt;""),IF(COUNTIFS(Input!J$2:J5,"="&amp;"Yes",Input!C$2:C5,"="&amp;"Yes",Input!K$2:K5,"="&amp;Subgroup)&gt;0,"",Subgroup),"")</f>
        <v>BB</v>
      </c>
      <c r="DR6" s="7">
        <f t="shared" si="103"/>
        <v>2</v>
      </c>
      <c r="DS6" s="7">
        <f t="shared" si="66"/>
        <v>5</v>
      </c>
      <c r="DT6" s="19">
        <f t="shared" si="67"/>
        <v>5.0502925126233755</v>
      </c>
      <c r="DU6" s="12">
        <f t="shared" si="104"/>
        <v>0.28217598856925552</v>
      </c>
      <c r="DV6" s="11">
        <f t="shared" si="105"/>
        <v>0.20796666925690624</v>
      </c>
      <c r="DW6" s="12">
        <f t="shared" si="68"/>
        <v>13.926301543564392</v>
      </c>
      <c r="DX6" s="19">
        <f t="shared" si="69"/>
        <v>7.5417906853290528E-2</v>
      </c>
      <c r="DY6" s="19">
        <f t="shared" si="106"/>
        <v>0.27462320887588965</v>
      </c>
      <c r="DZ6" s="19">
        <f t="shared" si="70"/>
        <v>0.33784008122560721</v>
      </c>
      <c r="EA6" s="19">
        <f t="shared" si="71"/>
        <v>0.26488652054066997</v>
      </c>
      <c r="EB6" s="7">
        <f t="shared" si="72"/>
        <v>455</v>
      </c>
      <c r="EC6" s="19">
        <f t="shared" si="107"/>
        <v>-0.39760280216241056</v>
      </c>
      <c r="ED6" s="19">
        <f t="shared" si="108"/>
        <v>1.073282964613625</v>
      </c>
      <c r="EE6" s="19">
        <f t="shared" si="109"/>
        <v>1.4019162927427145</v>
      </c>
      <c r="EF6" s="19">
        <f t="shared" si="110"/>
        <v>0.67192886335676039</v>
      </c>
      <c r="EG6" s="19">
        <f t="shared" si="111"/>
        <v>2.9249663156886361</v>
      </c>
      <c r="EH6" s="19">
        <f t="shared" si="112"/>
        <v>0.72998742938595407</v>
      </c>
      <c r="EI6" s="19">
        <f t="shared" si="113"/>
        <v>1.5230500229459216</v>
      </c>
      <c r="EJ6" s="19">
        <f t="shared" si="114"/>
        <v>-0.72152118292211886</v>
      </c>
      <c r="EK6" s="19">
        <f t="shared" si="73"/>
        <v>1.3972013453733334</v>
      </c>
      <c r="EL6" s="19">
        <f t="shared" si="115"/>
        <v>0.48601237962719612</v>
      </c>
      <c r="EM6" s="19">
        <f t="shared" si="116"/>
        <v>4.0438667290019357</v>
      </c>
      <c r="EN6" s="19">
        <f t="shared" si="117"/>
        <v>0.91590391311551833</v>
      </c>
      <c r="EO6" s="19">
        <f t="shared" si="118"/>
        <v>2.6419504362592212</v>
      </c>
      <c r="EP6" s="19">
        <f t="shared" si="74"/>
        <v>3.8792191488887484</v>
      </c>
      <c r="EQ6" s="19">
        <f t="shared" si="119"/>
        <v>1.4019162927427145</v>
      </c>
      <c r="ER6" s="11">
        <f t="shared" si="120"/>
        <v>0.34228027806115818</v>
      </c>
      <c r="ES6" s="19">
        <f t="shared" si="121"/>
        <v>14.252146659911412</v>
      </c>
      <c r="ET6" s="156">
        <f t="shared" si="122"/>
        <v>14.252146659911412</v>
      </c>
      <c r="EU6" s="39">
        <f t="shared" si="75"/>
        <v>0.10322552573845602</v>
      </c>
      <c r="EV6" s="74">
        <f t="shared" si="76"/>
        <v>-8.5104673588166757E-2</v>
      </c>
      <c r="EX6" s="2" t="str">
        <f>IF(Subgroup_effect_size_measure="Risk Difference","","PI Lower Limit Log")</f>
        <v>PI Lower Limit Log</v>
      </c>
      <c r="EY6" s="3">
        <f>IF(Subgroup_effect_size_measure="Risk Difference","",EY2-ABS(TINV((1-Subgroup_confidence_level),Subgroup_k-1))*SQRT(EY3^2+EY35))</f>
        <v>0.28781809844282125</v>
      </c>
      <c r="FA6" s="196"/>
      <c r="FB6" s="84">
        <f>IF(AND(Include_study?="Yes",Sufficient_data="Yes",Moderator&lt;&gt;""),'Moderator Analysis'!E6,NA())</f>
        <v>20</v>
      </c>
      <c r="FC6" s="39">
        <f>IF(AND(Include_study?="Yes",Sufficient_data="Yes",Moderator&lt;&gt;""),'Moderator Analysis'!F6,NA())</f>
        <v>0.67479804189174875</v>
      </c>
      <c r="FD6" s="39">
        <f t="shared" si="77"/>
        <v>0.45560482611113501</v>
      </c>
      <c r="FE6" s="39">
        <f t="shared" si="78"/>
        <v>4.8175182481751824</v>
      </c>
      <c r="FF6" s="39">
        <f>IF(AND(Include_study?="Yes",Sufficient_data="Yes",Moderator&lt;&gt;""),'Moderator Analysis'!F:F-FP$2,"")</f>
        <v>0.25185951191024952</v>
      </c>
      <c r="FG6" s="39">
        <f>IF(AND(Include_study?="Yes",Sufficient_data="Yes",Moderator&lt;&gt;""),'Moderator Analysis'!E:E-FP$3,"")</f>
        <v>3.0658080265329311</v>
      </c>
      <c r="FH6" s="74">
        <f>IF(AND(Include_study?="Yes",Sufficient_data="Yes",Moderator&lt;&gt;""),FE:FE*('Moderator Analysis'!F:F-FP$5-FP$4*'Moderator Analysis'!E:E)^2,"")</f>
        <v>0.31048212361837951</v>
      </c>
      <c r="FI6" s="128"/>
      <c r="FJ6" s="92">
        <f t="shared" si="79"/>
        <v>3.8270641054468477</v>
      </c>
      <c r="FK6" s="137">
        <f>IF(AND(Include_study?="Yes",Sufficient_data="Yes",Moderator&lt;&gt;""),'Moderator Analysis'!F:F-'Moderator Analysis'!J$37,"")</f>
        <v>0.25185951191024952</v>
      </c>
      <c r="FL6" s="137">
        <f>IF(AND(Include_study?="Yes",Sufficient_data="Yes",Moderator&lt;&gt;""),'Moderator Analysis'!E:E-SUMPRODUCT('Moderator Analysis'!E:E,FJ:FJ)/SUM(FJ:FJ),"")</f>
        <v>3.0819051857616735</v>
      </c>
      <c r="FM6" s="95">
        <f>IF(AND(Include_study?="Yes",Sufficient_data="Yes",Moderator&lt;&gt;""),FJ:FJ*('Moderator Analysis'!F:F-'Moderator Analysis'!J$29-'Moderator Analysis'!J$30*'Moderator Analysis'!E:E)^2,"")</f>
        <v>0.246648778369008</v>
      </c>
      <c r="FN6" s="21"/>
      <c r="FO6" s="2" t="s">
        <v>164</v>
      </c>
      <c r="FP6" s="19">
        <f>IF(FP3&lt;&gt;"",SUM(FH:FH),"")</f>
        <v>12.273045011815167</v>
      </c>
      <c r="FR6" s="196"/>
      <c r="FS6" s="182"/>
      <c r="FT6" s="130">
        <f>IF(AND(Include_study?="Yes",Sufficient_data="Yes"),IF(Additional_weighting_method="Inverse Variance",1/'Publication Bias Analysis'!F:F^2,IF(Additional_weighting_method="Mantel-Haenszel",Weightf_MH,Weightf_Peto)),"")</f>
        <v>4.8175182481751824</v>
      </c>
      <c r="FU6" s="39">
        <f>IF(AND(Include_study?="Yes",Sufficient_data="Yes"),1/('Publication Bias Analysis'!F:F^2+IF(Additional_model="Fixed effect",0,Calculations!GH$12)),"")</f>
        <v>4.8175182481751824</v>
      </c>
      <c r="FV6" s="39">
        <f>IF(AND(Include_study?="Yes",Sufficient_data="Yes"),1/('Publication Bias Analysis'!F:F^2+IF(Additional_model="Fixed effect",0,'Publication Bias Analysis'!L$32)),"")</f>
        <v>4.8175182481751824</v>
      </c>
      <c r="FW6" s="39">
        <f>IF(AND(Include_study?="Yes",Sufficient_data="Yes"),'Publication Bias Analysis'!E:E-'Publication Bias Analysis'!I$37,"")</f>
        <v>0.25185951191024952</v>
      </c>
      <c r="FX6" s="39">
        <f>IF(AND(Include_study?="Yes",Sufficient_data="Yes"),IF(Additional_model="Fixed effect",1/'Publication Bias Analysis'!F:F,1/SQRT('Publication Bias Analysis'!F:F^2+GH$12)),"")</f>
        <v>2.194884563747074</v>
      </c>
      <c r="FY6" s="39">
        <f>IF(AND(Include_study?="Yes",Sufficient_data="Yes"),IF(Additional_model="Fixed effect",'Publication Bias Analysis'!E:E/'Publication Bias Analysis'!F:F,'Publication Bias Analysis'!E:E/SQRT('Publication Bias Analysis'!F:F^2+GH$12)),"")</f>
        <v>1.4811038057949506</v>
      </c>
      <c r="FZ6" s="136">
        <f t="shared" si="80"/>
        <v>5</v>
      </c>
      <c r="GA6" s="144">
        <f>IF(AND(Include_study?="Yes",Sufficient_data="Yes"),FZ:FZ+IF(GL:GL&lt;0,-1,1)*COUNTIF(FZ$2:FZ5,FZ:FZ),"")</f>
        <v>5</v>
      </c>
      <c r="GB6" s="144">
        <f>IF(AND(Include_study?="Yes",Sufficient_data="Yes"),RANK(GP:GP,GP:GP,1)*IF(GO:GO&lt;0,-1,1)+IF(GO:GO&lt;0,-1,1)*COUNTIF(FZ$2:FZ5,FZ:FZ),"")</f>
        <v>5</v>
      </c>
      <c r="GC6" s="144">
        <f>IF(AND(Include_study?="Yes",Sufficient_data="Yes"),RANK(GS:GS,GS:GS,1)*IF(GR:GR&lt;0,-1,1)+IF(GR:GR&lt;0,-1,1)*COUNTIF(FZ$2:FZ5,FZ:FZ),"")</f>
        <v>5</v>
      </c>
      <c r="GD6" s="39">
        <f>IF(AND(Include_study?="Yes",Sufficient_data="Yes"),'Publication Bias Analysis'!E6,NA())</f>
        <v>0.67479804189174875</v>
      </c>
      <c r="GE6" s="74">
        <f>IF(AND(Include_study?="Yes",Sufficient_data="Yes"),'Publication Bias Analysis'!F6,NA())</f>
        <v>0.45560482611113501</v>
      </c>
      <c r="GG6" s="36" t="s">
        <v>156</v>
      </c>
      <c r="GH6" s="2" t="s">
        <v>68</v>
      </c>
      <c r="GI6" s="2" t="s">
        <v>69</v>
      </c>
      <c r="GK6" s="176"/>
      <c r="GL6" s="130">
        <f>IF(AND(Include_study?="Yes",Sufficient_data="Yes"),IF('Publication Bias Analysis'!L$38="Left",'Publication Bias Analysis'!E:E-'Publication Bias Analysis'!I$29,'Publication Bias Analysis'!I$29-'Publication Bias Analysis'!E:E),"")</f>
        <v>0.25185951191024952</v>
      </c>
      <c r="GM6" s="39">
        <f t="shared" si="81"/>
        <v>0.25185951191024952</v>
      </c>
      <c r="GN6" s="74">
        <f>IF(AND(Include_study?="Yes",Sufficient_data="Yes"),IF(AND(Additional_weighting_method="Mantel-Haenszel",Additional_model="Fixed effect"),Weightf_MH,1/('Publication Bias Analysis'!F:F^2+IF(Additional_model="Fixed effect",0,GW$6))),"")</f>
        <v>4.8175182481751824</v>
      </c>
      <c r="GO6" s="39">
        <f>IF(AND(Include_study?="Yes",Sufficient_data="Yes"),IF('Publication Bias Analysis'!L$38="Left",'Publication Bias Analysis'!E:E-GW$3,GW$3-'Publication Bias Analysis'!E:E),"")</f>
        <v>0.25185951191024952</v>
      </c>
      <c r="GP6" s="39">
        <f t="shared" si="82"/>
        <v>0.25185951191024952</v>
      </c>
      <c r="GQ6" s="74">
        <f>IF(AND(Include_study?="Yes",Sufficient_data="Yes"),IF(AND(Additional_weighting_method="Mantel-Haenszel",Additional_model="Fixed effect"),Weightf_MH,1/('Publication Bias Analysis'!F:F^2+IF(Additional_model="Fixed effect",0,GW$13))),"")</f>
        <v>4.8175182481751824</v>
      </c>
      <c r="GR6" s="39">
        <f>IF(AND(Include_study?="Yes",Sufficient_data="Yes"),IF('Publication Bias Analysis'!L$38="Left",'Publication Bias Analysis'!E:E-GW$10,GW$10-'Publication Bias Analysis'!E:E),"")</f>
        <v>0.25185951191024952</v>
      </c>
      <c r="GS6" s="39">
        <f t="shared" si="83"/>
        <v>0.25185951191024952</v>
      </c>
      <c r="GT6" s="74">
        <f>IF(AND(Include_study?="Yes",Sufficient_data="Yes"),IF(AND(Additional_weighting_method="Mantel-Haenszel",Additional_model="Fixed effect"),Weightf_MH,1/('Publication Bias Analysis'!F:F^2+IF(Additional_model="Fixed effect",0,GW$20))),"")</f>
        <v>4.8175182481751824</v>
      </c>
      <c r="GV6" s="2" t="s">
        <v>30</v>
      </c>
      <c r="GW6" s="19">
        <f>MAX(0,(GW5-(k_-GW7))/((SUMIF(GA:GA,"&lt;="&amp;(MAX(GA:GA)-GW7),Calculations!FT:FT))-((SUMPRODUCT(--(GA:GA&lt;=(MAX(GA:GA)-GW7)),Calculations!FT:FT,Calculations!FT:FT))/(SUMIF(GA:GA,"&lt;="&amp;(MAX(GA:GA)-GW7),Calculations!FT:FT)))))</f>
        <v>5.8726149370426526E-3</v>
      </c>
      <c r="GY6" s="89">
        <v>5</v>
      </c>
      <c r="GZ6" s="7" t="str">
        <f>IF(Trim_and_fill="On",IF(GW$21&gt;(COUNT(GZ$2:GZ5)),IF(COUNTIF(GA:GA,-1*(MAX(GA:GA)-GY6+1))=1,"",MAX(GA:GA)-GY6+1),""),"")</f>
        <v/>
      </c>
      <c r="HA6" s="60" t="str">
        <f t="shared" si="84"/>
        <v/>
      </c>
      <c r="HB6" s="65" t="str">
        <f t="shared" si="85"/>
        <v/>
      </c>
      <c r="HC6" s="3" t="str">
        <f t="shared" si="86"/>
        <v/>
      </c>
      <c r="HD6" s="39" t="str">
        <f>IF(GZ6&lt;&gt;"",1/(HB6^2+'Publication Bias Analysis'!L$32),"")</f>
        <v/>
      </c>
      <c r="HE6" s="74" t="str">
        <f>IF(GZ6&lt;&gt;"",HA:HA-'Publication Bias Analysis'!I$37,"")</f>
        <v/>
      </c>
      <c r="HG6" s="89">
        <v>5</v>
      </c>
      <c r="HH6" s="3" t="e">
        <f t="shared" si="87"/>
        <v>#N/A</v>
      </c>
      <c r="HI6" s="74" t="e">
        <f t="shared" si="88"/>
        <v>#N/A</v>
      </c>
      <c r="HK6" s="176"/>
      <c r="HL6" s="66">
        <f t="shared" si="89"/>
        <v>0.16465196019204198</v>
      </c>
      <c r="HM6" s="74">
        <f>IF(AND(Include_study?="Yes",Sufficient_data="Yes"),Z_score-('Publication Bias Analysis'!P$3+'Publication Bias Analysis'!P$4*Inverse_standard_error),"")</f>
        <v>0.55676057953356117</v>
      </c>
      <c r="HO6" s="176"/>
      <c r="HP6" s="64">
        <f>IF(AND(Include_study?="Yes",Sufficient_data="Yes"),(GD:GD-SUMPRODUCT(Calculations!FT:FT,'Publication Bias Analysis'!E:E)/SUM(Calculations!FT:FT))/SQRT(Calculations!HQ:HQ),"")</f>
        <v>0.58046349341757431</v>
      </c>
      <c r="HQ6" s="64">
        <f>IF(AND(Include_study?="Yes",Sufficient_data="Yes"),GE:GE^2-1/SUM(Calculations!FT:FT),"")</f>
        <v>0.18826383115851564</v>
      </c>
      <c r="HR6" s="7">
        <f t="shared" si="90"/>
        <v>5</v>
      </c>
      <c r="HS6" s="7">
        <f t="shared" si="91"/>
        <v>10</v>
      </c>
      <c r="HT6" s="7">
        <f>IF(AND(Include_study?="Yes",Sufficient_data="Yes"),COUNTIFS(HR$2:HR5,"&lt;"&amp;HR6,HS$2:HS5,"&lt;"&amp;HS6)+COUNTIFS(HR7:HR$201,"&lt;"&amp;HR6,HS7:HS$201,"&lt;"&amp;HS6)+COUNTIFS(HR$2:HR5,"&gt;"&amp;HR6,HS$2:HS5,"&gt;"&amp;HS6)+COUNTIFS(HR7:HR$201,"&gt;"&amp;HR6,HS7:HS$201,"&gt;"&amp;HS6),"")</f>
        <v>4</v>
      </c>
      <c r="HU6" s="104">
        <f>IF(AND(Include_study?="Yes",Sufficient_data="Yes"),COUNTIFS(HR$2:HR5,"&lt;"&amp;HR6,HS$2:HS5,"&gt;"&amp;HS6)+COUNTIFS(HR7:HR$201,"&lt;"&amp;HR6,HS7:HS$201,"&gt;"&amp;HS6)+COUNTIFS(HR$2:HR5,"&gt;"&amp;HR6,HS$2:HS5,"&lt;"&amp;HS6)+COUNTIFS(HR7:HR$201,"&gt;"&amp;HR6,HS7:HS$201,"&lt;"&amp;HS6),"")</f>
        <v>7</v>
      </c>
      <c r="HW6" s="176"/>
      <c r="HX6" s="32">
        <v>5</v>
      </c>
      <c r="HY6" s="3">
        <f t="shared" si="123"/>
        <v>-0.25</v>
      </c>
      <c r="HZ6" s="74">
        <f>1/2*HY14</f>
        <v>0.25</v>
      </c>
      <c r="IB6" s="176"/>
      <c r="IC6" s="146">
        <f t="shared" si="92"/>
        <v>0.375</v>
      </c>
      <c r="ID6" s="137">
        <f t="shared" si="93"/>
        <v>0.23404255319148937</v>
      </c>
      <c r="IE6" s="137">
        <f t="shared" si="94"/>
        <v>9.5827004762517678</v>
      </c>
      <c r="IF6" s="95">
        <f t="shared" si="95"/>
        <v>4.8175182481751824</v>
      </c>
      <c r="IH6" s="19">
        <v>0</v>
      </c>
      <c r="II6" s="19">
        <v>0</v>
      </c>
      <c r="IK6" s="176"/>
      <c r="IL6" s="158">
        <f>IF(AND(Include_study?="Yes",Sufficient_data="Yes"),'Publication Bias Analysis'!AV:AV,NA())</f>
        <v>1.4811038057949506</v>
      </c>
      <c r="IM6" s="158">
        <f>IF(AND(Sufficient_data="Yes",Include_study?="Yes"),'Publication Bias Analysis'!AU:AU,NA())</f>
        <v>2.194884563747074</v>
      </c>
      <c r="IN6" s="62">
        <f t="shared" si="96"/>
        <v>0.16465196019204198</v>
      </c>
      <c r="IO6" s="74">
        <f>IF(AND(Include_study?="Yes",Sufficient_data="Yes"),Z_score-('Publication Bias Analysis'!AY$30+'Publication Bias Analysis'!AY$31*Inverse_standard_error),"")</f>
        <v>0.55280255492467889</v>
      </c>
      <c r="IQ6" s="50" t="s">
        <v>221</v>
      </c>
      <c r="IR6" s="3">
        <v>0</v>
      </c>
      <c r="IS6" s="3">
        <f>ABS(TINV((1-Additional_confidence_level),k_-1))*-1</f>
        <v>-2.2009851600916384</v>
      </c>
      <c r="IU6" s="176"/>
      <c r="IV6" s="7">
        <f>IF('Publication Bias Analysis'!BG:BG&lt;&gt;"",RANK('Publication Bias Analysis'!BG:BG,'Publication Bias Analysis'!BG:BG,1)+COUNTIF('Publication Bias Analysis'!BG$2:BG5,'Publication Bias Analysis'!BG6),"")</f>
        <v>7</v>
      </c>
      <c r="IW6" s="124">
        <f t="shared" si="97"/>
        <v>0.54054054054054057</v>
      </c>
      <c r="IX6" s="125">
        <f>IF('Publication Bias Analysis'!BF6&lt;&gt;"",'Publication Bias Analysis'!BF6,NA())</f>
        <v>0.10179559909470504</v>
      </c>
      <c r="IY6" s="125">
        <f>IF('Publication Bias Analysis'!BG6&lt;&gt;"",'Publication Bias Analysis'!BG6,NA())</f>
        <v>1.4811038057949506</v>
      </c>
      <c r="IZ6" s="62">
        <f>IF(AND(Include_study?="Yes",Sufficient_data="Yes"),'Publication Bias Analysis'!BF:BF-AVERAGE('Publication Bias Analysis'!BF:BF),"")</f>
        <v>0.1017955990947052</v>
      </c>
      <c r="JA6" s="74">
        <f>IF(AND(Include_study?="Yes",Sufficient_data="Yes"),'Publication Bias Analysis'!BG:BG-('Publication Bias Analysis'!BJ$30+'Publication Bias Analysis'!BJ$31*'Publication Bias Analysis'!BF:BF),"")</f>
        <v>0.50813065641981214</v>
      </c>
      <c r="JC6" s="2" t="s">
        <v>154</v>
      </c>
      <c r="JD6" s="3">
        <f>MIN('Publication Bias Analysis'!BF:BF)</f>
        <v>-1.6067550689692427</v>
      </c>
      <c r="JE6" s="3">
        <f>'Publication Bias Analysis'!BJ30</f>
        <v>0.86408899560423758</v>
      </c>
      <c r="JG6" s="176"/>
      <c r="JH6" s="39">
        <f t="shared" si="98"/>
        <v>1.4811038057949506</v>
      </c>
      <c r="JI6" s="148">
        <f t="shared" si="124"/>
        <v>6.928945694211075E-2</v>
      </c>
      <c r="JJ6" s="74">
        <f t="shared" si="125"/>
        <v>-2.6694625208376856</v>
      </c>
    </row>
    <row r="7" spans="1:270" ht="15" x14ac:dyDescent="0.25">
      <c r="A7" s="2">
        <f t="shared" si="0"/>
        <v>6</v>
      </c>
      <c r="B7" s="7">
        <f>IF(AND(Include_study?="Yes",Sufficient_data="Yes"),IF(Input!a_&lt;&gt;"",Input!a_,Input!n1_-Input!b_),"")</f>
        <v>17</v>
      </c>
      <c r="C7" s="7">
        <f>IF(AND(Include_study?="Yes",Sufficient_data="Yes"),IF(Input!b_&lt;&gt;"",Input!b_,Input!n1_-Input!a_),"")</f>
        <v>28</v>
      </c>
      <c r="D7" s="7">
        <f>IF(AND(Include_study?="Yes",Sufficient_data="Yes"),IF(Input!c_&lt;&gt;"",Input!c_,Input!n2_-Input!d_),"")</f>
        <v>10</v>
      </c>
      <c r="E7" s="7">
        <f>IF(AND(Include_study?="Yes",Sufficient_data="Yes"),IF(Input!d_&lt;&gt;"",Input!d_,Input!n2_-Input!c_),"")</f>
        <v>35</v>
      </c>
      <c r="F7" s="74" t="str">
        <f t="shared" si="1"/>
        <v>No</v>
      </c>
      <c r="H7" s="196"/>
      <c r="I7" s="182"/>
      <c r="J7" s="146">
        <f t="shared" si="2"/>
        <v>2.125</v>
      </c>
      <c r="K7" s="39">
        <f t="shared" si="3"/>
        <v>0.7537718023763802</v>
      </c>
      <c r="L7" s="39">
        <f t="shared" si="4"/>
        <v>0.4723444121586271</v>
      </c>
      <c r="M7" s="39">
        <f t="shared" si="5"/>
        <v>0.83117621021699595</v>
      </c>
      <c r="N7" s="74">
        <f t="shared" si="6"/>
        <v>5.4328130960595002</v>
      </c>
      <c r="P7" s="176"/>
      <c r="Q7" s="130">
        <f t="shared" si="7"/>
        <v>2.0802962013416422</v>
      </c>
      <c r="R7" s="39">
        <f t="shared" si="8"/>
        <v>0.45748076870301135</v>
      </c>
      <c r="S7" s="39">
        <f t="shared" si="9"/>
        <v>0.83808428321151451</v>
      </c>
      <c r="T7" s="74">
        <f t="shared" si="10"/>
        <v>5.1637196544637556</v>
      </c>
      <c r="V7" s="176"/>
      <c r="W7" s="130">
        <f t="shared" si="11"/>
        <v>0.15555555555555556</v>
      </c>
      <c r="X7" s="39">
        <f t="shared" si="12"/>
        <v>9.520752007739039E-2</v>
      </c>
      <c r="Y7" s="39">
        <f t="shared" si="13"/>
        <v>-3.3649384149952694E-2</v>
      </c>
      <c r="Z7" s="74">
        <f t="shared" si="14"/>
        <v>0.34476049526106378</v>
      </c>
      <c r="AB7" s="176"/>
      <c r="AC7" s="130">
        <f t="shared" si="15"/>
        <v>1.7</v>
      </c>
      <c r="AD7" s="39">
        <f t="shared" si="16"/>
        <v>0.53062825106217038</v>
      </c>
      <c r="AE7" s="39">
        <f t="shared" si="17"/>
        <v>0.3381997707972616</v>
      </c>
      <c r="AF7" s="39">
        <f t="shared" si="18"/>
        <v>0.86807885147773411</v>
      </c>
      <c r="AG7" s="74">
        <f t="shared" si="19"/>
        <v>3.3291906548354921</v>
      </c>
      <c r="AI7" s="196"/>
      <c r="AJ7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6</v>
      </c>
      <c r="AK7" s="136">
        <f>IF(AJ7&lt;&gt;"",IF(AJ7=0,COUNTIF(AJ$2:AJ6,0)+1,COUNTIF(AJ$2:AJ6,AJ7)+AJ7+COUNTIF(AJ:AJ,0)),"")</f>
        <v>6</v>
      </c>
      <c r="AL7" s="136">
        <f t="shared" si="20"/>
        <v>6</v>
      </c>
      <c r="AM7" s="155" t="str">
        <f>IF(AND(Include_study?="Yes",Sufficient_data="Yes",Input!Study_name&lt;&gt;""),Input!Study_name,"")</f>
        <v>ffff</v>
      </c>
      <c r="AN7" s="136">
        <f t="shared" si="21"/>
        <v>90</v>
      </c>
      <c r="AO7" s="19">
        <f t="shared" si="22"/>
        <v>2.125</v>
      </c>
      <c r="AP7" s="158">
        <f t="shared" si="23"/>
        <v>4.4821092278719394</v>
      </c>
      <c r="AQ7" s="158">
        <f t="shared" si="24"/>
        <v>3.9923685348072677</v>
      </c>
      <c r="AR7" s="39">
        <f t="shared" si="25"/>
        <v>0.4723444121586271</v>
      </c>
      <c r="AS7" s="158">
        <f t="shared" si="26"/>
        <v>0.83117621021699595</v>
      </c>
      <c r="AT7" s="39">
        <f t="shared" si="27"/>
        <v>5.4328130960595002</v>
      </c>
      <c r="AU7" s="172">
        <f t="shared" si="28"/>
        <v>8.7895795786908593E-2</v>
      </c>
      <c r="AW7" s="84">
        <f t="shared" si="29"/>
        <v>2.125</v>
      </c>
      <c r="AX7" s="3">
        <f t="shared" si="30"/>
        <v>1.2938237897830041</v>
      </c>
      <c r="AY7" s="74">
        <f t="shared" si="31"/>
        <v>3.3078130960595002</v>
      </c>
      <c r="BA7" s="54" t="s">
        <v>100</v>
      </c>
      <c r="BB7" s="53">
        <f>CES_PI_Upper_limit-'Forest Plot'!$B$16</f>
        <v>0.96371971094815234</v>
      </c>
      <c r="BD7" s="196"/>
      <c r="BE7" s="182"/>
      <c r="BF7" s="3">
        <f t="shared" si="32"/>
        <v>0.7537718023763802</v>
      </c>
      <c r="BG7" s="3">
        <f t="shared" si="33"/>
        <v>0.4723444121586271</v>
      </c>
      <c r="BH7" s="3">
        <f t="shared" si="34"/>
        <v>4.4821092278719394</v>
      </c>
      <c r="BI7" s="39">
        <f t="shared" si="99"/>
        <v>3.9923685348072677</v>
      </c>
      <c r="BJ7" s="95">
        <f t="shared" si="35"/>
        <v>0.33156238955354767</v>
      </c>
      <c r="BL7" s="3" t="str">
        <f>IF(OR(Model_effect_size_measure="Odds Ratio",Model_effect_size_measure="Risk Ratio",Model_effect_size_measure="Peto Odds Ratio"),CONCATENATE("PI UL Log ",Model_effect_size_measure),"")</f>
        <v>PI UL Log Odds Ratio</v>
      </c>
      <c r="BM7" s="3">
        <f>IF(OR(Model_effect_size_measure="Odds Ratio",Model_effect_size_measure="Risk Ratio",Model_effect_size_measure="Peto Odds Ratio"),lnCES_IV+ABS(TINV((1-Confidence_level),k_-1))*SQRT(T2_+SElnCES^2),"")</f>
        <v>0.91190015755853049</v>
      </c>
      <c r="BO7" s="176"/>
      <c r="BP7" s="158">
        <f t="shared" si="36"/>
        <v>6.6111111111111107</v>
      </c>
      <c r="BQ7" s="158">
        <f t="shared" si="37"/>
        <v>3.1111111111111112</v>
      </c>
      <c r="BR7" s="158">
        <f t="shared" si="38"/>
        <v>3.8197530864197531</v>
      </c>
      <c r="BS7" s="158">
        <f>IF(AND(Sufficient_data="Yes",Include_study?="Yes"),IF(Add_0_5="Yes",(a_+d_+1)*(ab_+0.5)*(c_+0.5)/(Number_of_subjects+2)^2,(a_+d_)*b_*c_/Number_of_subjects^2),"")</f>
        <v>1.7975308641975309</v>
      </c>
      <c r="BT7" s="158">
        <f t="shared" si="39"/>
        <v>2.7913580246913581</v>
      </c>
      <c r="BU7" s="158">
        <f t="shared" si="40"/>
        <v>1.3135802469135802</v>
      </c>
      <c r="BV7" s="158">
        <f t="shared" si="41"/>
        <v>3.1111111111111112</v>
      </c>
      <c r="BW7" s="3">
        <f t="shared" si="42"/>
        <v>0.48266278429802567</v>
      </c>
      <c r="BX7" s="137">
        <f t="shared" si="43"/>
        <v>3.9151698900591025</v>
      </c>
      <c r="BY7" s="95">
        <f t="shared" si="44"/>
        <v>0.33162885723072072</v>
      </c>
      <c r="CA7" s="3" t="s">
        <v>41</v>
      </c>
      <c r="CB7" s="3">
        <f>lnCES_OddsRatio_MH-ABS(TINV((1-Confidence_level),k_-1))*SQRT(T2_MH+SElnCES_MH^2)</f>
        <v>-9.1782634517154127E-2</v>
      </c>
      <c r="CD7" s="176"/>
      <c r="CE7" s="130">
        <f t="shared" si="45"/>
        <v>13.5</v>
      </c>
      <c r="CF7" s="39">
        <f t="shared" si="46"/>
        <v>4.7780898876404496</v>
      </c>
      <c r="CG7" s="137">
        <f t="shared" si="47"/>
        <v>0.73251028806584362</v>
      </c>
      <c r="CH7" s="137">
        <f t="shared" si="48"/>
        <v>0.20928865373309816</v>
      </c>
      <c r="CI7" s="39">
        <f t="shared" si="49"/>
        <v>4.7780898876404496</v>
      </c>
      <c r="CJ7" s="39">
        <f t="shared" si="50"/>
        <v>4.2866722343135697</v>
      </c>
      <c r="CK7" s="95">
        <f t="shared" si="51"/>
        <v>0.31204481346800239</v>
      </c>
      <c r="CM7" s="3" t="s">
        <v>41</v>
      </c>
      <c r="CN7" s="3">
        <f>lnCES_PetoOddsRatio-ABS(TINV((1-Confidence_level),k_-1))*SQRT(T2_Peto+SElnCES_Peto^2)</f>
        <v>-4.3934361353452189E-2</v>
      </c>
      <c r="CP7" s="176"/>
      <c r="CQ7" s="99">
        <f t="shared" si="52"/>
        <v>0.22222222222222221</v>
      </c>
      <c r="CS7" s="2" t="s">
        <v>46</v>
      </c>
      <c r="CT7" s="3">
        <f>IF(Weighting_method="Inverse variance",IF(Model_effect_size_measure="Odds Ratio",PICES_UL,""),"")</f>
        <v>2.4890476254124199</v>
      </c>
      <c r="CU7" s="3">
        <f>IF(Model_effect_size_measure="Odds Ratio",PICES_UL_MH,"")</f>
        <v>2.5499366731635966</v>
      </c>
      <c r="CV7" s="3" t="str">
        <f>IF(Model_effect_size_measure="Peto Odds Ratio",PICES_UL_Peto,"")</f>
        <v/>
      </c>
      <c r="CX7" s="196"/>
      <c r="CY7" s="89">
        <f t="shared" si="53"/>
        <v>10</v>
      </c>
      <c r="CZ7" s="136" t="str">
        <f t="shared" si="54"/>
        <v>ffff</v>
      </c>
      <c r="DA7" s="140" t="str">
        <f t="shared" si="55"/>
        <v>BB</v>
      </c>
      <c r="DB7" s="39">
        <f t="shared" si="56"/>
        <v>0.7537718023763802</v>
      </c>
      <c r="DC7" s="39">
        <f t="shared" si="57"/>
        <v>0.4723444121586271</v>
      </c>
      <c r="DD7" s="39">
        <f t="shared" si="58"/>
        <v>4.4821092278719394</v>
      </c>
      <c r="DE7" s="39">
        <f t="shared" si="59"/>
        <v>3.3497790675154464</v>
      </c>
      <c r="DF7" s="141">
        <f t="shared" si="60"/>
        <v>0.24235476227572561</v>
      </c>
      <c r="DG7" s="39">
        <f t="shared" si="61"/>
        <v>2.125</v>
      </c>
      <c r="DH7" s="39">
        <f t="shared" si="62"/>
        <v>0.83129838314923132</v>
      </c>
      <c r="DI7" s="39">
        <f t="shared" si="63"/>
        <v>5.4320146550668484</v>
      </c>
      <c r="DJ7" s="74">
        <f t="shared" si="64"/>
        <v>0.41593172115077298</v>
      </c>
      <c r="DK7" s="45"/>
      <c r="DL7" s="84">
        <f t="shared" si="65"/>
        <v>2.125</v>
      </c>
      <c r="DM7" s="39">
        <f t="shared" si="100"/>
        <v>1.2937016168507687</v>
      </c>
      <c r="DN7" s="74">
        <f t="shared" si="101"/>
        <v>3.3070146550668484</v>
      </c>
      <c r="DP7" s="89" t="str">
        <f t="shared" si="102"/>
        <v/>
      </c>
      <c r="DQ7" s="26" t="str">
        <f>IF(AND(Sufficient_data="Yes",Subgroup&lt;&gt;""),IF(COUNTIFS(Input!J$2:J6,"="&amp;"Yes",Input!C$2:C6,"="&amp;"Yes",Input!K$2:K6,"="&amp;Subgroup)&gt;0,"",Subgroup),"")</f>
        <v/>
      </c>
      <c r="DR7" s="7" t="str">
        <f t="shared" si="103"/>
        <v/>
      </c>
      <c r="DS7" s="7" t="str">
        <f t="shared" si="66"/>
        <v/>
      </c>
      <c r="DT7" s="19" t="str">
        <f t="shared" si="67"/>
        <v/>
      </c>
      <c r="DU7" s="12" t="str">
        <f t="shared" si="104"/>
        <v/>
      </c>
      <c r="DV7" s="11" t="str">
        <f t="shared" si="105"/>
        <v/>
      </c>
      <c r="DW7" s="12" t="str">
        <f t="shared" si="68"/>
        <v/>
      </c>
      <c r="DX7" s="19" t="str">
        <f t="shared" si="69"/>
        <v/>
      </c>
      <c r="DY7" s="19" t="str">
        <f t="shared" si="106"/>
        <v/>
      </c>
      <c r="DZ7" s="19" t="str">
        <f t="shared" si="70"/>
        <v/>
      </c>
      <c r="EA7" s="19" t="str">
        <f t="shared" si="71"/>
        <v/>
      </c>
      <c r="EB7" s="7" t="str">
        <f t="shared" si="72"/>
        <v/>
      </c>
      <c r="EC7" s="19" t="str">
        <f t="shared" si="107"/>
        <v/>
      </c>
      <c r="ED7" s="19" t="str">
        <f t="shared" si="108"/>
        <v/>
      </c>
      <c r="EE7" s="19" t="str">
        <f t="shared" si="109"/>
        <v/>
      </c>
      <c r="EF7" s="19" t="str">
        <f t="shared" si="110"/>
        <v/>
      </c>
      <c r="EG7" s="19" t="str">
        <f t="shared" si="111"/>
        <v/>
      </c>
      <c r="EH7" s="19" t="str">
        <f t="shared" si="112"/>
        <v/>
      </c>
      <c r="EI7" s="19" t="str">
        <f t="shared" si="113"/>
        <v/>
      </c>
      <c r="EJ7" s="19" t="str">
        <f t="shared" si="114"/>
        <v/>
      </c>
      <c r="EK7" s="19" t="str">
        <f t="shared" si="73"/>
        <v/>
      </c>
      <c r="EL7" s="19" t="str">
        <f t="shared" si="115"/>
        <v/>
      </c>
      <c r="EM7" s="19" t="str">
        <f t="shared" si="116"/>
        <v/>
      </c>
      <c r="EN7" s="19" t="str">
        <f t="shared" si="117"/>
        <v/>
      </c>
      <c r="EO7" s="19" t="str">
        <f t="shared" si="118"/>
        <v/>
      </c>
      <c r="EP7" s="19" t="str">
        <f t="shared" si="74"/>
        <v/>
      </c>
      <c r="EQ7" s="19" t="e">
        <f t="shared" si="119"/>
        <v>#N/A</v>
      </c>
      <c r="ER7" s="11" t="str">
        <f t="shared" si="120"/>
        <v/>
      </c>
      <c r="ES7" s="19" t="str">
        <f t="shared" si="121"/>
        <v/>
      </c>
      <c r="ET7" s="156" t="str">
        <f t="shared" si="122"/>
        <v/>
      </c>
      <c r="EU7" s="39" t="str">
        <f t="shared" si="75"/>
        <v/>
      </c>
      <c r="EV7" s="74" t="str">
        <f t="shared" si="76"/>
        <v/>
      </c>
      <c r="EX7" s="2" t="str">
        <f>IF(Subgroup_effect_size_measure="Risk Difference","","PI Upper Limit log")</f>
        <v>PI Upper Limit log</v>
      </c>
      <c r="EY7" s="3">
        <f>IF(Subgroup_effect_size_measure="Risk Difference","",EY2+ABS(TINV((1-Subgroup_confidence_level),Subgroup_k-1))*SQRT(EY3^2+EY35))</f>
        <v>0.5580714111847267</v>
      </c>
      <c r="FA7" s="196"/>
      <c r="FB7" s="84">
        <f>IF(AND(Include_study?="Yes",Sufficient_data="Yes",Moderator&lt;&gt;""),'Moderator Analysis'!E7,NA())</f>
        <v>14</v>
      </c>
      <c r="FC7" s="39">
        <f>IF(AND(Include_study?="Yes",Sufficient_data="Yes",Moderator&lt;&gt;""),'Moderator Analysis'!F7,NA())</f>
        <v>0.7537718023763802</v>
      </c>
      <c r="FD7" s="39">
        <f t="shared" si="77"/>
        <v>0.4723444121586271</v>
      </c>
      <c r="FE7" s="39">
        <f t="shared" si="78"/>
        <v>4.4821092278719394</v>
      </c>
      <c r="FF7" s="39">
        <f>IF(AND(Include_study?="Yes",Sufficient_data="Yes",Moderator&lt;&gt;""),'Moderator Analysis'!F:F-FP$2,"")</f>
        <v>0.33083327239488097</v>
      </c>
      <c r="FG7" s="39">
        <f>IF(AND(Include_study?="Yes",Sufficient_data="Yes",Moderator&lt;&gt;""),'Moderator Analysis'!E:E-FP$3,"")</f>
        <v>-2.9341919734670689</v>
      </c>
      <c r="FH7" s="74">
        <f>IF(AND(Include_study?="Yes",Sufficient_data="Yes",Moderator&lt;&gt;""),FE:FE*('Moderator Analysis'!F:F-FP$5-FP$4*'Moderator Analysis'!E:E)^2,"")</f>
        <v>0.48488778632985763</v>
      </c>
      <c r="FI7" s="128"/>
      <c r="FJ7" s="92">
        <f t="shared" si="79"/>
        <v>3.6123201704904422</v>
      </c>
      <c r="FK7" s="137">
        <f>IF(AND(Include_study?="Yes",Sufficient_data="Yes",Moderator&lt;&gt;""),'Moderator Analysis'!F:F-'Moderator Analysis'!J$37,"")</f>
        <v>0.33083327239488097</v>
      </c>
      <c r="FL7" s="137">
        <f>IF(AND(Include_study?="Yes",Sufficient_data="Yes",Moderator&lt;&gt;""),'Moderator Analysis'!E:E-SUMPRODUCT('Moderator Analysis'!E:E,FJ:FJ)/SUM(FJ:FJ),"")</f>
        <v>-2.9180948142383265</v>
      </c>
      <c r="FM7" s="95">
        <f>IF(AND(Include_study?="Yes",Sufficient_data="Yes",Moderator&lt;&gt;""),FJ:FJ*('Moderator Analysis'!F:F-'Moderator Analysis'!J$29-'Moderator Analysis'!J$30*'Moderator Analysis'!E:E)^2,"")</f>
        <v>0.39079144258504184</v>
      </c>
      <c r="FN7" s="21"/>
      <c r="FO7" s="2" t="s">
        <v>165</v>
      </c>
      <c r="FP7" s="19">
        <f>IF(FP3&lt;&gt;"",MAX(0,(FP6-(Moderator_k-2))/(SUM(FE:FE)-(SUMPRODUCT(FE:FE,FE:FE)*SUMPRODUCT(FE:FE,Moderator,Moderator)-2*SUMPRODUCT(FE:FE,FE:FE,Moderator)*SUMPRODUCT(FE:FE,Moderator)+SUM(FE:FE)*SUMPRODUCT(FE:FE,FE:FE,Moderator,Moderator))/(SUM(FE:FE)*SUMPRODUCT(FE:FE,Moderator,Moderator)-SUMPRODUCT(FE:FE,Moderator)^2))),"")</f>
        <v>5.372114585911187E-2</v>
      </c>
      <c r="FR7" s="196"/>
      <c r="FS7" s="182"/>
      <c r="FT7" s="130">
        <f>IF(AND(Include_study?="Yes",Sufficient_data="Yes"),IF(Additional_weighting_method="Inverse Variance",1/'Publication Bias Analysis'!F:F^2,IF(Additional_weighting_method="Mantel-Haenszel",Weightf_MH,Weightf_Peto)),"")</f>
        <v>4.4821092278719394</v>
      </c>
      <c r="FU7" s="39">
        <f>IF(AND(Include_study?="Yes",Sufficient_data="Yes"),1/('Publication Bias Analysis'!F:F^2+IF(Additional_model="Fixed effect",0,Calculations!GH$12)),"")</f>
        <v>4.4821092278719394</v>
      </c>
      <c r="FV7" s="39">
        <f>IF(AND(Include_study?="Yes",Sufficient_data="Yes"),1/('Publication Bias Analysis'!F:F^2+IF(Additional_model="Fixed effect",0,'Publication Bias Analysis'!L$32)),"")</f>
        <v>4.4821092278719394</v>
      </c>
      <c r="FW7" s="39">
        <f>IF(AND(Include_study?="Yes",Sufficient_data="Yes"),'Publication Bias Analysis'!E:E-'Publication Bias Analysis'!I$37,"")</f>
        <v>0.33083327239488097</v>
      </c>
      <c r="FX7" s="39">
        <f>IF(AND(Include_study?="Yes",Sufficient_data="Yes"),IF(Additional_model="Fixed effect",1/'Publication Bias Analysis'!F:F,1/SQRT('Publication Bias Analysis'!F:F^2+GH$12)),"")</f>
        <v>2.1170992484699291</v>
      </c>
      <c r="FY7" s="39">
        <f>IF(AND(Include_study?="Yes",Sufficient_data="Yes"),IF(Additional_model="Fixed effect",'Publication Bias Analysis'!E:E/'Publication Bias Analysis'!F:F,'Publication Bias Analysis'!E:E/SQRT('Publication Bias Analysis'!F:F^2+GH$12)),"")</f>
        <v>1.5958097163288587</v>
      </c>
      <c r="FZ7" s="136">
        <f t="shared" si="80"/>
        <v>7</v>
      </c>
      <c r="GA7" s="144">
        <f>IF(AND(Include_study?="Yes",Sufficient_data="Yes"),FZ:FZ+IF(GL:GL&lt;0,-1,1)*COUNTIF(FZ$2:FZ6,FZ:FZ),"")</f>
        <v>7</v>
      </c>
      <c r="GB7" s="144">
        <f>IF(AND(Include_study?="Yes",Sufficient_data="Yes"),RANK(GP:GP,GP:GP,1)*IF(GO:GO&lt;0,-1,1)+IF(GO:GO&lt;0,-1,1)*COUNTIF(FZ$2:FZ6,FZ:FZ),"")</f>
        <v>7</v>
      </c>
      <c r="GC7" s="144">
        <f>IF(AND(Include_study?="Yes",Sufficient_data="Yes"),RANK(GS:GS,GS:GS,1)*IF(GR:GR&lt;0,-1,1)+IF(GR:GR&lt;0,-1,1)*COUNTIF(FZ$2:FZ6,FZ:FZ),"")</f>
        <v>7</v>
      </c>
      <c r="GD7" s="39">
        <f>IF(AND(Include_study?="Yes",Sufficient_data="Yes"),'Publication Bias Analysis'!E7,NA())</f>
        <v>0.7537718023763802</v>
      </c>
      <c r="GE7" s="74">
        <f>IF(AND(Include_study?="Yes",Sufficient_data="Yes"),'Publication Bias Analysis'!F7,NA())</f>
        <v>0.4723444121586271</v>
      </c>
      <c r="GG7" s="2" t="s">
        <v>134</v>
      </c>
      <c r="GH7" s="3">
        <f>IF(Trim_and_fill="Off",'Publication Bias Analysis'!I29,'Publication Bias Analysis'!I37)</f>
        <v>0.42293852998149922</v>
      </c>
      <c r="GI7" s="3">
        <v>0</v>
      </c>
      <c r="GK7" s="176"/>
      <c r="GL7" s="130">
        <f>IF(AND(Include_study?="Yes",Sufficient_data="Yes"),IF('Publication Bias Analysis'!L$38="Left",'Publication Bias Analysis'!E:E-'Publication Bias Analysis'!I$29,'Publication Bias Analysis'!I$29-'Publication Bias Analysis'!E:E),"")</f>
        <v>0.33083327239488097</v>
      </c>
      <c r="GM7" s="39">
        <f t="shared" si="81"/>
        <v>0.33083327239488097</v>
      </c>
      <c r="GN7" s="74">
        <f>IF(AND(Include_study?="Yes",Sufficient_data="Yes"),IF(AND(Additional_weighting_method="Mantel-Haenszel",Additional_model="Fixed effect"),Weightf_MH,1/('Publication Bias Analysis'!F:F^2+IF(Additional_model="Fixed effect",0,GW$6))),"")</f>
        <v>4.4821092278719394</v>
      </c>
      <c r="GO7" s="39">
        <f>IF(AND(Include_study?="Yes",Sufficient_data="Yes"),IF('Publication Bias Analysis'!L$38="Left",'Publication Bias Analysis'!E:E-GW$3,GW$3-'Publication Bias Analysis'!E:E),"")</f>
        <v>0.33083327239488097</v>
      </c>
      <c r="GP7" s="39">
        <f t="shared" si="82"/>
        <v>0.33083327239488097</v>
      </c>
      <c r="GQ7" s="74">
        <f>IF(AND(Include_study?="Yes",Sufficient_data="Yes"),IF(AND(Additional_weighting_method="Mantel-Haenszel",Additional_model="Fixed effect"),Weightf_MH,1/('Publication Bias Analysis'!F:F^2+IF(Additional_model="Fixed effect",0,GW$13))),"")</f>
        <v>4.4821092278719394</v>
      </c>
      <c r="GR7" s="39">
        <f>IF(AND(Include_study?="Yes",Sufficient_data="Yes"),IF('Publication Bias Analysis'!L$38="Left",'Publication Bias Analysis'!E:E-GW$10,GW$10-'Publication Bias Analysis'!E:E),"")</f>
        <v>0.33083327239488097</v>
      </c>
      <c r="GS7" s="39">
        <f t="shared" si="83"/>
        <v>0.33083327239488097</v>
      </c>
      <c r="GT7" s="74">
        <f>IF(AND(Include_study?="Yes",Sufficient_data="Yes"),IF(AND(Additional_weighting_method="Mantel-Haenszel",Additional_model="Fixed effect"),Weightf_MH,1/('Publication Bias Analysis'!F:F^2+IF(Additional_model="Fixed effect",0,GW$20))),"")</f>
        <v>4.4821092278719394</v>
      </c>
      <c r="GV7" s="75" t="s">
        <v>185</v>
      </c>
      <c r="GW7" s="76">
        <f>IF('Publication Bias Analysis'!L37="Leftmost Run/Rightmost Run",MAX(COUNTIF(GA:GA,"&gt;"&amp;ABS(MIN(GA:GA)))-1,0),ROUND(MAX(0,((4*SUMIF(GL:GL,"&gt;"&amp;0,GA:GA)-k_*(k_+1))/(2*k_-1))),0))</f>
        <v>0</v>
      </c>
      <c r="GY7" s="89">
        <v>6</v>
      </c>
      <c r="GZ7" s="7" t="str">
        <f>IF(Trim_and_fill="On",IF(GW$21&gt;(COUNT(GZ$2:GZ6)),IF(COUNTIF(GA:GA,-1*(MAX(GA:GA)-GY7+1))=1,"",MAX(GA:GA)-GY7+1),""),"")</f>
        <v/>
      </c>
      <c r="HA7" s="60" t="str">
        <f t="shared" si="84"/>
        <v/>
      </c>
      <c r="HB7" s="65" t="str">
        <f t="shared" si="85"/>
        <v/>
      </c>
      <c r="HC7" s="3" t="str">
        <f t="shared" si="86"/>
        <v/>
      </c>
      <c r="HD7" s="39" t="str">
        <f>IF(GZ7&lt;&gt;"",1/(HB7^2+'Publication Bias Analysis'!L$32),"")</f>
        <v/>
      </c>
      <c r="HE7" s="74" t="str">
        <f>IF(GZ7&lt;&gt;"",HA:HA-'Publication Bias Analysis'!I$37,"")</f>
        <v/>
      </c>
      <c r="HG7" s="89">
        <v>6</v>
      </c>
      <c r="HH7" s="3" t="e">
        <f t="shared" si="87"/>
        <v>#N/A</v>
      </c>
      <c r="HI7" s="74" t="e">
        <f t="shared" si="88"/>
        <v>#N/A</v>
      </c>
      <c r="HK7" s="176"/>
      <c r="HL7" s="66">
        <f t="shared" si="89"/>
        <v>8.6866644914897151E-2</v>
      </c>
      <c r="HM7" s="74">
        <f>IF(AND(Include_study?="Yes",Sufficient_data="Yes"),Z_score-('Publication Bias Analysis'!P$3+'Publication Bias Analysis'!P$4*Inverse_standard_error),"")</f>
        <v>0.69993195335731906</v>
      </c>
      <c r="HO7" s="176"/>
      <c r="HP7" s="64">
        <f>IF(AND(Include_study?="Yes",Sufficient_data="Yes"),(GD:GD-SUMPRODUCT(Calculations!FT:FT,'Publication Bias Analysis'!E:E)/SUM(Calculations!FT:FT))/SQRT(Calculations!HQ:HQ),"")</f>
        <v>0.73284132172184346</v>
      </c>
      <c r="HQ7" s="64">
        <f>IF(AND(Include_study?="Yes",Sufficient_data="Yes"),GE:GE^2-1/SUM(Calculations!FT:FT),"")</f>
        <v>0.20379731728023706</v>
      </c>
      <c r="HR7" s="7">
        <f t="shared" si="90"/>
        <v>3</v>
      </c>
      <c r="HS7" s="7">
        <f t="shared" si="91"/>
        <v>8</v>
      </c>
      <c r="HT7" s="7">
        <f>IF(AND(Include_study?="Yes",Sufficient_data="Yes"),COUNTIFS(HR$2:HR6,"&lt;"&amp;HR7,HS$2:HS6,"&lt;"&amp;HS7)+COUNTIFS(HR8:HR$201,"&lt;"&amp;HR7,HS8:HS$201,"&lt;"&amp;HS7)+COUNTIFS(HR$2:HR6,"&gt;"&amp;HR7,HS$2:HS6,"&gt;"&amp;HS7)+COUNTIFS(HR8:HR$201,"&gt;"&amp;HR7,HS8:HS$201,"&gt;"&amp;HS7),"")</f>
        <v>6</v>
      </c>
      <c r="HU7" s="104">
        <f>IF(AND(Include_study?="Yes",Sufficient_data="Yes"),COUNTIFS(HR$2:HR6,"&lt;"&amp;HR7,HS$2:HS6,"&gt;"&amp;HS7)+COUNTIFS(HR8:HR$201,"&lt;"&amp;HR7,HS8:HS$201,"&gt;"&amp;HS7)+COUNTIFS(HR$2:HR6,"&gt;"&amp;HR7,HS$2:HS6,"&lt;"&amp;HS7)+COUNTIFS(HR8:HR$201,"&gt;"&amp;HR7,HS8:HS$201,"&lt;"&amp;HS7),"")</f>
        <v>5</v>
      </c>
      <c r="HW7" s="176"/>
      <c r="HX7" s="32">
        <v>6</v>
      </c>
      <c r="HY7" s="3">
        <f t="shared" si="123"/>
        <v>0.25</v>
      </c>
      <c r="HZ7" s="74">
        <f>HZ6+HY14</f>
        <v>0.75</v>
      </c>
      <c r="IB7" s="176"/>
      <c r="IC7" s="146">
        <f t="shared" si="92"/>
        <v>0.37777777777777777</v>
      </c>
      <c r="ID7" s="137">
        <f t="shared" si="93"/>
        <v>0.22222222222222221</v>
      </c>
      <c r="IE7" s="137">
        <f t="shared" si="94"/>
        <v>8.7428571428571402</v>
      </c>
      <c r="IF7" s="95">
        <f t="shared" si="95"/>
        <v>4.4821092278719394</v>
      </c>
      <c r="IH7" s="19">
        <f>MAX('Publication Bias Analysis'!AH:AH)</f>
        <v>0.45</v>
      </c>
      <c r="II7" s="19">
        <f>EXP(SUMPRODUCT(LogRiskRatio,IE:IE)/SUM(IE:IE))*MAX('Publication Bias Analysis'!AH:AH)</f>
        <v>0.60812422060746529</v>
      </c>
      <c r="IK7" s="176"/>
      <c r="IL7" s="158">
        <f>IF(AND(Include_study?="Yes",Sufficient_data="Yes"),'Publication Bias Analysis'!AV:AV,NA())</f>
        <v>1.5958097163288587</v>
      </c>
      <c r="IM7" s="158">
        <f>IF(AND(Sufficient_data="Yes",Include_study?="Yes"),'Publication Bias Analysis'!AU:AU,NA())</f>
        <v>2.1170992484699291</v>
      </c>
      <c r="IN7" s="62">
        <f t="shared" si="96"/>
        <v>8.6866644914897151E-2</v>
      </c>
      <c r="IO7" s="74">
        <f>IF(AND(Include_study?="Yes",Sufficient_data="Yes"),Z_score-('Publication Bias Analysis'!AY$30+'Publication Bias Analysis'!AY$31*Inverse_standard_error),"")</f>
        <v>0.70040687235605015</v>
      </c>
      <c r="IQ7" s="2" t="s">
        <v>147</v>
      </c>
      <c r="IR7" s="3">
        <f>MAX(Inverse_standard_error)</f>
        <v>3.1724621556501278</v>
      </c>
      <c r="IS7" s="3">
        <f>IR7*'Publication Bias Analysis'!AY31+IS6</f>
        <v>-0.85922867955903515</v>
      </c>
      <c r="IU7" s="176"/>
      <c r="IV7" s="7">
        <f>IF('Publication Bias Analysis'!BG:BG&lt;&gt;"",RANK('Publication Bias Analysis'!BG:BG,'Publication Bias Analysis'!BG:BG,1)+COUNTIF('Publication Bias Analysis'!BG$2:BG6,'Publication Bias Analysis'!BG7),"")</f>
        <v>9</v>
      </c>
      <c r="IW7" s="124">
        <f t="shared" si="97"/>
        <v>0.70270270270270263</v>
      </c>
      <c r="IX7" s="125">
        <f>IF('Publication Bias Analysis'!BF7&lt;&gt;"",'Publication Bias Analysis'!BF7,NA())</f>
        <v>0.53218973091930399</v>
      </c>
      <c r="IY7" s="125">
        <f>IF('Publication Bias Analysis'!BG7&lt;&gt;"",'Publication Bias Analysis'!BG7,NA())</f>
        <v>1.5958097163288587</v>
      </c>
      <c r="IZ7" s="62">
        <f>IF(AND(Include_study?="Yes",Sufficient_data="Yes"),'Publication Bias Analysis'!BF:BF-AVERAGE('Publication Bias Analysis'!BF:BF),"")</f>
        <v>0.5321897309193041</v>
      </c>
      <c r="JA7" s="74">
        <f>IF(AND(Include_study?="Yes",Sufficient_data="Yes"),'Publication Bias Analysis'!BG:BG-('Publication Bias Analysis'!BJ$30+'Publication Bias Analysis'!BJ$31*'Publication Bias Analysis'!BF:BF),"")</f>
        <v>0.16247186309177652</v>
      </c>
      <c r="JC7" s="2" t="s">
        <v>155</v>
      </c>
      <c r="JD7" s="3">
        <f>MAX('Publication Bias Analysis'!BF:BF)</f>
        <v>1.6067550689692418</v>
      </c>
      <c r="JE7" s="3">
        <f>'Publication Bias Analysis'!BJ30</f>
        <v>0.86408899560423758</v>
      </c>
      <c r="JG7" s="176"/>
      <c r="JH7" s="39">
        <f t="shared" si="98"/>
        <v>1.5958097163288587</v>
      </c>
      <c r="JI7" s="148">
        <f t="shared" si="124"/>
        <v>5.5265641663516107E-2</v>
      </c>
      <c r="JJ7" s="74">
        <f t="shared" si="125"/>
        <v>-2.8956038716195427</v>
      </c>
    </row>
    <row r="8" spans="1:270" ht="13.5" x14ac:dyDescent="0.25">
      <c r="A8" s="2">
        <f t="shared" si="0"/>
        <v>7</v>
      </c>
      <c r="B8" s="7">
        <f>IF(AND(Include_study?="Yes",Sufficient_data="Yes"),IF(Input!a_&lt;&gt;"",Input!a_,Input!n1_-Input!b_),"")</f>
        <v>9</v>
      </c>
      <c r="C8" s="7">
        <f>IF(AND(Include_study?="Yes",Sufficient_data="Yes"),IF(Input!b_&lt;&gt;"",Input!b_,Input!n1_-Input!a_),"")</f>
        <v>51</v>
      </c>
      <c r="D8" s="7">
        <f>IF(AND(Include_study?="Yes",Sufficient_data="Yes"),IF(Input!c_&lt;&gt;"",Input!c_,Input!n2_-Input!d_),"")</f>
        <v>10</v>
      </c>
      <c r="E8" s="7">
        <f>IF(AND(Include_study?="Yes",Sufficient_data="Yes"),IF(Input!d_&lt;&gt;"",Input!d_,Input!n2_-Input!c_),"")</f>
        <v>50</v>
      </c>
      <c r="F8" s="74" t="str">
        <f t="shared" si="1"/>
        <v>No</v>
      </c>
      <c r="H8" s="196"/>
      <c r="I8" s="182"/>
      <c r="J8" s="146">
        <f t="shared" si="2"/>
        <v>0.88235294117647056</v>
      </c>
      <c r="K8" s="39">
        <f t="shared" si="3"/>
        <v>-0.12516314295400605</v>
      </c>
      <c r="L8" s="39">
        <f t="shared" si="4"/>
        <v>0.50071843809506955</v>
      </c>
      <c r="M8" s="39">
        <f t="shared" si="5"/>
        <v>0.32735110431121434</v>
      </c>
      <c r="N8" s="74">
        <f t="shared" si="6"/>
        <v>2.3783231599017296</v>
      </c>
      <c r="P8" s="176"/>
      <c r="Q8" s="130">
        <f t="shared" si="7"/>
        <v>0.88335958644429358</v>
      </c>
      <c r="R8" s="39">
        <f t="shared" si="8"/>
        <v>0.49804202354550431</v>
      </c>
      <c r="S8" s="39">
        <f t="shared" si="9"/>
        <v>0.32946612855849811</v>
      </c>
      <c r="T8" s="74">
        <f t="shared" si="10"/>
        <v>2.3684503240960129</v>
      </c>
      <c r="V8" s="176"/>
      <c r="W8" s="130">
        <f t="shared" si="11"/>
        <v>-1.6666666666666663E-2</v>
      </c>
      <c r="X8" s="39">
        <f t="shared" si="12"/>
        <v>6.6631935397486505E-2</v>
      </c>
      <c r="Y8" s="39">
        <f t="shared" si="13"/>
        <v>-0.1486160392496586</v>
      </c>
      <c r="Z8" s="74">
        <f t="shared" si="14"/>
        <v>0.11528270591632528</v>
      </c>
      <c r="AB8" s="176"/>
      <c r="AC8" s="130">
        <f t="shared" si="15"/>
        <v>0.9</v>
      </c>
      <c r="AD8" s="39">
        <f t="shared" si="16"/>
        <v>-0.10536051565782628</v>
      </c>
      <c r="AE8" s="39">
        <f t="shared" si="17"/>
        <v>0.4216370213557839</v>
      </c>
      <c r="AF8" s="39">
        <f t="shared" si="18"/>
        <v>0.39050417891421624</v>
      </c>
      <c r="AG8" s="74">
        <f t="shared" si="19"/>
        <v>2.0742415670228618</v>
      </c>
      <c r="AI8" s="196"/>
      <c r="AJ8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7</v>
      </c>
      <c r="AK8" s="136">
        <f>IF(AJ8&lt;&gt;"",IF(AJ8=0,COUNTIF(AJ$2:AJ7,0)+1,COUNTIF(AJ$2:AJ7,AJ8)+AJ8+COUNTIF(AJ:AJ,0)),"")</f>
        <v>7</v>
      </c>
      <c r="AL8" s="136">
        <f t="shared" si="20"/>
        <v>7</v>
      </c>
      <c r="AM8" s="155" t="str">
        <f>IF(AND(Include_study?="Yes",Sufficient_data="Yes",Input!Study_name&lt;&gt;""),Input!Study_name,"")</f>
        <v>gggg</v>
      </c>
      <c r="AN8" s="136">
        <f t="shared" si="21"/>
        <v>120</v>
      </c>
      <c r="AO8" s="19">
        <f t="shared" si="22"/>
        <v>0.88235294117647056</v>
      </c>
      <c r="AP8" s="158">
        <f t="shared" si="23"/>
        <v>3.9885297184567263</v>
      </c>
      <c r="AQ8" s="158">
        <f t="shared" si="24"/>
        <v>3.5959893216499688</v>
      </c>
      <c r="AR8" s="39">
        <f t="shared" si="25"/>
        <v>0.50071843809506955</v>
      </c>
      <c r="AS8" s="158">
        <f t="shared" si="26"/>
        <v>0.32735110431121434</v>
      </c>
      <c r="AT8" s="39">
        <f t="shared" si="27"/>
        <v>2.3783231599017296</v>
      </c>
      <c r="AU8" s="172">
        <f t="shared" si="28"/>
        <v>7.9169129881670117E-2</v>
      </c>
      <c r="AW8" s="84">
        <f t="shared" si="29"/>
        <v>0.88235294117647056</v>
      </c>
      <c r="AX8" s="3">
        <f t="shared" si="30"/>
        <v>0.55500183686525628</v>
      </c>
      <c r="AY8" s="74">
        <f t="shared" si="31"/>
        <v>1.495970218725259</v>
      </c>
      <c r="BA8" s="54" t="s">
        <v>98</v>
      </c>
      <c r="BB8" s="11">
        <f>IF(BB2&lt;&gt;"",MAX(Weight_lookup),"")</f>
        <v>0.17372656692886568</v>
      </c>
      <c r="BD8" s="196"/>
      <c r="BE8" s="182"/>
      <c r="BF8" s="3">
        <f t="shared" si="32"/>
        <v>-0.12516314295400605</v>
      </c>
      <c r="BG8" s="3">
        <f t="shared" si="33"/>
        <v>0.50071843809506955</v>
      </c>
      <c r="BH8" s="3">
        <f t="shared" si="34"/>
        <v>3.9885297184567263</v>
      </c>
      <c r="BI8" s="39">
        <f t="shared" si="99"/>
        <v>3.5959893216499688</v>
      </c>
      <c r="BJ8" s="95">
        <f t="shared" si="35"/>
        <v>-0.54737255577683852</v>
      </c>
      <c r="BL8" s="6"/>
      <c r="BM8" s="6"/>
      <c r="BO8" s="176"/>
      <c r="BP8" s="158">
        <f t="shared" si="36"/>
        <v>3.75</v>
      </c>
      <c r="BQ8" s="158">
        <f t="shared" si="37"/>
        <v>4.25</v>
      </c>
      <c r="BR8" s="158">
        <f t="shared" si="38"/>
        <v>1.84375</v>
      </c>
      <c r="BS8" s="158">
        <f>IF(AND(Sufficient_data="Yes",Include_study?="Yes"),IF(Add_0_5="Yes",(a_+d_+1)*(ab_+0.5)*(c_+0.5)/(Number_of_subjects+2)^2,(a_+d_)*b_*c_/Number_of_subjects^2),"")</f>
        <v>2.0895833333333331</v>
      </c>
      <c r="BT8" s="158">
        <f t="shared" si="39"/>
        <v>1.90625</v>
      </c>
      <c r="BU8" s="158">
        <f t="shared" si="40"/>
        <v>2.1604166666666669</v>
      </c>
      <c r="BV8" s="158">
        <f t="shared" si="41"/>
        <v>4.25</v>
      </c>
      <c r="BW8" s="3">
        <f t="shared" si="42"/>
        <v>1.2099490636260717</v>
      </c>
      <c r="BX8" s="137">
        <f t="shared" si="43"/>
        <v>3.5332384473621525</v>
      </c>
      <c r="BY8" s="95">
        <f t="shared" si="44"/>
        <v>-0.54730608809966552</v>
      </c>
      <c r="CA8" s="3" t="s">
        <v>42</v>
      </c>
      <c r="CB8" s="3">
        <f>lnCES_OddsRatio_MH+ABS(TINV((1-Confidence_level),k_-1))*SQRT(T2_MH+SElnCES_MH^2)</f>
        <v>0.93606852480847302</v>
      </c>
      <c r="CD8" s="176"/>
      <c r="CE8" s="130">
        <f t="shared" si="45"/>
        <v>9.5</v>
      </c>
      <c r="CF8" s="39">
        <f t="shared" si="46"/>
        <v>4.0315126050420167</v>
      </c>
      <c r="CG8" s="137">
        <f t="shared" si="47"/>
        <v>-0.12402292860865034</v>
      </c>
      <c r="CH8" s="137">
        <f t="shared" si="48"/>
        <v>0.24804585721730069</v>
      </c>
      <c r="CI8" s="39">
        <f t="shared" si="49"/>
        <v>4.0315126050420167</v>
      </c>
      <c r="CJ8" s="39">
        <f t="shared" si="50"/>
        <v>3.6759517182794577</v>
      </c>
      <c r="CK8" s="95">
        <f t="shared" si="51"/>
        <v>-0.54448840320649161</v>
      </c>
      <c r="CM8" s="3" t="s">
        <v>42</v>
      </c>
      <c r="CN8" s="3">
        <f>lnCES_PetoOddsRatio+ABS(TINV((1-Confidence_level),k_-1))*SQRT(T2_Peto+SElnCES_Peto^2)</f>
        <v>0.88486531054913464</v>
      </c>
      <c r="CP8" s="176"/>
      <c r="CQ8" s="99">
        <f t="shared" si="52"/>
        <v>0.16666666666666666</v>
      </c>
      <c r="CX8" s="196"/>
      <c r="CY8" s="89">
        <f t="shared" si="53"/>
        <v>5</v>
      </c>
      <c r="CZ8" s="136" t="str">
        <f t="shared" si="54"/>
        <v>gggg</v>
      </c>
      <c r="DA8" s="140" t="str">
        <f t="shared" si="55"/>
        <v>AA</v>
      </c>
      <c r="DB8" s="39">
        <f t="shared" si="56"/>
        <v>-0.12516314295400605</v>
      </c>
      <c r="DC8" s="39">
        <f t="shared" si="57"/>
        <v>0.50071843809506955</v>
      </c>
      <c r="DD8" s="39">
        <f t="shared" si="58"/>
        <v>3.9885297184567263</v>
      </c>
      <c r="DE8" s="39">
        <f t="shared" si="59"/>
        <v>3.4650284063372516</v>
      </c>
      <c r="DF8" s="141">
        <f t="shared" si="60"/>
        <v>0.12423084454817189</v>
      </c>
      <c r="DG8" s="39">
        <f t="shared" si="61"/>
        <v>0.88235294117647056</v>
      </c>
      <c r="DH8" s="39">
        <f t="shared" si="62"/>
        <v>0.327379359285282</v>
      </c>
      <c r="DI8" s="39">
        <f t="shared" si="63"/>
        <v>2.3781178951002033</v>
      </c>
      <c r="DJ8" s="74">
        <f t="shared" si="64"/>
        <v>-0.59239674964254629</v>
      </c>
      <c r="DK8" s="45"/>
      <c r="DL8" s="84">
        <f t="shared" si="65"/>
        <v>0.88235294117647056</v>
      </c>
      <c r="DM8" s="39">
        <f t="shared" si="100"/>
        <v>0.55497358189118851</v>
      </c>
      <c r="DN8" s="74">
        <f t="shared" si="101"/>
        <v>1.4957649539237328</v>
      </c>
      <c r="DP8" s="89" t="str">
        <f t="shared" si="102"/>
        <v/>
      </c>
      <c r="DQ8" s="26" t="str">
        <f>IF(AND(Sufficient_data="Yes",Subgroup&lt;&gt;""),IF(COUNTIFS(Input!J$2:J7,"="&amp;"Yes",Input!C$2:C7,"="&amp;"Yes",Input!K$2:K7,"="&amp;Subgroup)&gt;0,"",Subgroup),"")</f>
        <v/>
      </c>
      <c r="DR8" s="7" t="str">
        <f t="shared" si="103"/>
        <v/>
      </c>
      <c r="DS8" s="7" t="str">
        <f t="shared" si="66"/>
        <v/>
      </c>
      <c r="DT8" s="19" t="str">
        <f t="shared" si="67"/>
        <v/>
      </c>
      <c r="DU8" s="12" t="str">
        <f t="shared" si="104"/>
        <v/>
      </c>
      <c r="DV8" s="11" t="str">
        <f t="shared" si="105"/>
        <v/>
      </c>
      <c r="DW8" s="12" t="str">
        <f t="shared" si="68"/>
        <v/>
      </c>
      <c r="DX8" s="19" t="str">
        <f t="shared" si="69"/>
        <v/>
      </c>
      <c r="DY8" s="19" t="str">
        <f t="shared" si="106"/>
        <v/>
      </c>
      <c r="DZ8" s="19" t="str">
        <f t="shared" si="70"/>
        <v/>
      </c>
      <c r="EA8" s="19" t="str">
        <f t="shared" si="71"/>
        <v/>
      </c>
      <c r="EB8" s="7" t="str">
        <f t="shared" si="72"/>
        <v/>
      </c>
      <c r="EC8" s="19" t="str">
        <f t="shared" si="107"/>
        <v/>
      </c>
      <c r="ED8" s="19" t="str">
        <f t="shared" si="108"/>
        <v/>
      </c>
      <c r="EE8" s="19" t="str">
        <f t="shared" si="109"/>
        <v/>
      </c>
      <c r="EF8" s="19" t="str">
        <f t="shared" si="110"/>
        <v/>
      </c>
      <c r="EG8" s="19" t="str">
        <f t="shared" si="111"/>
        <v/>
      </c>
      <c r="EH8" s="19" t="str">
        <f t="shared" si="112"/>
        <v/>
      </c>
      <c r="EI8" s="19" t="str">
        <f t="shared" si="113"/>
        <v/>
      </c>
      <c r="EJ8" s="19" t="str">
        <f t="shared" si="114"/>
        <v/>
      </c>
      <c r="EK8" s="19" t="str">
        <f t="shared" si="73"/>
        <v/>
      </c>
      <c r="EL8" s="19" t="str">
        <f t="shared" si="115"/>
        <v/>
      </c>
      <c r="EM8" s="19" t="str">
        <f t="shared" si="116"/>
        <v/>
      </c>
      <c r="EN8" s="19" t="str">
        <f t="shared" si="117"/>
        <v/>
      </c>
      <c r="EO8" s="19" t="str">
        <f t="shared" si="118"/>
        <v/>
      </c>
      <c r="EP8" s="19" t="str">
        <f t="shared" si="74"/>
        <v/>
      </c>
      <c r="EQ8" s="19" t="e">
        <f t="shared" si="119"/>
        <v>#N/A</v>
      </c>
      <c r="ER8" s="11" t="str">
        <f t="shared" si="120"/>
        <v/>
      </c>
      <c r="ES8" s="19" t="str">
        <f t="shared" si="121"/>
        <v/>
      </c>
      <c r="ET8" s="156" t="str">
        <f t="shared" si="122"/>
        <v/>
      </c>
      <c r="EU8" s="39" t="str">
        <f t="shared" si="75"/>
        <v/>
      </c>
      <c r="EV8" s="74" t="str">
        <f t="shared" si="76"/>
        <v/>
      </c>
      <c r="FA8" s="196"/>
      <c r="FB8" s="84">
        <f>IF(AND(Include_study?="Yes",Sufficient_data="Yes",Moderator&lt;&gt;""),'Moderator Analysis'!E8,NA())</f>
        <v>19</v>
      </c>
      <c r="FC8" s="39">
        <f>IF(AND(Include_study?="Yes",Sufficient_data="Yes",Moderator&lt;&gt;""),'Moderator Analysis'!F8,NA())</f>
        <v>-0.12516314295400605</v>
      </c>
      <c r="FD8" s="39">
        <f t="shared" si="77"/>
        <v>0.50071843809506955</v>
      </c>
      <c r="FE8" s="39">
        <f t="shared" si="78"/>
        <v>3.9885297184567263</v>
      </c>
      <c r="FF8" s="39">
        <f>IF(AND(Include_study?="Yes",Sufficient_data="Yes",Moderator&lt;&gt;""),'Moderator Analysis'!F:F-FP$2,"")</f>
        <v>-0.54810167293550527</v>
      </c>
      <c r="FG8" s="39">
        <f>IF(AND(Include_study?="Yes",Sufficient_data="Yes",Moderator&lt;&gt;""),'Moderator Analysis'!E:E-FP$3,"")</f>
        <v>2.0658080265329311</v>
      </c>
      <c r="FH8" s="74">
        <f>IF(AND(Include_study?="Yes",Sufficient_data="Yes",Moderator&lt;&gt;""),FE:FE*('Moderator Analysis'!F:F-FP$5-FP$4*'Moderator Analysis'!E:E)^2,"")</f>
        <v>1.1923083160531858</v>
      </c>
      <c r="FI8" s="128"/>
      <c r="FJ8" s="92">
        <f t="shared" si="79"/>
        <v>3.284718404858511</v>
      </c>
      <c r="FK8" s="137">
        <f>IF(AND(Include_study?="Yes",Sufficient_data="Yes",Moderator&lt;&gt;""),'Moderator Analysis'!F:F-'Moderator Analysis'!J$37,"")</f>
        <v>-0.54810167293550527</v>
      </c>
      <c r="FL8" s="137">
        <f>IF(AND(Include_study?="Yes",Sufficient_data="Yes",Moderator&lt;&gt;""),'Moderator Analysis'!E:E-SUMPRODUCT('Moderator Analysis'!E:E,FJ:FJ)/SUM(FJ:FJ),"")</f>
        <v>2.0819051857616735</v>
      </c>
      <c r="FM8" s="95">
        <f>IF(AND(Include_study?="Yes",Sufficient_data="Yes",Moderator&lt;&gt;""),FJ:FJ*('Moderator Analysis'!F:F-'Moderator Analysis'!J$29-'Moderator Analysis'!J$30*'Moderator Analysis'!E:E)^2,"")</f>
        <v>0.98191497781320758</v>
      </c>
      <c r="FN8" s="21"/>
      <c r="FO8" s="56" t="s">
        <v>282</v>
      </c>
      <c r="FP8" s="7">
        <f>COUNTIFS(Include_study?,"Yes",Sufficient_data,"Yes",Moderator,"&lt;&gt;")</f>
        <v>12</v>
      </c>
      <c r="FR8" s="196"/>
      <c r="FS8" s="182"/>
      <c r="FT8" s="130">
        <f>IF(AND(Include_study?="Yes",Sufficient_data="Yes"),IF(Additional_weighting_method="Inverse Variance",1/'Publication Bias Analysis'!F:F^2,IF(Additional_weighting_method="Mantel-Haenszel",Weightf_MH,Weightf_Peto)),"")</f>
        <v>3.9885297184567263</v>
      </c>
      <c r="FU8" s="39">
        <f>IF(AND(Include_study?="Yes",Sufficient_data="Yes"),1/('Publication Bias Analysis'!F:F^2+IF(Additional_model="Fixed effect",0,Calculations!GH$12)),"")</f>
        <v>3.9885297184567263</v>
      </c>
      <c r="FV8" s="39">
        <f>IF(AND(Include_study?="Yes",Sufficient_data="Yes"),1/('Publication Bias Analysis'!F:F^2+IF(Additional_model="Fixed effect",0,'Publication Bias Analysis'!L$32)),"")</f>
        <v>3.9885297184567263</v>
      </c>
      <c r="FW8" s="39">
        <f>IF(AND(Include_study?="Yes",Sufficient_data="Yes"),'Publication Bias Analysis'!E:E-'Publication Bias Analysis'!I$37,"")</f>
        <v>-0.54810167293550527</v>
      </c>
      <c r="FX8" s="39">
        <f>IF(AND(Include_study?="Yes",Sufficient_data="Yes"),IF(Additional_model="Fixed effect",1/'Publication Bias Analysis'!F:F,1/SQRT('Publication Bias Analysis'!F:F^2+GH$12)),"")</f>
        <v>1.9971303709214194</v>
      </c>
      <c r="FY8" s="39">
        <f>IF(AND(Include_study?="Yes",Sufficient_data="Yes"),IF(Additional_model="Fixed effect",'Publication Bias Analysis'!E:E/'Publication Bias Analysis'!F:F,'Publication Bias Analysis'!E:E/SQRT('Publication Bias Analysis'!F:F^2+GH$12)),"")</f>
        <v>-0.24996711411342473</v>
      </c>
      <c r="FZ8" s="136">
        <f t="shared" si="80"/>
        <v>-8</v>
      </c>
      <c r="GA8" s="144">
        <f>IF(AND(Include_study?="Yes",Sufficient_data="Yes"),FZ:FZ+IF(GL:GL&lt;0,-1,1)*COUNTIF(FZ$2:FZ7,FZ:FZ),"")</f>
        <v>-8</v>
      </c>
      <c r="GB8" s="144">
        <f>IF(AND(Include_study?="Yes",Sufficient_data="Yes"),RANK(GP:GP,GP:GP,1)*IF(GO:GO&lt;0,-1,1)+IF(GO:GO&lt;0,-1,1)*COUNTIF(FZ$2:FZ7,FZ:FZ),"")</f>
        <v>-8</v>
      </c>
      <c r="GC8" s="144">
        <f>IF(AND(Include_study?="Yes",Sufficient_data="Yes"),RANK(GS:GS,GS:GS,1)*IF(GR:GR&lt;0,-1,1)+IF(GR:GR&lt;0,-1,1)*COUNTIF(FZ$2:FZ7,FZ:FZ),"")</f>
        <v>-8</v>
      </c>
      <c r="GD8" s="39">
        <f>IF(AND(Include_study?="Yes",Sufficient_data="Yes"),'Publication Bias Analysis'!E8,NA())</f>
        <v>-0.12516314295400605</v>
      </c>
      <c r="GE8" s="74">
        <f>IF(AND(Include_study?="Yes",Sufficient_data="Yes"),'Publication Bias Analysis'!F8,NA())</f>
        <v>0.50071843809506955</v>
      </c>
      <c r="GG8" s="2" t="s">
        <v>135</v>
      </c>
      <c r="GH8" s="3">
        <f>IF(Trim_and_fill="Off",'Publication Bias Analysis'!I29,'Publication Bias Analysis'!I37)</f>
        <v>0.42293852998149922</v>
      </c>
      <c r="GI8" s="3">
        <f>IF(Trim_and_fill="Off",GH17,GH22)</f>
        <v>0.85389862228654345</v>
      </c>
      <c r="GK8" s="176"/>
      <c r="GL8" s="130">
        <f>IF(AND(Include_study?="Yes",Sufficient_data="Yes"),IF('Publication Bias Analysis'!L$38="Left",'Publication Bias Analysis'!E:E-'Publication Bias Analysis'!I$29,'Publication Bias Analysis'!I$29-'Publication Bias Analysis'!E:E),"")</f>
        <v>-0.54810167293550527</v>
      </c>
      <c r="GM8" s="39">
        <f t="shared" si="81"/>
        <v>0.54810167293550527</v>
      </c>
      <c r="GN8" s="74">
        <f>IF(AND(Include_study?="Yes",Sufficient_data="Yes"),IF(AND(Additional_weighting_method="Mantel-Haenszel",Additional_model="Fixed effect"),Weightf_MH,1/('Publication Bias Analysis'!F:F^2+IF(Additional_model="Fixed effect",0,GW$6))),"")</f>
        <v>3.9885297184567263</v>
      </c>
      <c r="GO8" s="39">
        <f>IF(AND(Include_study?="Yes",Sufficient_data="Yes"),IF('Publication Bias Analysis'!L$38="Left",'Publication Bias Analysis'!E:E-GW$3,GW$3-'Publication Bias Analysis'!E:E),"")</f>
        <v>-0.54810167293550527</v>
      </c>
      <c r="GP8" s="39">
        <f t="shared" si="82"/>
        <v>0.54810167293550527</v>
      </c>
      <c r="GQ8" s="74">
        <f>IF(AND(Include_study?="Yes",Sufficient_data="Yes"),IF(AND(Additional_weighting_method="Mantel-Haenszel",Additional_model="Fixed effect"),Weightf_MH,1/('Publication Bias Analysis'!F:F^2+IF(Additional_model="Fixed effect",0,GW$13))),"")</f>
        <v>3.9885297184567263</v>
      </c>
      <c r="GR8" s="39">
        <f>IF(AND(Include_study?="Yes",Sufficient_data="Yes"),IF('Publication Bias Analysis'!L$38="Left",'Publication Bias Analysis'!E:E-GW$10,GW$10-'Publication Bias Analysis'!E:E),"")</f>
        <v>-0.54810167293550527</v>
      </c>
      <c r="GS8" s="39">
        <f t="shared" si="83"/>
        <v>0.54810167293550527</v>
      </c>
      <c r="GT8" s="74">
        <f>IF(AND(Include_study?="Yes",Sufficient_data="Yes"),IF(AND(Additional_weighting_method="Mantel-Haenszel",Additional_model="Fixed effect"),Weightf_MH,1/('Publication Bias Analysis'!F:F^2+IF(Additional_model="Fixed effect",0,GW$20))),"")</f>
        <v>3.9885297184567263</v>
      </c>
      <c r="GY8" s="89">
        <v>7</v>
      </c>
      <c r="GZ8" s="7" t="str">
        <f>IF(Trim_and_fill="On",IF(GW$21&gt;(COUNT(GZ$2:GZ7)),IF(COUNTIF(GA:GA,-1*(MAX(GA:GA)-GY8+1))=1,"",MAX(GA:GA)-GY8+1),""),"")</f>
        <v/>
      </c>
      <c r="HA8" s="60" t="str">
        <f t="shared" si="84"/>
        <v/>
      </c>
      <c r="HB8" s="65" t="str">
        <f t="shared" si="85"/>
        <v/>
      </c>
      <c r="HC8" s="3" t="str">
        <f t="shared" si="86"/>
        <v/>
      </c>
      <c r="HD8" s="39" t="str">
        <f>IF(GZ8&lt;&gt;"",1/(HB8^2+'Publication Bias Analysis'!L$32),"")</f>
        <v/>
      </c>
      <c r="HE8" s="74" t="str">
        <f>IF(GZ8&lt;&gt;"",HA:HA-'Publication Bias Analysis'!I$37,"")</f>
        <v/>
      </c>
      <c r="HG8" s="89">
        <v>7</v>
      </c>
      <c r="HH8" s="3" t="e">
        <f t="shared" si="87"/>
        <v>#N/A</v>
      </c>
      <c r="HI8" s="74" t="e">
        <f t="shared" si="88"/>
        <v>#N/A</v>
      </c>
      <c r="HK8" s="176"/>
      <c r="HL8" s="66">
        <f t="shared" si="89"/>
        <v>-3.3102232633612561E-2</v>
      </c>
      <c r="HM8" s="74">
        <f>IF(AND(Include_study?="Yes",Sufficient_data="Yes"),Z_score-('Publication Bias Analysis'!P$3+'Publication Bias Analysis'!P$4*Inverse_standard_error),"")</f>
        <v>-1.1019423786813232</v>
      </c>
      <c r="HO8" s="176"/>
      <c r="HP8" s="64">
        <f>IF(AND(Include_study?="Yes",Sufficient_data="Yes"),(GD:GD-SUMPRODUCT(Calculations!FT:FT,'Publication Bias Analysis'!E:E)/SUM(Calculations!FT:FT))/SQRT(Calculations!HQ:HQ),"")</f>
        <v>-1.1393911857809884</v>
      </c>
      <c r="HQ8" s="64">
        <f>IF(AND(Include_study?="Yes",Sufficient_data="Yes"),GE:GE^2-1/SUM(Calculations!FT:FT),"")</f>
        <v>0.23140702783112405</v>
      </c>
      <c r="HR8" s="7">
        <f t="shared" si="90"/>
        <v>10</v>
      </c>
      <c r="HS8" s="7">
        <f t="shared" si="91"/>
        <v>7</v>
      </c>
      <c r="HT8" s="7">
        <f>IF(AND(Include_study?="Yes",Sufficient_data="Yes"),COUNTIFS(HR$2:HR7,"&lt;"&amp;HR8,HS$2:HS7,"&lt;"&amp;HS8)+COUNTIFS(HR9:HR$201,"&lt;"&amp;HR8,HS9:HS$201,"&lt;"&amp;HS8)+COUNTIFS(HR$2:HR7,"&gt;"&amp;HR8,HS$2:HS7,"&gt;"&amp;HS8)+COUNTIFS(HR9:HR$201,"&gt;"&amp;HR8,HS9:HS$201,"&gt;"&amp;HS8),"")</f>
        <v>6</v>
      </c>
      <c r="HU8" s="104">
        <f>IF(AND(Include_study?="Yes",Sufficient_data="Yes"),COUNTIFS(HR$2:HR7,"&lt;"&amp;HR8,HS$2:HS7,"&gt;"&amp;HS8)+COUNTIFS(HR9:HR$201,"&lt;"&amp;HR8,HS9:HS$201,"&gt;"&amp;HS8)+COUNTIFS(HR$2:HR7,"&gt;"&amp;HR8,HS$2:HS7,"&lt;"&amp;HS8)+COUNTIFS(HR9:HR$201,"&gt;"&amp;HR8,HS9:HS$201,"&lt;"&amp;HS8),"")</f>
        <v>5</v>
      </c>
      <c r="HW8" s="176"/>
      <c r="HX8" s="32">
        <v>7</v>
      </c>
      <c r="HY8" s="3">
        <f t="shared" si="123"/>
        <v>0.75</v>
      </c>
      <c r="HZ8" s="74">
        <f>HZ7+HY14</f>
        <v>1.25</v>
      </c>
      <c r="IB8" s="176"/>
      <c r="IC8" s="146">
        <f t="shared" si="92"/>
        <v>0.15</v>
      </c>
      <c r="ID8" s="137">
        <f t="shared" si="93"/>
        <v>0.16666666666666666</v>
      </c>
      <c r="IE8" s="137">
        <f t="shared" si="94"/>
        <v>5.625</v>
      </c>
      <c r="IF8" s="95">
        <f t="shared" si="95"/>
        <v>3.9885297184567263</v>
      </c>
      <c r="IK8" s="176"/>
      <c r="IL8" s="158">
        <f>IF(AND(Include_study?="Yes",Sufficient_data="Yes"),'Publication Bias Analysis'!AV:AV,NA())</f>
        <v>-0.24996711411342473</v>
      </c>
      <c r="IM8" s="158">
        <f>IF(AND(Sufficient_data="Yes",Include_study?="Yes"),'Publication Bias Analysis'!AU:AU,NA())</f>
        <v>1.9971303709214194</v>
      </c>
      <c r="IN8" s="62">
        <f t="shared" si="96"/>
        <v>-3.3102232633612561E-2</v>
      </c>
      <c r="IO8" s="74">
        <f>IF(AND(Include_study?="Yes",Sufficient_data="Yes"),Z_score-('Publication Bias Analysis'!AY$30+'Publication Bias Analysis'!AY$31*Inverse_standard_error),"")</f>
        <v>-1.0946304973723362</v>
      </c>
      <c r="IQ8" s="36" t="s">
        <v>135</v>
      </c>
      <c r="IR8" s="2" t="s">
        <v>68</v>
      </c>
      <c r="IS8" s="2" t="s">
        <v>69</v>
      </c>
      <c r="IU8" s="176"/>
      <c r="IV8" s="7">
        <f>IF('Publication Bias Analysis'!BG:BG&lt;&gt;"",RANK('Publication Bias Analysis'!BG:BG,'Publication Bias Analysis'!BG:BG,1)+COUNTIF('Publication Bias Analysis'!BG$2:BG7,'Publication Bias Analysis'!BG8),"")</f>
        <v>3</v>
      </c>
      <c r="IW8" s="124">
        <f t="shared" si="97"/>
        <v>0.2162162162162162</v>
      </c>
      <c r="IX8" s="125">
        <f>IF('Publication Bias Analysis'!BF8&lt;&gt;"",'Publication Bias Analysis'!BF8,NA())</f>
        <v>-0.78503604987689179</v>
      </c>
      <c r="IY8" s="125">
        <f>IF('Publication Bias Analysis'!BG8&lt;&gt;"",'Publication Bias Analysis'!BG8,NA())</f>
        <v>-0.24996711411342473</v>
      </c>
      <c r="IZ8" s="62">
        <f>IF(AND(Include_study?="Yes",Sufficient_data="Yes"),'Publication Bias Analysis'!BF:BF-AVERAGE('Publication Bias Analysis'!BF:BF),"")</f>
        <v>-0.78503604987689168</v>
      </c>
      <c r="JA8" s="74">
        <f>IF(AND(Include_study?="Yes",Sufficient_data="Yes"),'Publication Bias Analysis'!BG:BG-('Publication Bias Analysis'!BJ$30+'Publication Bias Analysis'!BJ$31*'Publication Bias Analysis'!BF:BF),"")</f>
        <v>-0.27435393466614455</v>
      </c>
      <c r="JG8" s="176"/>
      <c r="JH8" s="39">
        <f t="shared" si="98"/>
        <v>-0.24996711411342473</v>
      </c>
      <c r="JI8" s="148">
        <f t="shared" si="124"/>
        <v>0.40130639029317738</v>
      </c>
      <c r="JJ8" s="74">
        <f t="shared" si="125"/>
        <v>-0.91303007785604284</v>
      </c>
    </row>
    <row r="9" spans="1:270" ht="12" customHeight="1" x14ac:dyDescent="0.2">
      <c r="A9" s="2">
        <f t="shared" si="0"/>
        <v>8</v>
      </c>
      <c r="B9" s="7">
        <f>IF(AND(Include_study?="Yes",Sufficient_data="Yes"),IF(Input!a_&lt;&gt;"",Input!a_,Input!n1_-Input!b_),"")</f>
        <v>15</v>
      </c>
      <c r="C9" s="7">
        <f>IF(AND(Include_study?="Yes",Sufficient_data="Yes"),IF(Input!b_&lt;&gt;"",Input!b_,Input!n1_-Input!a_),"")</f>
        <v>50</v>
      </c>
      <c r="D9" s="7">
        <f>IF(AND(Include_study?="Yes",Sufficient_data="Yes"),IF(Input!c_&lt;&gt;"",Input!c_,Input!n2_-Input!d_),"")</f>
        <v>6</v>
      </c>
      <c r="E9" s="7">
        <f>IF(AND(Include_study?="Yes",Sufficient_data="Yes"),IF(Input!d_&lt;&gt;"",Input!d_,Input!n2_-Input!c_),"")</f>
        <v>59</v>
      </c>
      <c r="F9" s="74" t="str">
        <f t="shared" si="1"/>
        <v>No</v>
      </c>
      <c r="H9" s="196"/>
      <c r="I9" s="182"/>
      <c r="J9" s="146">
        <f t="shared" si="2"/>
        <v>2.95</v>
      </c>
      <c r="K9" s="39">
        <f t="shared" si="3"/>
        <v>1.0818051703517284</v>
      </c>
      <c r="L9" s="39">
        <f t="shared" si="4"/>
        <v>0.51988699337039213</v>
      </c>
      <c r="M9" s="39">
        <f t="shared" si="5"/>
        <v>1.0545561118841256</v>
      </c>
      <c r="N9" s="74">
        <f t="shared" si="6"/>
        <v>8.252287291239206</v>
      </c>
      <c r="P9" s="176"/>
      <c r="Q9" s="130">
        <f t="shared" si="7"/>
        <v>2.7577545393079768</v>
      </c>
      <c r="R9" s="39">
        <f t="shared" si="8"/>
        <v>0.474790427658975</v>
      </c>
      <c r="S9" s="39">
        <f t="shared" si="9"/>
        <v>1.0778440509920333</v>
      </c>
      <c r="T9" s="74">
        <f t="shared" si="10"/>
        <v>7.0559466298246196</v>
      </c>
      <c r="V9" s="176"/>
      <c r="W9" s="130">
        <f t="shared" si="11"/>
        <v>0.13846153846153847</v>
      </c>
      <c r="X9" s="39">
        <f t="shared" si="12"/>
        <v>6.3403685302734089E-2</v>
      </c>
      <c r="Y9" s="39">
        <f t="shared" si="13"/>
        <v>1.3006514580726963E-2</v>
      </c>
      <c r="Z9" s="74">
        <f t="shared" si="14"/>
        <v>0.26391656234234995</v>
      </c>
      <c r="AB9" s="176"/>
      <c r="AC9" s="130">
        <f t="shared" si="15"/>
        <v>2.5</v>
      </c>
      <c r="AD9" s="39">
        <f t="shared" si="16"/>
        <v>0.91629073187415511</v>
      </c>
      <c r="AE9" s="39">
        <f t="shared" si="17"/>
        <v>0.45007121943543843</v>
      </c>
      <c r="AF9" s="39">
        <f t="shared" si="18"/>
        <v>1.0260822709308439</v>
      </c>
      <c r="AG9" s="74">
        <f t="shared" si="19"/>
        <v>6.0911295098492531</v>
      </c>
      <c r="AI9" s="196"/>
      <c r="AJ9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8</v>
      </c>
      <c r="AK9" s="136">
        <f>IF(AJ9&lt;&gt;"",IF(AJ9=0,COUNTIF(AJ$2:AJ8,0)+1,COUNTIF(AJ$2:AJ8,AJ9)+AJ9+COUNTIF(AJ:AJ,0)),"")</f>
        <v>8</v>
      </c>
      <c r="AL9" s="136">
        <f t="shared" si="20"/>
        <v>8</v>
      </c>
      <c r="AM9" s="155" t="str">
        <f>IF(AND(Include_study?="Yes",Sufficient_data="Yes",Input!Study_name&lt;&gt;""),Input!Study_name,"")</f>
        <v>hhhh</v>
      </c>
      <c r="AN9" s="136">
        <f t="shared" si="21"/>
        <v>130</v>
      </c>
      <c r="AO9" s="19">
        <f t="shared" si="22"/>
        <v>2.95</v>
      </c>
      <c r="AP9" s="158">
        <f t="shared" si="23"/>
        <v>3.6998327759197336</v>
      </c>
      <c r="AQ9" s="158">
        <f t="shared" si="24"/>
        <v>3.3596379492376394</v>
      </c>
      <c r="AR9" s="39">
        <f t="shared" si="25"/>
        <v>0.51988699337039213</v>
      </c>
      <c r="AS9" s="158">
        <f t="shared" si="26"/>
        <v>1.0545561118841256</v>
      </c>
      <c r="AT9" s="39">
        <f t="shared" si="27"/>
        <v>8.252287291239206</v>
      </c>
      <c r="AU9" s="172">
        <f t="shared" si="28"/>
        <v>7.3965629307414502E-2</v>
      </c>
      <c r="AW9" s="84">
        <f t="shared" si="29"/>
        <v>2.95</v>
      </c>
      <c r="AX9" s="3">
        <f t="shared" si="30"/>
        <v>1.8954438881158746</v>
      </c>
      <c r="AY9" s="74">
        <f t="shared" si="31"/>
        <v>5.3022872912392058</v>
      </c>
      <c r="BA9" s="45"/>
      <c r="BB9" s="45"/>
      <c r="BD9" s="196"/>
      <c r="BE9" s="182"/>
      <c r="BF9" s="3">
        <f t="shared" si="32"/>
        <v>1.0818051703517284</v>
      </c>
      <c r="BG9" s="3">
        <f t="shared" si="33"/>
        <v>0.51988699337039213</v>
      </c>
      <c r="BH9" s="3">
        <f t="shared" si="34"/>
        <v>3.6998327759197336</v>
      </c>
      <c r="BI9" s="39">
        <f t="shared" si="99"/>
        <v>3.3596379492376394</v>
      </c>
      <c r="BJ9" s="95">
        <f t="shared" si="35"/>
        <v>0.65959575752889588</v>
      </c>
      <c r="BL9" s="3" t="str">
        <f>Model_effect_size_measure</f>
        <v>Odds Ratio</v>
      </c>
      <c r="BM9" s="3">
        <f>IF(Model_effect_size_measure="Risk Difference",IF(Meta_analysis_model="Fixed effect model",SUMPRODUCT(Weightf,Model_Effect_size)/SUM(Weightf),SUMPRODUCT(Weight,Model_Effect_size)/SUM(Weight)),EXP(lnCES_IV))</f>
        <v>1.5253279144642675</v>
      </c>
      <c r="BO9" s="176"/>
      <c r="BP9" s="158">
        <f t="shared" si="36"/>
        <v>6.8076923076923075</v>
      </c>
      <c r="BQ9" s="158">
        <f t="shared" si="37"/>
        <v>2.3076923076923075</v>
      </c>
      <c r="BR9" s="158">
        <f t="shared" si="38"/>
        <v>3.8751479289940827</v>
      </c>
      <c r="BS9" s="158">
        <f>IF(AND(Sufficient_data="Yes",Include_study?="Yes"),IF(Add_0_5="Yes",(a_+d_+1)*(ab_+0.5)*(c_+0.5)/(Number_of_subjects+2)^2,(a_+d_)*b_*c_/Number_of_subjects^2),"")</f>
        <v>1.3136094674556213</v>
      </c>
      <c r="BT9" s="158">
        <f t="shared" si="39"/>
        <v>2.9325443786982248</v>
      </c>
      <c r="BU9" s="158">
        <f t="shared" si="40"/>
        <v>0.99408284023668636</v>
      </c>
      <c r="BV9" s="158">
        <f t="shared" si="41"/>
        <v>2.3076923076923075</v>
      </c>
      <c r="BW9" s="3">
        <f t="shared" si="42"/>
        <v>1.5930918425775999</v>
      </c>
      <c r="BX9" s="137">
        <f t="shared" si="43"/>
        <v>3.3048018761241149</v>
      </c>
      <c r="BY9" s="95">
        <f t="shared" si="44"/>
        <v>0.65966222520606888</v>
      </c>
      <c r="CD9" s="176"/>
      <c r="CE9" s="130">
        <f t="shared" si="45"/>
        <v>10.5</v>
      </c>
      <c r="CF9" s="39">
        <f t="shared" si="46"/>
        <v>4.4360465116279073</v>
      </c>
      <c r="CG9" s="137">
        <f t="shared" si="47"/>
        <v>1.0144167758846656</v>
      </c>
      <c r="CH9" s="137">
        <f t="shared" si="48"/>
        <v>0.2254259501965924</v>
      </c>
      <c r="CI9" s="39">
        <f t="shared" si="49"/>
        <v>4.4360465116279073</v>
      </c>
      <c r="CJ9" s="39">
        <f t="shared" si="50"/>
        <v>4.0093259090061046</v>
      </c>
      <c r="CK9" s="95">
        <f t="shared" si="51"/>
        <v>0.59395130128682438</v>
      </c>
      <c r="CP9" s="176"/>
      <c r="CQ9" s="99">
        <f t="shared" si="52"/>
        <v>9.2307692307692313E-2</v>
      </c>
      <c r="CS9" s="178" t="s">
        <v>12</v>
      </c>
      <c r="CT9" s="178"/>
      <c r="CU9" s="178"/>
      <c r="CV9" s="178"/>
      <c r="CX9" s="196"/>
      <c r="CY9" s="89">
        <f t="shared" si="53"/>
        <v>6</v>
      </c>
      <c r="CZ9" s="136" t="str">
        <f t="shared" si="54"/>
        <v>hhhh</v>
      </c>
      <c r="DA9" s="140" t="str">
        <f t="shared" si="55"/>
        <v>AA</v>
      </c>
      <c r="DB9" s="39">
        <f t="shared" si="56"/>
        <v>1.0818051703517284</v>
      </c>
      <c r="DC9" s="39">
        <f t="shared" si="57"/>
        <v>0.51988699337039213</v>
      </c>
      <c r="DD9" s="39">
        <f t="shared" si="58"/>
        <v>3.6998327759197336</v>
      </c>
      <c r="DE9" s="39">
        <f t="shared" si="59"/>
        <v>3.2450521832386103</v>
      </c>
      <c r="DF9" s="141">
        <f t="shared" si="60"/>
        <v>0.11634408900929062</v>
      </c>
      <c r="DG9" s="39">
        <f t="shared" si="61"/>
        <v>2.95</v>
      </c>
      <c r="DH9" s="39">
        <f t="shared" si="62"/>
        <v>1.0546363559079805</v>
      </c>
      <c r="DI9" s="39">
        <f t="shared" si="63"/>
        <v>8.2516594001803121</v>
      </c>
      <c r="DJ9" s="74">
        <f t="shared" si="64"/>
        <v>0.6145715636631881</v>
      </c>
      <c r="DK9" s="45"/>
      <c r="DL9" s="84">
        <f t="shared" si="65"/>
        <v>2.95</v>
      </c>
      <c r="DM9" s="39">
        <f t="shared" si="100"/>
        <v>1.8953636440920196</v>
      </c>
      <c r="DN9" s="74">
        <f t="shared" si="101"/>
        <v>5.3016594001803119</v>
      </c>
      <c r="DP9" s="89" t="str">
        <f t="shared" si="102"/>
        <v/>
      </c>
      <c r="DQ9" s="26" t="str">
        <f>IF(AND(Sufficient_data="Yes",Subgroup&lt;&gt;""),IF(COUNTIFS(Input!J$2:J8,"="&amp;"Yes",Input!C$2:C8,"="&amp;"Yes",Input!K$2:K8,"="&amp;Subgroup)&gt;0,"",Subgroup),"")</f>
        <v/>
      </c>
      <c r="DR9" s="7" t="str">
        <f t="shared" si="103"/>
        <v/>
      </c>
      <c r="DS9" s="7" t="str">
        <f t="shared" si="66"/>
        <v/>
      </c>
      <c r="DT9" s="19" t="str">
        <f t="shared" si="67"/>
        <v/>
      </c>
      <c r="DU9" s="12" t="str">
        <f t="shared" si="104"/>
        <v/>
      </c>
      <c r="DV9" s="11" t="str">
        <f t="shared" si="105"/>
        <v/>
      </c>
      <c r="DW9" s="12" t="str">
        <f t="shared" si="68"/>
        <v/>
      </c>
      <c r="DX9" s="19" t="str">
        <f t="shared" si="69"/>
        <v/>
      </c>
      <c r="DY9" s="19" t="str">
        <f t="shared" si="106"/>
        <v/>
      </c>
      <c r="DZ9" s="19" t="str">
        <f t="shared" si="70"/>
        <v/>
      </c>
      <c r="EA9" s="19" t="str">
        <f t="shared" si="71"/>
        <v/>
      </c>
      <c r="EB9" s="7" t="str">
        <f t="shared" si="72"/>
        <v/>
      </c>
      <c r="EC9" s="19" t="str">
        <f t="shared" si="107"/>
        <v/>
      </c>
      <c r="ED9" s="19" t="str">
        <f t="shared" si="108"/>
        <v/>
      </c>
      <c r="EE9" s="19" t="str">
        <f t="shared" si="109"/>
        <v/>
      </c>
      <c r="EF9" s="19" t="str">
        <f t="shared" si="110"/>
        <v/>
      </c>
      <c r="EG9" s="19" t="str">
        <f t="shared" si="111"/>
        <v/>
      </c>
      <c r="EH9" s="19" t="str">
        <f t="shared" si="112"/>
        <v/>
      </c>
      <c r="EI9" s="19" t="str">
        <f t="shared" si="113"/>
        <v/>
      </c>
      <c r="EJ9" s="19" t="str">
        <f t="shared" si="114"/>
        <v/>
      </c>
      <c r="EK9" s="19" t="str">
        <f t="shared" si="73"/>
        <v/>
      </c>
      <c r="EL9" s="19" t="str">
        <f t="shared" si="115"/>
        <v/>
      </c>
      <c r="EM9" s="19" t="str">
        <f t="shared" si="116"/>
        <v/>
      </c>
      <c r="EN9" s="19" t="str">
        <f t="shared" si="117"/>
        <v/>
      </c>
      <c r="EO9" s="19" t="str">
        <f t="shared" si="118"/>
        <v/>
      </c>
      <c r="EP9" s="19" t="str">
        <f t="shared" si="74"/>
        <v/>
      </c>
      <c r="EQ9" s="19" t="e">
        <f t="shared" si="119"/>
        <v>#N/A</v>
      </c>
      <c r="ER9" s="11" t="str">
        <f t="shared" si="120"/>
        <v/>
      </c>
      <c r="ES9" s="19" t="str">
        <f t="shared" si="121"/>
        <v/>
      </c>
      <c r="ET9" s="156" t="str">
        <f t="shared" si="122"/>
        <v/>
      </c>
      <c r="EU9" s="39" t="str">
        <f t="shared" si="75"/>
        <v/>
      </c>
      <c r="EV9" s="74" t="str">
        <f t="shared" si="76"/>
        <v/>
      </c>
      <c r="EX9" s="2" t="str">
        <f>Subgroup_effect_size_measure</f>
        <v>Odds Ratio</v>
      </c>
      <c r="EY9" s="3">
        <f>IF(Subgroup_valid_options="Yes",IF(Subgroup_effect_size_measure="Risk Difference",SUMPRODUCT(ET:ET,DZ:DZ)/SUM(ET:ET),EXP(EY2)),NA())</f>
        <v>1.5264499646244674</v>
      </c>
      <c r="FA9" s="196"/>
      <c r="FB9" s="84">
        <f>IF(AND(Include_study?="Yes",Sufficient_data="Yes",Moderator&lt;&gt;""),'Moderator Analysis'!E9,NA())</f>
        <v>13</v>
      </c>
      <c r="FC9" s="39">
        <f>IF(AND(Include_study?="Yes",Sufficient_data="Yes",Moderator&lt;&gt;""),'Moderator Analysis'!F9,NA())</f>
        <v>1.0818051703517284</v>
      </c>
      <c r="FD9" s="39">
        <f t="shared" si="77"/>
        <v>0.51988699337039213</v>
      </c>
      <c r="FE9" s="39">
        <f t="shared" si="78"/>
        <v>3.6998327759197336</v>
      </c>
      <c r="FF9" s="39">
        <f>IF(AND(Include_study?="Yes",Sufficient_data="Yes",Moderator&lt;&gt;""),'Moderator Analysis'!F:F-FP$2,"")</f>
        <v>0.65886664037022924</v>
      </c>
      <c r="FG9" s="39">
        <f>IF(AND(Include_study?="Yes",Sufficient_data="Yes",Moderator&lt;&gt;""),'Moderator Analysis'!E:E-FP$3,"")</f>
        <v>-3.9341919734670689</v>
      </c>
      <c r="FH9" s="74">
        <f>IF(AND(Include_study?="Yes",Sufficient_data="Yes",Moderator&lt;&gt;""),FE:FE*('Moderator Analysis'!F:F-FP$5-FP$4*'Moderator Analysis'!E:E)^2,"")</f>
        <v>1.59358053100552</v>
      </c>
      <c r="FI9" s="128"/>
      <c r="FJ9" s="92">
        <f t="shared" si="79"/>
        <v>3.08638515761593</v>
      </c>
      <c r="FK9" s="137">
        <f>IF(AND(Include_study?="Yes",Sufficient_data="Yes",Moderator&lt;&gt;""),'Moderator Analysis'!F:F-'Moderator Analysis'!J$37,"")</f>
        <v>0.65886664037022924</v>
      </c>
      <c r="FL9" s="137">
        <f>IF(AND(Include_study?="Yes",Sufficient_data="Yes",Moderator&lt;&gt;""),'Moderator Analysis'!E:E-SUMPRODUCT('Moderator Analysis'!E:E,FJ:FJ)/SUM(FJ:FJ),"")</f>
        <v>-3.9180948142383265</v>
      </c>
      <c r="FM9" s="95">
        <f>IF(AND(Include_study?="Yes",Sufficient_data="Yes",Moderator&lt;&gt;""),FJ:FJ*('Moderator Analysis'!F:F-'Moderator Analysis'!J$29-'Moderator Analysis'!J$30*'Moderator Analysis'!E:E)^2,"")</f>
        <v>1.329358270020323</v>
      </c>
      <c r="FN9" s="21"/>
      <c r="FR9" s="196"/>
      <c r="FS9" s="182"/>
      <c r="FT9" s="130">
        <f>IF(AND(Include_study?="Yes",Sufficient_data="Yes"),IF(Additional_weighting_method="Inverse Variance",1/'Publication Bias Analysis'!F:F^2,IF(Additional_weighting_method="Mantel-Haenszel",Weightf_MH,Weightf_Peto)),"")</f>
        <v>3.6998327759197336</v>
      </c>
      <c r="FU9" s="39">
        <f>IF(AND(Include_study?="Yes",Sufficient_data="Yes"),1/('Publication Bias Analysis'!F:F^2+IF(Additional_model="Fixed effect",0,Calculations!GH$12)),"")</f>
        <v>3.6998327759197336</v>
      </c>
      <c r="FV9" s="39">
        <f>IF(AND(Include_study?="Yes",Sufficient_data="Yes"),1/('Publication Bias Analysis'!F:F^2+IF(Additional_model="Fixed effect",0,'Publication Bias Analysis'!L$32)),"")</f>
        <v>3.6998327759197336</v>
      </c>
      <c r="FW9" s="39">
        <f>IF(AND(Include_study?="Yes",Sufficient_data="Yes"),'Publication Bias Analysis'!E:E-'Publication Bias Analysis'!I$37,"")</f>
        <v>0.65886664037022924</v>
      </c>
      <c r="FX9" s="39">
        <f>IF(AND(Include_study?="Yes",Sufficient_data="Yes"),IF(Additional_model="Fixed effect",1/'Publication Bias Analysis'!F:F,1/SQRT('Publication Bias Analysis'!F:F^2+GH$12)),"")</f>
        <v>1.9234949378461419</v>
      </c>
      <c r="FY9" s="39">
        <f>IF(AND(Include_study?="Yes",Sufficient_data="Yes"),IF(Additional_model="Fixed effect",'Publication Bias Analysis'!E:E/'Publication Bias Analysis'!F:F,'Publication Bias Analysis'!E:E/SQRT('Publication Bias Analysis'!F:F^2+GH$12)),"")</f>
        <v>2.0808467689073327</v>
      </c>
      <c r="FZ9" s="136">
        <f t="shared" si="80"/>
        <v>10</v>
      </c>
      <c r="GA9" s="144">
        <f>IF(AND(Include_study?="Yes",Sufficient_data="Yes"),FZ:FZ+IF(GL:GL&lt;0,-1,1)*COUNTIF(FZ$2:FZ8,FZ:FZ),"")</f>
        <v>10</v>
      </c>
      <c r="GB9" s="144">
        <f>IF(AND(Include_study?="Yes",Sufficient_data="Yes"),RANK(GP:GP,GP:GP,1)*IF(GO:GO&lt;0,-1,1)+IF(GO:GO&lt;0,-1,1)*COUNTIF(FZ$2:FZ8,FZ:FZ),"")</f>
        <v>10</v>
      </c>
      <c r="GC9" s="144">
        <f>IF(AND(Include_study?="Yes",Sufficient_data="Yes"),RANK(GS:GS,GS:GS,1)*IF(GR:GR&lt;0,-1,1)+IF(GR:GR&lt;0,-1,1)*COUNTIF(FZ$2:FZ8,FZ:FZ),"")</f>
        <v>10</v>
      </c>
      <c r="GD9" s="39">
        <f>IF(AND(Include_study?="Yes",Sufficient_data="Yes"),'Publication Bias Analysis'!E9,NA())</f>
        <v>1.0818051703517284</v>
      </c>
      <c r="GE9" s="74">
        <f>IF(AND(Include_study?="Yes",Sufficient_data="Yes"),'Publication Bias Analysis'!F9,NA())</f>
        <v>0.51988699337039213</v>
      </c>
      <c r="GK9" s="176"/>
      <c r="GL9" s="130">
        <f>IF(AND(Include_study?="Yes",Sufficient_data="Yes"),IF('Publication Bias Analysis'!L$38="Left",'Publication Bias Analysis'!E:E-'Publication Bias Analysis'!I$29,'Publication Bias Analysis'!I$29-'Publication Bias Analysis'!E:E),"")</f>
        <v>0.65886664037022924</v>
      </c>
      <c r="GM9" s="39">
        <f t="shared" si="81"/>
        <v>0.65886664037022924</v>
      </c>
      <c r="GN9" s="74">
        <f>IF(AND(Include_study?="Yes",Sufficient_data="Yes"),IF(AND(Additional_weighting_method="Mantel-Haenszel",Additional_model="Fixed effect"),Weightf_MH,1/('Publication Bias Analysis'!F:F^2+IF(Additional_model="Fixed effect",0,GW$6))),"")</f>
        <v>3.6998327759197336</v>
      </c>
      <c r="GO9" s="39">
        <f>IF(AND(Include_study?="Yes",Sufficient_data="Yes"),IF('Publication Bias Analysis'!L$38="Left",'Publication Bias Analysis'!E:E-GW$3,GW$3-'Publication Bias Analysis'!E:E),"")</f>
        <v>0.65886664037022924</v>
      </c>
      <c r="GP9" s="39">
        <f t="shared" si="82"/>
        <v>0.65886664037022924</v>
      </c>
      <c r="GQ9" s="74">
        <f>IF(AND(Include_study?="Yes",Sufficient_data="Yes"),IF(AND(Additional_weighting_method="Mantel-Haenszel",Additional_model="Fixed effect"),Weightf_MH,1/('Publication Bias Analysis'!F:F^2+IF(Additional_model="Fixed effect",0,GW$13))),"")</f>
        <v>3.6998327759197336</v>
      </c>
      <c r="GR9" s="39">
        <f>IF(AND(Include_study?="Yes",Sufficient_data="Yes"),IF('Publication Bias Analysis'!L$38="Left",'Publication Bias Analysis'!E:E-GW$10,GW$10-'Publication Bias Analysis'!E:E),"")</f>
        <v>0.65886664037022924</v>
      </c>
      <c r="GS9" s="39">
        <f t="shared" si="83"/>
        <v>0.65886664037022924</v>
      </c>
      <c r="GT9" s="74">
        <f>IF(AND(Include_study?="Yes",Sufficient_data="Yes"),IF(AND(Additional_weighting_method="Mantel-Haenszel",Additional_model="Fixed effect"),Weightf_MH,1/('Publication Bias Analysis'!F:F^2+IF(Additional_model="Fixed effect",0,GW$20))),"")</f>
        <v>3.6998327759197336</v>
      </c>
      <c r="GV9" s="178" t="s">
        <v>17</v>
      </c>
      <c r="GW9" s="178"/>
      <c r="GY9" s="89">
        <v>8</v>
      </c>
      <c r="GZ9" s="7" t="str">
        <f>IF(Trim_and_fill="On",IF(GW$21&gt;(COUNT(GZ$2:GZ8)),IF(COUNTIF(GA:GA,-1*(MAX(GA:GA)-GY9+1))=1,"",MAX(GA:GA)-GY9+1),""),"")</f>
        <v/>
      </c>
      <c r="HA9" s="60" t="str">
        <f t="shared" si="84"/>
        <v/>
      </c>
      <c r="HB9" s="65" t="str">
        <f t="shared" si="85"/>
        <v/>
      </c>
      <c r="HC9" s="3" t="str">
        <f t="shared" si="86"/>
        <v/>
      </c>
      <c r="HD9" s="39" t="str">
        <f>IF(GZ9&lt;&gt;"",1/(HB9^2+'Publication Bias Analysis'!L$32),"")</f>
        <v/>
      </c>
      <c r="HE9" s="74" t="str">
        <f>IF(GZ9&lt;&gt;"",HA:HA-'Publication Bias Analysis'!I$37,"")</f>
        <v/>
      </c>
      <c r="HG9" s="89">
        <v>8</v>
      </c>
      <c r="HH9" s="3" t="e">
        <f t="shared" si="87"/>
        <v>#N/A</v>
      </c>
      <c r="HI9" s="74" t="e">
        <f t="shared" si="88"/>
        <v>#N/A</v>
      </c>
      <c r="HK9" s="176"/>
      <c r="HL9" s="66">
        <f t="shared" si="89"/>
        <v>-0.10673766570889009</v>
      </c>
      <c r="HM9" s="74">
        <f>IF(AND(Include_study?="Yes",Sufficient_data="Yes"),Z_score-('Publication Bias Analysis'!P$3+'Publication Bias Analysis'!P$4*Inverse_standard_error),"")</f>
        <v>1.2558183221233352</v>
      </c>
      <c r="HO9" s="176"/>
      <c r="HP9" s="64">
        <f>IF(AND(Include_study?="Yes",Sufficient_data="Yes"),(GD:GD-SUMPRODUCT(Calculations!FT:FT,'Publication Bias Analysis'!E:E)/SUM(Calculations!FT:FT))/SQRT(Calculations!HQ:HQ),"")</f>
        <v>1.3151828274436206</v>
      </c>
      <c r="HQ9" s="64">
        <f>IF(AND(Include_study?="Yes",Sufficient_data="Yes"),GE:GE^2-1/SUM(Calculations!FT:FT),"")</f>
        <v>0.25097055945846419</v>
      </c>
      <c r="HR9" s="7">
        <f t="shared" si="90"/>
        <v>1</v>
      </c>
      <c r="HS9" s="7">
        <f t="shared" si="91"/>
        <v>5</v>
      </c>
      <c r="HT9" s="7">
        <f>IF(AND(Include_study?="Yes",Sufficient_data="Yes"),COUNTIFS(HR$2:HR8,"&lt;"&amp;HR9,HS$2:HS8,"&lt;"&amp;HS9)+COUNTIFS(HR10:HR$201,"&lt;"&amp;HR9,HS10:HS$201,"&lt;"&amp;HS9)+COUNTIFS(HR$2:HR8,"&gt;"&amp;HR9,HS$2:HS8,"&gt;"&amp;HS9)+COUNTIFS(HR10:HR$201,"&gt;"&amp;HR9,HS10:HS$201,"&gt;"&amp;HS9),"")</f>
        <v>7</v>
      </c>
      <c r="HU9" s="104">
        <f>IF(AND(Include_study?="Yes",Sufficient_data="Yes"),COUNTIFS(HR$2:HR8,"&lt;"&amp;HR9,HS$2:HS8,"&gt;"&amp;HS9)+COUNTIFS(HR10:HR$201,"&lt;"&amp;HR9,HS10:HS$201,"&gt;"&amp;HS9)+COUNTIFS(HR$2:HR8,"&gt;"&amp;HR9,HS$2:HS8,"&lt;"&amp;HS9)+COUNTIFS(HR10:HR$201,"&gt;"&amp;HR9,HS10:HS$201,"&lt;"&amp;HS9),"")</f>
        <v>4</v>
      </c>
      <c r="HW9" s="176"/>
      <c r="HX9" s="32">
        <v>8</v>
      </c>
      <c r="HY9" s="3">
        <f t="shared" si="123"/>
        <v>1.25</v>
      </c>
      <c r="HZ9" s="74">
        <f>HZ8+HY14</f>
        <v>1.75</v>
      </c>
      <c r="IB9" s="176"/>
      <c r="IC9" s="146">
        <f t="shared" si="92"/>
        <v>0.23076923076923078</v>
      </c>
      <c r="ID9" s="137">
        <f t="shared" si="93"/>
        <v>9.2307692307692313E-2</v>
      </c>
      <c r="IE9" s="137">
        <f t="shared" si="94"/>
        <v>4.9367088607594933</v>
      </c>
      <c r="IF9" s="95">
        <f t="shared" si="95"/>
        <v>3.6998327759197336</v>
      </c>
      <c r="IK9" s="176"/>
      <c r="IL9" s="158">
        <f>IF(AND(Include_study?="Yes",Sufficient_data="Yes"),'Publication Bias Analysis'!AV:AV,NA())</f>
        <v>2.0808467689073327</v>
      </c>
      <c r="IM9" s="158">
        <f>IF(AND(Sufficient_data="Yes",Include_study?="Yes"),'Publication Bias Analysis'!AU:AU,NA())</f>
        <v>1.9234949378461419</v>
      </c>
      <c r="IN9" s="62">
        <f t="shared" si="96"/>
        <v>-0.10673766570889009</v>
      </c>
      <c r="IO9" s="74">
        <f>IF(AND(Include_study?="Yes",Sufficient_data="Yes"),Z_score-('Publication Bias Analysis'!AY$30+'Publication Bias Analysis'!AY$31*Inverse_standard_error),"")</f>
        <v>1.2673266474678302</v>
      </c>
      <c r="IQ9" s="50" t="s">
        <v>221</v>
      </c>
      <c r="IR9" s="3">
        <v>0</v>
      </c>
      <c r="IS9" s="3">
        <f>ABS(TINV((1-Additional_confidence_level),k_-1))</f>
        <v>2.2009851600916384</v>
      </c>
      <c r="IU9" s="176"/>
      <c r="IV9" s="7">
        <f>IF('Publication Bias Analysis'!BG:BG&lt;&gt;"",RANK('Publication Bias Analysis'!BG:BG,'Publication Bias Analysis'!BG:BG,1)+COUNTIF('Publication Bias Analysis'!BG$2:BG8,'Publication Bias Analysis'!BG9),"")</f>
        <v>12</v>
      </c>
      <c r="IW9" s="124">
        <f t="shared" si="97"/>
        <v>0.94594594594594583</v>
      </c>
      <c r="IX9" s="125">
        <f>IF('Publication Bias Analysis'!BF9&lt;&gt;"",'Publication Bias Analysis'!BF9,NA())</f>
        <v>1.6067550689692418</v>
      </c>
      <c r="IY9" s="125">
        <f>IF('Publication Bias Analysis'!BG9&lt;&gt;"",'Publication Bias Analysis'!BG9,NA())</f>
        <v>2.0808467689073327</v>
      </c>
      <c r="IZ9" s="62">
        <f>IF(AND(Include_study?="Yes",Sufficient_data="Yes"),'Publication Bias Analysis'!BF:BF-AVERAGE('Publication Bias Analysis'!BF:BF),"")</f>
        <v>1.606755068969242</v>
      </c>
      <c r="JA9" s="74">
        <f>IF(AND(Include_study?="Yes",Sufficient_data="Yes"),'Publication Bias Analysis'!BG:BG-('Publication Bias Analysis'!BJ$30+'Publication Bias Analysis'!BJ$31*'Publication Bias Analysis'!BF:BF),"")</f>
        <v>-0.50188397111119354</v>
      </c>
      <c r="JG9" s="176"/>
      <c r="JH9" s="39">
        <f t="shared" si="98"/>
        <v>2.0808467689073327</v>
      </c>
      <c r="JI9" s="148">
        <f t="shared" si="124"/>
        <v>1.8723966884586329E-2</v>
      </c>
      <c r="JJ9" s="74">
        <f t="shared" si="125"/>
        <v>-3.9779509241537423</v>
      </c>
    </row>
    <row r="10" spans="1:270" ht="13.5" x14ac:dyDescent="0.25">
      <c r="A10" s="2">
        <f t="shared" si="0"/>
        <v>9</v>
      </c>
      <c r="B10" s="7">
        <f>IF(AND(Include_study?="Yes",Sufficient_data="Yes"),IF(Input!a_&lt;&gt;"",Input!a_,Input!n1_-Input!b_),"")</f>
        <v>5</v>
      </c>
      <c r="C10" s="7">
        <f>IF(AND(Include_study?="Yes",Sufficient_data="Yes"),IF(Input!b_&lt;&gt;"",Input!b_,Input!n1_-Input!a_),"")</f>
        <v>35</v>
      </c>
      <c r="D10" s="7">
        <f>IF(AND(Include_study?="Yes",Sufficient_data="Yes"),IF(Input!c_&lt;&gt;"",Input!c_,Input!n2_-Input!d_),"")</f>
        <v>4</v>
      </c>
      <c r="E10" s="7">
        <f>IF(AND(Include_study?="Yes",Sufficient_data="Yes"),IF(Input!d_&lt;&gt;"",Input!d_,Input!n2_-Input!c_),"")</f>
        <v>36</v>
      </c>
      <c r="F10" s="74" t="str">
        <f t="shared" si="1"/>
        <v>No</v>
      </c>
      <c r="H10" s="196"/>
      <c r="I10" s="182"/>
      <c r="J10" s="146">
        <f t="shared" si="2"/>
        <v>1.2857142857142858</v>
      </c>
      <c r="K10" s="39">
        <f t="shared" si="3"/>
        <v>0.25131442828090617</v>
      </c>
      <c r="L10" s="39">
        <f t="shared" si="4"/>
        <v>0.71158218523878625</v>
      </c>
      <c r="M10" s="39">
        <f t="shared" si="5"/>
        <v>0.31181759940478032</v>
      </c>
      <c r="N10" s="74">
        <f t="shared" si="6"/>
        <v>5.3013724294115443</v>
      </c>
      <c r="P10" s="176"/>
      <c r="Q10" s="130">
        <f t="shared" si="7"/>
        <v>1.2805137260033423</v>
      </c>
      <c r="R10" s="39">
        <f t="shared" si="8"/>
        <v>0.70322307392874295</v>
      </c>
      <c r="S10" s="39">
        <f t="shared" si="9"/>
        <v>0.31576776716905719</v>
      </c>
      <c r="T10" s="74">
        <f t="shared" si="10"/>
        <v>5.1927890461507582</v>
      </c>
      <c r="V10" s="176"/>
      <c r="W10" s="130">
        <f t="shared" si="11"/>
        <v>2.4999999999999994E-2</v>
      </c>
      <c r="X10" s="39">
        <f t="shared" si="12"/>
        <v>7.0600106232214688E-2</v>
      </c>
      <c r="Y10" s="39">
        <f t="shared" si="13"/>
        <v>-0.11555401455019837</v>
      </c>
      <c r="Z10" s="74">
        <f t="shared" si="14"/>
        <v>0.16555401455019836</v>
      </c>
      <c r="AB10" s="176"/>
      <c r="AC10" s="130">
        <f t="shared" si="15"/>
        <v>1.25</v>
      </c>
      <c r="AD10" s="39">
        <f t="shared" si="16"/>
        <v>0.22314355131420976</v>
      </c>
      <c r="AE10" s="39">
        <f t="shared" si="17"/>
        <v>0.63245553203367588</v>
      </c>
      <c r="AF10" s="39">
        <f t="shared" si="18"/>
        <v>0.35487889420677338</v>
      </c>
      <c r="AG10" s="74">
        <f t="shared" si="19"/>
        <v>4.402910473141846</v>
      </c>
      <c r="AI10" s="196"/>
      <c r="AJ10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9</v>
      </c>
      <c r="AK10" s="136">
        <f>IF(AJ10&lt;&gt;"",IF(AJ10=0,COUNTIF(AJ$2:AJ9,0)+1,COUNTIF(AJ$2:AJ9,AJ10)+AJ10+COUNTIF(AJ:AJ,0)),"")</f>
        <v>9</v>
      </c>
      <c r="AL10" s="136">
        <f t="shared" si="20"/>
        <v>9</v>
      </c>
      <c r="AM10" s="155" t="str">
        <f>IF(AND(Include_study?="Yes",Sufficient_data="Yes",Input!Study_name&lt;&gt;""),Input!Study_name,"")</f>
        <v>iiii</v>
      </c>
      <c r="AN10" s="136">
        <f t="shared" si="21"/>
        <v>80</v>
      </c>
      <c r="AO10" s="19">
        <f t="shared" si="22"/>
        <v>1.2857142857142858</v>
      </c>
      <c r="AP10" s="158">
        <f t="shared" si="23"/>
        <v>1.974921630094044</v>
      </c>
      <c r="AQ10" s="158">
        <f t="shared" si="24"/>
        <v>1.8736491892648739</v>
      </c>
      <c r="AR10" s="39">
        <f t="shared" si="25"/>
        <v>0.71158218523878625</v>
      </c>
      <c r="AS10" s="158">
        <f t="shared" si="26"/>
        <v>0.31181759940478032</v>
      </c>
      <c r="AT10" s="39">
        <f t="shared" si="27"/>
        <v>5.3013724294115443</v>
      </c>
      <c r="AU10" s="172">
        <f t="shared" si="28"/>
        <v>4.1250171440869357E-2</v>
      </c>
      <c r="AW10" s="84">
        <f t="shared" si="29"/>
        <v>1.2857142857142858</v>
      </c>
      <c r="AX10" s="3">
        <f t="shared" si="30"/>
        <v>0.97389668630950554</v>
      </c>
      <c r="AY10" s="74">
        <f t="shared" si="31"/>
        <v>4.0156581436972587</v>
      </c>
      <c r="BD10" s="196"/>
      <c r="BE10" s="182"/>
      <c r="BF10" s="3">
        <f t="shared" si="32"/>
        <v>0.25131442828090617</v>
      </c>
      <c r="BG10" s="3">
        <f t="shared" si="33"/>
        <v>0.71158218523878625</v>
      </c>
      <c r="BH10" s="3">
        <f t="shared" si="34"/>
        <v>1.974921630094044</v>
      </c>
      <c r="BI10" s="39">
        <f t="shared" si="99"/>
        <v>1.8736491892648739</v>
      </c>
      <c r="BJ10" s="95">
        <f t="shared" si="35"/>
        <v>-0.17089498454192636</v>
      </c>
      <c r="BL10" s="3" t="str">
        <f>IF(Model_effect_size_measure="Risk Difference","SE Risk Difference","")</f>
        <v/>
      </c>
      <c r="BM10" s="3" t="str">
        <f>IF(Model_effect_size_measure="Risk Difference",IF(Meta_analysis_model="Fixed effect model",1/SQRT(SUM(Weightf)),SQRT(SUMPRODUCT(Weight,BJ:BJ,BJ:BJ)/((k_-1)*SUM(Weight)))),"")</f>
        <v/>
      </c>
      <c r="BO10" s="176"/>
      <c r="BP10" s="158">
        <f t="shared" si="36"/>
        <v>2.25</v>
      </c>
      <c r="BQ10" s="158">
        <f t="shared" si="37"/>
        <v>1.75</v>
      </c>
      <c r="BR10" s="158">
        <f t="shared" si="38"/>
        <v>1.153125</v>
      </c>
      <c r="BS10" s="158">
        <f>IF(AND(Sufficient_data="Yes",Include_study?="Yes"),IF(Add_0_5="Yes",(a_+d_+1)*(ab_+0.5)*(c_+0.5)/(Number_of_subjects+2)^2,(a_+d_)*b_*c_/Number_of_subjects^2),"")</f>
        <v>0.89687499999999998</v>
      </c>
      <c r="BT10" s="158">
        <f t="shared" si="39"/>
        <v>1.096875</v>
      </c>
      <c r="BU10" s="158">
        <f t="shared" si="40"/>
        <v>0.85312500000000002</v>
      </c>
      <c r="BV10" s="158">
        <f t="shared" si="41"/>
        <v>1.75</v>
      </c>
      <c r="BW10" s="3">
        <f t="shared" si="42"/>
        <v>5.9999856163760794E-2</v>
      </c>
      <c r="BX10" s="137">
        <f t="shared" si="43"/>
        <v>1.8564699219763039</v>
      </c>
      <c r="BY10" s="95">
        <f t="shared" si="44"/>
        <v>-0.17082851686475331</v>
      </c>
      <c r="CA10" s="3" t="s">
        <v>32</v>
      </c>
      <c r="CB10" s="19">
        <f>IF(Meta_analysis_model="Fixed effect model",SUMPRODUCT(Weightf_MH,OddsRatio)/SUM(Weightf_MH),EXP(SUMPRODUCT(Weight_MH,LogOddsRatio)/SUM(Weight_MH)))</f>
        <v>1.5252265328302042</v>
      </c>
      <c r="CD10" s="176"/>
      <c r="CE10" s="130">
        <f t="shared" si="45"/>
        <v>4.5</v>
      </c>
      <c r="CF10" s="39">
        <f t="shared" si="46"/>
        <v>2.0221518987341773</v>
      </c>
      <c r="CG10" s="137">
        <f t="shared" si="47"/>
        <v>0.24726134585289514</v>
      </c>
      <c r="CH10" s="137">
        <f t="shared" si="48"/>
        <v>0.49452269170579027</v>
      </c>
      <c r="CI10" s="39">
        <f t="shared" si="49"/>
        <v>2.0221518987341773</v>
      </c>
      <c r="CJ10" s="39">
        <f t="shared" si="50"/>
        <v>1.9285836674307899</v>
      </c>
      <c r="CK10" s="95">
        <f t="shared" si="51"/>
        <v>-0.17320412874494609</v>
      </c>
      <c r="CM10" s="3" t="s">
        <v>60</v>
      </c>
      <c r="CN10" s="3">
        <f>EXP(lnCES_PetoOddsRatio)</f>
        <v>1.5226701549663693</v>
      </c>
      <c r="CP10" s="176"/>
      <c r="CQ10" s="99">
        <f t="shared" si="52"/>
        <v>0.1</v>
      </c>
      <c r="CS10" s="2"/>
      <c r="CT10" s="2" t="s">
        <v>14</v>
      </c>
      <c r="CU10" s="2" t="s">
        <v>15</v>
      </c>
      <c r="CV10" s="2" t="s">
        <v>16</v>
      </c>
      <c r="CX10" s="196"/>
      <c r="CY10" s="89">
        <f t="shared" si="53"/>
        <v>11</v>
      </c>
      <c r="CZ10" s="136" t="str">
        <f t="shared" si="54"/>
        <v>iiii</v>
      </c>
      <c r="DA10" s="140" t="str">
        <f t="shared" si="55"/>
        <v>BB</v>
      </c>
      <c r="DB10" s="39">
        <f t="shared" si="56"/>
        <v>0.25131442828090617</v>
      </c>
      <c r="DC10" s="39">
        <f t="shared" si="57"/>
        <v>0.71158218523878625</v>
      </c>
      <c r="DD10" s="39">
        <f t="shared" si="58"/>
        <v>1.974921630094044</v>
      </c>
      <c r="DE10" s="39">
        <f t="shared" si="59"/>
        <v>1.7189008751203301</v>
      </c>
      <c r="DF10" s="141">
        <f t="shared" si="60"/>
        <v>0.12436157865011298</v>
      </c>
      <c r="DG10" s="39">
        <f t="shared" si="61"/>
        <v>1.2857142857142858</v>
      </c>
      <c r="DH10" s="39">
        <f t="shared" si="62"/>
        <v>0.31190566834891759</v>
      </c>
      <c r="DI10" s="39">
        <f t="shared" si="63"/>
        <v>5.2998755464763674</v>
      </c>
      <c r="DJ10" s="74">
        <f t="shared" si="64"/>
        <v>-8.6525652944701048E-2</v>
      </c>
      <c r="DK10" s="45"/>
      <c r="DL10" s="84">
        <f t="shared" si="65"/>
        <v>1.2857142857142858</v>
      </c>
      <c r="DM10" s="39">
        <f t="shared" si="100"/>
        <v>0.97380861736536817</v>
      </c>
      <c r="DN10" s="74">
        <f t="shared" si="101"/>
        <v>4.0141612607620818</v>
      </c>
      <c r="DP10" s="89" t="str">
        <f t="shared" si="102"/>
        <v/>
      </c>
      <c r="DQ10" s="26" t="str">
        <f>IF(AND(Sufficient_data="Yes",Subgroup&lt;&gt;""),IF(COUNTIFS(Input!J$2:J9,"="&amp;"Yes",Input!C$2:C9,"="&amp;"Yes",Input!K$2:K9,"="&amp;Subgroup)&gt;0,"",Subgroup),"")</f>
        <v/>
      </c>
      <c r="DR10" s="7" t="str">
        <f t="shared" si="103"/>
        <v/>
      </c>
      <c r="DS10" s="7" t="str">
        <f t="shared" si="66"/>
        <v/>
      </c>
      <c r="DT10" s="19" t="str">
        <f t="shared" si="67"/>
        <v/>
      </c>
      <c r="DU10" s="12" t="str">
        <f t="shared" si="104"/>
        <v/>
      </c>
      <c r="DV10" s="11" t="str">
        <f t="shared" si="105"/>
        <v/>
      </c>
      <c r="DW10" s="12" t="str">
        <f t="shared" si="68"/>
        <v/>
      </c>
      <c r="DX10" s="19" t="str">
        <f t="shared" si="69"/>
        <v/>
      </c>
      <c r="DY10" s="19" t="str">
        <f t="shared" si="106"/>
        <v/>
      </c>
      <c r="DZ10" s="19" t="str">
        <f t="shared" si="70"/>
        <v/>
      </c>
      <c r="EA10" s="19" t="str">
        <f t="shared" si="71"/>
        <v/>
      </c>
      <c r="EB10" s="7" t="str">
        <f t="shared" si="72"/>
        <v/>
      </c>
      <c r="EC10" s="19" t="str">
        <f t="shared" si="107"/>
        <v/>
      </c>
      <c r="ED10" s="19" t="str">
        <f t="shared" si="108"/>
        <v/>
      </c>
      <c r="EE10" s="19" t="str">
        <f t="shared" si="109"/>
        <v/>
      </c>
      <c r="EF10" s="19" t="str">
        <f t="shared" si="110"/>
        <v/>
      </c>
      <c r="EG10" s="19" t="str">
        <f t="shared" si="111"/>
        <v/>
      </c>
      <c r="EH10" s="19" t="str">
        <f t="shared" si="112"/>
        <v/>
      </c>
      <c r="EI10" s="19" t="str">
        <f t="shared" si="113"/>
        <v/>
      </c>
      <c r="EJ10" s="19" t="str">
        <f t="shared" si="114"/>
        <v/>
      </c>
      <c r="EK10" s="19" t="str">
        <f t="shared" si="73"/>
        <v/>
      </c>
      <c r="EL10" s="19" t="str">
        <f t="shared" si="115"/>
        <v/>
      </c>
      <c r="EM10" s="19" t="str">
        <f t="shared" si="116"/>
        <v/>
      </c>
      <c r="EN10" s="19" t="str">
        <f t="shared" si="117"/>
        <v/>
      </c>
      <c r="EO10" s="19" t="str">
        <f t="shared" si="118"/>
        <v/>
      </c>
      <c r="EP10" s="19" t="str">
        <f t="shared" si="74"/>
        <v/>
      </c>
      <c r="EQ10" s="19" t="e">
        <f t="shared" si="119"/>
        <v>#N/A</v>
      </c>
      <c r="ER10" s="11" t="str">
        <f t="shared" si="120"/>
        <v/>
      </c>
      <c r="ES10" s="19" t="str">
        <f t="shared" si="121"/>
        <v/>
      </c>
      <c r="ET10" s="156" t="str">
        <f t="shared" si="122"/>
        <v/>
      </c>
      <c r="EU10" s="39" t="str">
        <f t="shared" si="75"/>
        <v/>
      </c>
      <c r="EV10" s="74" t="str">
        <f t="shared" si="76"/>
        <v/>
      </c>
      <c r="EX10" s="2" t="str">
        <f>IF(Subgroup_effect_size_measure="Risk Difference","Standard Error","")</f>
        <v/>
      </c>
      <c r="EY10" s="3" t="str">
        <f>IF(Subgroup_valid_options="Yes",IF(Subgroup_effect_size_measure="Risk Difference",IF(Between_subgroup_weighting=EX38,1/SQRT(SUM(ES:ES)),SQRT(SUMPRODUCT(ET:ET,EV:EV,EV:EV)/((COUNT(DT:DT)-1)*SUM(ET:ET)))),""),"")</f>
        <v/>
      </c>
      <c r="FA10" s="196"/>
      <c r="FB10" s="84">
        <f>IF(AND(Include_study?="Yes",Sufficient_data="Yes",Moderator&lt;&gt;""),'Moderator Analysis'!E10,NA())</f>
        <v>19</v>
      </c>
      <c r="FC10" s="39">
        <f>IF(AND(Include_study?="Yes",Sufficient_data="Yes",Moderator&lt;&gt;""),'Moderator Analysis'!F10,NA())</f>
        <v>0.25131442828090617</v>
      </c>
      <c r="FD10" s="39">
        <f t="shared" si="77"/>
        <v>0.71158218523878625</v>
      </c>
      <c r="FE10" s="39">
        <f t="shared" si="78"/>
        <v>1.974921630094044</v>
      </c>
      <c r="FF10" s="39">
        <f>IF(AND(Include_study?="Yes",Sufficient_data="Yes",Moderator&lt;&gt;""),'Moderator Analysis'!F:F-FP$2,"")</f>
        <v>-0.17162410170059306</v>
      </c>
      <c r="FG10" s="39">
        <f>IF(AND(Include_study?="Yes",Sufficient_data="Yes",Moderator&lt;&gt;""),'Moderator Analysis'!E:E-FP$3,"")</f>
        <v>2.0658080265329311</v>
      </c>
      <c r="FH10" s="74">
        <f>IF(AND(Include_study?="Yes",Sufficient_data="Yes",Moderator&lt;&gt;""),FE:FE*('Moderator Analysis'!F:F-FP$5-FP$4*'Moderator Analysis'!E:E)^2,"")</f>
        <v>5.7257530247564734E-2</v>
      </c>
      <c r="FI10" s="128"/>
      <c r="FJ10" s="92">
        <f t="shared" si="79"/>
        <v>1.785489976495042</v>
      </c>
      <c r="FK10" s="137">
        <f>IF(AND(Include_study?="Yes",Sufficient_data="Yes",Moderator&lt;&gt;""),'Moderator Analysis'!F:F-'Moderator Analysis'!J$37,"")</f>
        <v>-0.17162410170059306</v>
      </c>
      <c r="FL10" s="137">
        <f>IF(AND(Include_study?="Yes",Sufficient_data="Yes",Moderator&lt;&gt;""),'Moderator Analysis'!E:E-SUMPRODUCT('Moderator Analysis'!E:E,FJ:FJ)/SUM(FJ:FJ),"")</f>
        <v>2.0819051857616735</v>
      </c>
      <c r="FM10" s="95">
        <f>IF(AND(Include_study?="Yes",Sufficient_data="Yes",Moderator&lt;&gt;""),FJ:FJ*('Moderator Analysis'!F:F-'Moderator Analysis'!J$29-'Moderator Analysis'!J$30*'Moderator Analysis'!E:E)^2,"")</f>
        <v>5.1765469970076833E-2</v>
      </c>
      <c r="FN10" s="21"/>
      <c r="FO10" s="1" t="s">
        <v>162</v>
      </c>
      <c r="FP10" s="1"/>
      <c r="FR10" s="196"/>
      <c r="FS10" s="182"/>
      <c r="FT10" s="130">
        <f>IF(AND(Include_study?="Yes",Sufficient_data="Yes"),IF(Additional_weighting_method="Inverse Variance",1/'Publication Bias Analysis'!F:F^2,IF(Additional_weighting_method="Mantel-Haenszel",Weightf_MH,Weightf_Peto)),"")</f>
        <v>1.974921630094044</v>
      </c>
      <c r="FU10" s="39">
        <f>IF(AND(Include_study?="Yes",Sufficient_data="Yes"),1/('Publication Bias Analysis'!F:F^2+IF(Additional_model="Fixed effect",0,Calculations!GH$12)),"")</f>
        <v>1.974921630094044</v>
      </c>
      <c r="FV10" s="39">
        <f>IF(AND(Include_study?="Yes",Sufficient_data="Yes"),1/('Publication Bias Analysis'!F:F^2+IF(Additional_model="Fixed effect",0,'Publication Bias Analysis'!L$32)),"")</f>
        <v>1.974921630094044</v>
      </c>
      <c r="FW10" s="39">
        <f>IF(AND(Include_study?="Yes",Sufficient_data="Yes"),'Publication Bias Analysis'!E:E-'Publication Bias Analysis'!I$37,"")</f>
        <v>-0.17162410170059306</v>
      </c>
      <c r="FX10" s="39">
        <f>IF(AND(Include_study?="Yes",Sufficient_data="Yes"),IF(Additional_model="Fixed effect",1/'Publication Bias Analysis'!F:F,1/SQRT('Publication Bias Analysis'!F:F^2+GH$12)),"")</f>
        <v>1.4053190492176657</v>
      </c>
      <c r="FY10" s="39">
        <f>IF(AND(Include_study?="Yes",Sufficient_data="Yes"),IF(Additional_model="Fixed effect",'Publication Bias Analysis'!E:E/'Publication Bias Analysis'!F:F,'Publication Bias Analysis'!E:E/SQRT('Publication Bias Analysis'!F:F^2+GH$12)),"")</f>
        <v>0.35317695340640431</v>
      </c>
      <c r="FZ10" s="136">
        <f t="shared" si="80"/>
        <v>-3</v>
      </c>
      <c r="GA10" s="144">
        <f>IF(AND(Include_study?="Yes",Sufficient_data="Yes"),FZ:FZ+IF(GL:GL&lt;0,-1,1)*COUNTIF(FZ$2:FZ9,FZ:FZ),"")</f>
        <v>-3</v>
      </c>
      <c r="GB10" s="144">
        <f>IF(AND(Include_study?="Yes",Sufficient_data="Yes"),RANK(GP:GP,GP:GP,1)*IF(GO:GO&lt;0,-1,1)+IF(GO:GO&lt;0,-1,1)*COUNTIF(FZ$2:FZ9,FZ:FZ),"")</f>
        <v>-3</v>
      </c>
      <c r="GC10" s="144">
        <f>IF(AND(Include_study?="Yes",Sufficient_data="Yes"),RANK(GS:GS,GS:GS,1)*IF(GR:GR&lt;0,-1,1)+IF(GR:GR&lt;0,-1,1)*COUNTIF(FZ$2:FZ9,FZ:FZ),"")</f>
        <v>-3</v>
      </c>
      <c r="GD10" s="39">
        <f>IF(AND(Include_study?="Yes",Sufficient_data="Yes"),'Publication Bias Analysis'!E10,NA())</f>
        <v>0.25131442828090617</v>
      </c>
      <c r="GE10" s="74">
        <f>IF(AND(Include_study?="Yes",Sufficient_data="Yes"),'Publication Bias Analysis'!F10,NA())</f>
        <v>0.71158218523878625</v>
      </c>
      <c r="GG10" s="178" t="s">
        <v>5</v>
      </c>
      <c r="GH10" s="178"/>
      <c r="GK10" s="176"/>
      <c r="GL10" s="130">
        <f>IF(AND(Include_study?="Yes",Sufficient_data="Yes"),IF('Publication Bias Analysis'!L$38="Left",'Publication Bias Analysis'!E:E-'Publication Bias Analysis'!I$29,'Publication Bias Analysis'!I$29-'Publication Bias Analysis'!E:E),"")</f>
        <v>-0.17162410170059306</v>
      </c>
      <c r="GM10" s="39">
        <f t="shared" si="81"/>
        <v>0.17162410170059306</v>
      </c>
      <c r="GN10" s="74">
        <f>IF(AND(Include_study?="Yes",Sufficient_data="Yes"),IF(AND(Additional_weighting_method="Mantel-Haenszel",Additional_model="Fixed effect"),Weightf_MH,1/('Publication Bias Analysis'!F:F^2+IF(Additional_model="Fixed effect",0,GW$6))),"")</f>
        <v>1.974921630094044</v>
      </c>
      <c r="GO10" s="39">
        <f>IF(AND(Include_study?="Yes",Sufficient_data="Yes"),IF('Publication Bias Analysis'!L$38="Left",'Publication Bias Analysis'!E:E-GW$3,GW$3-'Publication Bias Analysis'!E:E),"")</f>
        <v>-0.17162410170059306</v>
      </c>
      <c r="GP10" s="39">
        <f t="shared" si="82"/>
        <v>0.17162410170059306</v>
      </c>
      <c r="GQ10" s="74">
        <f>IF(AND(Include_study?="Yes",Sufficient_data="Yes"),IF(AND(Additional_weighting_method="Mantel-Haenszel",Additional_model="Fixed effect"),Weightf_MH,1/('Publication Bias Analysis'!F:F^2+IF(Additional_model="Fixed effect",0,GW$13))),"")</f>
        <v>1.974921630094044</v>
      </c>
      <c r="GR10" s="39">
        <f>IF(AND(Include_study?="Yes",Sufficient_data="Yes"),IF('Publication Bias Analysis'!L$38="Left",'Publication Bias Analysis'!E:E-GW$10,GW$10-'Publication Bias Analysis'!E:E),"")</f>
        <v>-0.17162410170059306</v>
      </c>
      <c r="GS10" s="39">
        <f t="shared" si="83"/>
        <v>0.17162410170059306</v>
      </c>
      <c r="GT10" s="74">
        <f>IF(AND(Include_study?="Yes",Sufficient_data="Yes"),IF(AND(Additional_weighting_method="Mantel-Haenszel",Additional_model="Fixed effect"),Weightf_MH,1/('Publication Bias Analysis'!F:F^2+IF(Additional_model="Fixed effect",0,GW$20))),"")</f>
        <v>1.974921630094044</v>
      </c>
      <c r="GV10" s="2" t="str">
        <f>GV3</f>
        <v>Log Odds Ratio</v>
      </c>
      <c r="GW10" s="19">
        <f>SUMPRODUCT(--(GB:GB&lt;=MAX(GB:GB)-GW14),GQ:GQ,'Publication Bias Analysis'!E:E)/SUMIF(GB:GB,"&lt;="&amp;MAX(GB:GB)-GW14,GQ:GQ)</f>
        <v>0.42293852998149922</v>
      </c>
      <c r="GY10" s="89">
        <v>9</v>
      </c>
      <c r="GZ10" s="7" t="str">
        <f>IF(Trim_and_fill="On",IF(GW$21&gt;(COUNT(GZ$2:GZ9)),IF(COUNTIF(GA:GA,-1*(MAX(GA:GA)-GY10+1))=1,"",MAX(GA:GA)-GY10+1),""),"")</f>
        <v/>
      </c>
      <c r="HA10" s="60" t="str">
        <f t="shared" si="84"/>
        <v/>
      </c>
      <c r="HB10" s="65" t="str">
        <f t="shared" si="85"/>
        <v/>
      </c>
      <c r="HC10" s="3" t="str">
        <f t="shared" si="86"/>
        <v/>
      </c>
      <c r="HD10" s="39" t="str">
        <f>IF(GZ10&lt;&gt;"",1/(HB10^2+'Publication Bias Analysis'!L$32),"")</f>
        <v/>
      </c>
      <c r="HE10" s="74" t="str">
        <f>IF(GZ10&lt;&gt;"",HA:HA-'Publication Bias Analysis'!I$37,"")</f>
        <v/>
      </c>
      <c r="HG10" s="89">
        <v>9</v>
      </c>
      <c r="HH10" s="3" t="e">
        <f t="shared" si="87"/>
        <v>#N/A</v>
      </c>
      <c r="HI10" s="74" t="e">
        <f t="shared" si="88"/>
        <v>#N/A</v>
      </c>
      <c r="HK10" s="176"/>
      <c r="HL10" s="66">
        <f t="shared" si="89"/>
        <v>-0.62491355433736628</v>
      </c>
      <c r="HM10" s="74">
        <f>IF(AND(Include_study?="Yes",Sufficient_data="Yes"),Z_score-('Publication Bias Analysis'!P$3+'Publication Bias Analysis'!P$4*Inverse_standard_error),"")</f>
        <v>-0.28222551213826397</v>
      </c>
      <c r="HO10" s="176"/>
      <c r="HP10" s="64">
        <f>IF(AND(Include_study?="Yes",Sufficient_data="Yes"),(GD:GD-SUMPRODUCT(Calculations!FT:FT,'Publication Bias Analysis'!E:E)/SUM(Calculations!FT:FT))/SQRT(Calculations!HQ:HQ),"")</f>
        <v>-0.24592188240976123</v>
      </c>
      <c r="HQ10" s="64">
        <f>IF(AND(Include_study?="Yes",Sufficient_data="Yes"),GE:GE^2-1/SUM(Calculations!FT:FT),"")</f>
        <v>0.48703727993196438</v>
      </c>
      <c r="HR10" s="7">
        <f t="shared" si="90"/>
        <v>9</v>
      </c>
      <c r="HS10" s="7">
        <f t="shared" si="91"/>
        <v>1</v>
      </c>
      <c r="HT10" s="7">
        <f>IF(AND(Include_study?="Yes",Sufficient_data="Yes"),COUNTIFS(HR$2:HR9,"&lt;"&amp;HR10,HS$2:HS9,"&lt;"&amp;HS10)+COUNTIFS(HR11:HR$201,"&lt;"&amp;HR10,HS11:HS$201,"&lt;"&amp;HS10)+COUNTIFS(HR$2:HR9,"&gt;"&amp;HR10,HS$2:HS9,"&gt;"&amp;HS10)+COUNTIFS(HR11:HR$201,"&gt;"&amp;HR10,HS11:HS$201,"&gt;"&amp;HS10),"")</f>
        <v>3</v>
      </c>
      <c r="HU10" s="104">
        <f>IF(AND(Include_study?="Yes",Sufficient_data="Yes"),COUNTIFS(HR$2:HR9,"&lt;"&amp;HR10,HS$2:HS9,"&gt;"&amp;HS10)+COUNTIFS(HR11:HR$201,"&lt;"&amp;HR10,HS11:HS$201,"&gt;"&amp;HS10)+COUNTIFS(HR$2:HR9,"&gt;"&amp;HR10,HS$2:HS9,"&lt;"&amp;HS10)+COUNTIFS(HR11:HR$201,"&gt;"&amp;HR10,HS11:HS$201,"&lt;"&amp;HS10),"")</f>
        <v>8</v>
      </c>
      <c r="HW10" s="176"/>
      <c r="HX10" s="101">
        <v>9</v>
      </c>
      <c r="HY10" s="71">
        <f t="shared" si="123"/>
        <v>1.75</v>
      </c>
      <c r="HZ10" s="78"/>
      <c r="IB10" s="176"/>
      <c r="IC10" s="146">
        <f t="shared" si="92"/>
        <v>0.125</v>
      </c>
      <c r="ID10" s="137">
        <f t="shared" si="93"/>
        <v>0.1</v>
      </c>
      <c r="IE10" s="137">
        <f t="shared" si="94"/>
        <v>2.5</v>
      </c>
      <c r="IF10" s="95">
        <f t="shared" si="95"/>
        <v>1.974921630094044</v>
      </c>
      <c r="IK10" s="176"/>
      <c r="IL10" s="158">
        <f>IF(AND(Include_study?="Yes",Sufficient_data="Yes"),'Publication Bias Analysis'!AV:AV,NA())</f>
        <v>0.35317695340640431</v>
      </c>
      <c r="IM10" s="158">
        <f>IF(AND(Sufficient_data="Yes",Include_study?="Yes"),'Publication Bias Analysis'!AU:AU,NA())</f>
        <v>1.4053190492176657</v>
      </c>
      <c r="IN10" s="62">
        <f t="shared" si="96"/>
        <v>-0.62491355433736628</v>
      </c>
      <c r="IO10" s="74">
        <f>IF(AND(Include_study?="Yes",Sufficient_data="Yes"),Z_score-('Publication Bias Analysis'!AY$30+'Publication Bias Analysis'!AY$31*Inverse_standard_error),"")</f>
        <v>-0.24118661942471342</v>
      </c>
      <c r="IQ10" s="2" t="s">
        <v>147</v>
      </c>
      <c r="IR10" s="3">
        <f>MAX(Inverse_standard_error)</f>
        <v>3.1724621556501278</v>
      </c>
      <c r="IS10" s="3">
        <f>IR10*'Publication Bias Analysis'!AY31+IS9</f>
        <v>3.5427416406242416</v>
      </c>
      <c r="IU10" s="176"/>
      <c r="IV10" s="7">
        <f>IF('Publication Bias Analysis'!BG:BG&lt;&gt;"",RANK('Publication Bias Analysis'!BG:BG,'Publication Bias Analysis'!BG:BG,1)+COUNTIF('Publication Bias Analysis'!BG$2:BG9,'Publication Bias Analysis'!BG10),"")</f>
        <v>4</v>
      </c>
      <c r="IW10" s="124">
        <f t="shared" si="97"/>
        <v>0.29729729729729726</v>
      </c>
      <c r="IX10" s="125">
        <f>IF('Publication Bias Analysis'!BF10&lt;&gt;"",'Publication Bias Analysis'!BF10,NA())</f>
        <v>-0.53218973091930433</v>
      </c>
      <c r="IY10" s="125">
        <f>IF('Publication Bias Analysis'!BG10&lt;&gt;"",'Publication Bias Analysis'!BG10,NA())</f>
        <v>0.35317695340640431</v>
      </c>
      <c r="IZ10" s="62">
        <f>IF(AND(Include_study?="Yes",Sufficient_data="Yes"),'Publication Bias Analysis'!BF:BF-AVERAGE('Publication Bias Analysis'!BF:BF),"")</f>
        <v>-0.53218973091930422</v>
      </c>
      <c r="JA10" s="74">
        <f>IF(AND(Include_study?="Yes",Sufficient_data="Yes"),'Publication Bias Analysis'!BG:BG-('Publication Bias Analysis'!BJ$30+'Publication Bias Analysis'!BJ$31*'Publication Bias Analysis'!BF:BF),"")</f>
        <v>5.8336815435011791E-2</v>
      </c>
      <c r="JG10" s="176"/>
      <c r="JH10" s="39">
        <f t="shared" si="98"/>
        <v>0.35317695340640431</v>
      </c>
      <c r="JI10" s="148">
        <f t="shared" si="124"/>
        <v>0.36197789226392085</v>
      </c>
      <c r="JJ10" s="74">
        <f t="shared" si="125"/>
        <v>-1.0161721401154225</v>
      </c>
    </row>
    <row r="11" spans="1:270" ht="13.5" customHeight="1" x14ac:dyDescent="0.25">
      <c r="A11" s="2">
        <f t="shared" si="0"/>
        <v>10</v>
      </c>
      <c r="B11" s="7">
        <f>IF(AND(Include_study?="Yes",Sufficient_data="Yes"),IF(Input!a_&lt;&gt;"",Input!a_,Input!n1_-Input!b_),"")</f>
        <v>10</v>
      </c>
      <c r="C11" s="7">
        <f>IF(AND(Include_study?="Yes",Sufficient_data="Yes"),IF(Input!b_&lt;&gt;"",Input!b_,Input!n1_-Input!a_),"")</f>
        <v>110</v>
      </c>
      <c r="D11" s="7">
        <f>IF(AND(Include_study?="Yes",Sufficient_data="Yes"),IF(Input!c_&lt;&gt;"",Input!c_,Input!n2_-Input!d_),"")</f>
        <v>5</v>
      </c>
      <c r="E11" s="7">
        <f>IF(AND(Include_study?="Yes",Sufficient_data="Yes"),IF(Input!d_&lt;&gt;"",Input!d_,Input!n2_-Input!c_),"")</f>
        <v>115</v>
      </c>
      <c r="F11" s="74" t="str">
        <f t="shared" si="1"/>
        <v>No</v>
      </c>
      <c r="H11" s="196"/>
      <c r="I11" s="182"/>
      <c r="J11" s="146">
        <f t="shared" si="2"/>
        <v>2.0909090909090908</v>
      </c>
      <c r="K11" s="39">
        <f t="shared" si="3"/>
        <v>0.73759894313077912</v>
      </c>
      <c r="L11" s="39">
        <f t="shared" si="4"/>
        <v>0.56372560813291261</v>
      </c>
      <c r="M11" s="39">
        <f t="shared" si="5"/>
        <v>0.68871337731295834</v>
      </c>
      <c r="N11" s="74">
        <f t="shared" si="6"/>
        <v>6.3479249430342417</v>
      </c>
      <c r="P11" s="176"/>
      <c r="Q11" s="130">
        <f t="shared" si="7"/>
        <v>2.0302280936552402</v>
      </c>
      <c r="R11" s="39">
        <f t="shared" si="8"/>
        <v>0.53222106239725164</v>
      </c>
      <c r="S11" s="39">
        <f t="shared" si="9"/>
        <v>0.71154436130966492</v>
      </c>
      <c r="T11" s="74">
        <f t="shared" si="10"/>
        <v>5.7927886670064792</v>
      </c>
      <c r="V11" s="176"/>
      <c r="W11" s="130">
        <f t="shared" si="11"/>
        <v>4.1666666666666664E-2</v>
      </c>
      <c r="X11" s="39">
        <f t="shared" si="12"/>
        <v>3.1134044127027631E-2</v>
      </c>
      <c r="Y11" s="39">
        <f t="shared" si="13"/>
        <v>-1.9666825203147789E-2</v>
      </c>
      <c r="Z11" s="74">
        <f t="shared" si="14"/>
        <v>0.10300015853648112</v>
      </c>
      <c r="AB11" s="176"/>
      <c r="AC11" s="130">
        <f t="shared" si="15"/>
        <v>2</v>
      </c>
      <c r="AD11" s="39">
        <f t="shared" si="16"/>
        <v>0.69314718055994529</v>
      </c>
      <c r="AE11" s="39">
        <f t="shared" si="17"/>
        <v>0.53229064742237708</v>
      </c>
      <c r="AF11" s="39">
        <f t="shared" si="18"/>
        <v>0.70085408713741681</v>
      </c>
      <c r="AG11" s="74">
        <f t="shared" si="19"/>
        <v>5.7073220709002133</v>
      </c>
      <c r="AI11" s="196"/>
      <c r="AJ11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10</v>
      </c>
      <c r="AK11" s="136">
        <f>IF(AJ11&lt;&gt;"",IF(AJ11=0,COUNTIF(AJ$2:AJ10,0)+1,COUNTIF(AJ$2:AJ10,AJ11)+AJ11+COUNTIF(AJ:AJ,0)),"")</f>
        <v>10</v>
      </c>
      <c r="AL11" s="136">
        <f t="shared" si="20"/>
        <v>10</v>
      </c>
      <c r="AM11" s="155" t="str">
        <f>IF(AND(Include_study?="Yes",Sufficient_data="Yes",Input!Study_name&lt;&gt;""),Input!Study_name,"")</f>
        <v>jjjj</v>
      </c>
      <c r="AN11" s="136">
        <f t="shared" si="21"/>
        <v>240</v>
      </c>
      <c r="AO11" s="19">
        <f t="shared" si="22"/>
        <v>2.0909090909090908</v>
      </c>
      <c r="AP11" s="158">
        <f t="shared" si="23"/>
        <v>3.1467661691542288</v>
      </c>
      <c r="AQ11" s="158">
        <f t="shared" si="24"/>
        <v>2.8972474178752647</v>
      </c>
      <c r="AR11" s="39">
        <f t="shared" si="25"/>
        <v>0.56372560813291261</v>
      </c>
      <c r="AS11" s="158">
        <f t="shared" si="26"/>
        <v>0.68871337731295834</v>
      </c>
      <c r="AT11" s="39">
        <f t="shared" si="27"/>
        <v>6.3479249430342417</v>
      </c>
      <c r="AU11" s="172">
        <f t="shared" si="28"/>
        <v>6.3785661360044266E-2</v>
      </c>
      <c r="AW11" s="84">
        <f t="shared" si="29"/>
        <v>2.0909090909090908</v>
      </c>
      <c r="AX11" s="3">
        <f t="shared" si="30"/>
        <v>1.4021957135961325</v>
      </c>
      <c r="AY11" s="74">
        <f t="shared" si="31"/>
        <v>4.2570158521251509</v>
      </c>
      <c r="BD11" s="196"/>
      <c r="BE11" s="182"/>
      <c r="BF11" s="3">
        <f t="shared" si="32"/>
        <v>0.73759894313077912</v>
      </c>
      <c r="BG11" s="3">
        <f t="shared" si="33"/>
        <v>0.56372560813291261</v>
      </c>
      <c r="BH11" s="3">
        <f t="shared" si="34"/>
        <v>3.1467661691542288</v>
      </c>
      <c r="BI11" s="39">
        <f t="shared" si="99"/>
        <v>2.8972474178752647</v>
      </c>
      <c r="BJ11" s="95">
        <f t="shared" si="35"/>
        <v>0.31538953030794659</v>
      </c>
      <c r="BL11" s="3" t="s">
        <v>33</v>
      </c>
      <c r="BM11" s="3">
        <f>IF(Model_effect_size_measure="Risk Difference",CES_IV-ABS(TINV((1-Confidence_level),k_-1))*SECES_Risk_Difference,EXP(CIlnCES_LL))</f>
        <v>1.0994099860668898</v>
      </c>
      <c r="BO11" s="176"/>
      <c r="BP11" s="158">
        <f t="shared" si="36"/>
        <v>4.791666666666667</v>
      </c>
      <c r="BQ11" s="158">
        <f t="shared" si="37"/>
        <v>2.2916666666666665</v>
      </c>
      <c r="BR11" s="158">
        <f t="shared" si="38"/>
        <v>2.4956597222222223</v>
      </c>
      <c r="BS11" s="158">
        <f>IF(AND(Sufficient_data="Yes",Include_study?="Yes"),IF(Add_0_5="Yes",(a_+d_+1)*(ab_+0.5)*(c_+0.5)/(Number_of_subjects+2)^2,(a_+d_)*b_*c_/Number_of_subjects^2),"")</f>
        <v>1.1935763888888888</v>
      </c>
      <c r="BT11" s="158">
        <f t="shared" si="39"/>
        <v>2.2960069444444446</v>
      </c>
      <c r="BU11" s="158">
        <f t="shared" si="40"/>
        <v>1.0980902777777777</v>
      </c>
      <c r="BV11" s="158">
        <f t="shared" si="41"/>
        <v>2.2916666666666665</v>
      </c>
      <c r="BW11" s="3">
        <f t="shared" si="42"/>
        <v>0.30628620623962199</v>
      </c>
      <c r="BX11" s="137">
        <f t="shared" si="43"/>
        <v>2.8563751003958884</v>
      </c>
      <c r="BY11" s="95">
        <f t="shared" si="44"/>
        <v>0.31545599798511964</v>
      </c>
      <c r="CA11" s="3" t="s">
        <v>33</v>
      </c>
      <c r="CB11" s="19">
        <f>EXP(CIlnCES_LL_MH)</f>
        <v>1.0986714764158703</v>
      </c>
      <c r="CD11" s="176"/>
      <c r="CE11" s="130">
        <f t="shared" si="45"/>
        <v>7.5</v>
      </c>
      <c r="CF11" s="39">
        <f t="shared" si="46"/>
        <v>3.5303347280334729</v>
      </c>
      <c r="CG11" s="137">
        <f t="shared" si="47"/>
        <v>0.70814814814814808</v>
      </c>
      <c r="CH11" s="137">
        <f t="shared" si="48"/>
        <v>0.28325925925925927</v>
      </c>
      <c r="CI11" s="39">
        <f t="shared" si="49"/>
        <v>3.5303347280334729</v>
      </c>
      <c r="CJ11" s="39">
        <f t="shared" si="50"/>
        <v>3.2546595806141077</v>
      </c>
      <c r="CK11" s="95">
        <f t="shared" si="51"/>
        <v>0.28768267355030686</v>
      </c>
      <c r="CM11" s="3" t="s">
        <v>33</v>
      </c>
      <c r="CN11" s="3">
        <f>EXP(CIlnCES_LL_Peto)</f>
        <v>1.1108499980708</v>
      </c>
      <c r="CP11" s="176"/>
      <c r="CQ11" s="99">
        <f t="shared" si="52"/>
        <v>4.1666666666666664E-2</v>
      </c>
      <c r="CS11" s="2" t="s">
        <v>47</v>
      </c>
      <c r="CT11" s="3">
        <f>IF(Weighting_method="Inverse variance",IF(Model_effect_size_measure="Risk Ratio",CES_IV,IF(Model_effect_size_measure="Odds Ratio",CES_IV/(1-MEDIAN(Control_group_risk)+(MEDIAN(Control_group_risk)*CES_IV)),NA())),NA())</f>
        <v>1.4139127398363633</v>
      </c>
      <c r="CU11" s="3">
        <f>IF(Model_effect_size_measure="Odds Ratio",CES_OddsRatio_MH/(1-MEDIAN(Control_group_risk)+(MEDIAN(Control_group_risk)*CES_OddsRatio_MH)),NA())</f>
        <v>1.4138386935787697</v>
      </c>
      <c r="CV11" s="3" t="e">
        <f>IF(Model_effect_size_measure="Peto Odds Ratio",CES_PetoOddsRatio/(1-MEDIAN(Control_group_risk)+(MEDIAN(Control_group_risk)*CES_PetoOddsRatio)),NA())</f>
        <v>#N/A</v>
      </c>
      <c r="CX11" s="196"/>
      <c r="CY11" s="89">
        <f t="shared" si="53"/>
        <v>7</v>
      </c>
      <c r="CZ11" s="136" t="str">
        <f t="shared" si="54"/>
        <v>jjjj</v>
      </c>
      <c r="DA11" s="140" t="str">
        <f t="shared" si="55"/>
        <v>AA</v>
      </c>
      <c r="DB11" s="39">
        <f t="shared" si="56"/>
        <v>0.73759894313077912</v>
      </c>
      <c r="DC11" s="39">
        <f t="shared" si="57"/>
        <v>0.56372560813291261</v>
      </c>
      <c r="DD11" s="39">
        <f t="shared" si="58"/>
        <v>3.1467661691542288</v>
      </c>
      <c r="DE11" s="39">
        <f t="shared" si="59"/>
        <v>2.8116303565640703</v>
      </c>
      <c r="DF11" s="141">
        <f t="shared" si="60"/>
        <v>0.10080471868986911</v>
      </c>
      <c r="DG11" s="39">
        <f t="shared" si="61"/>
        <v>2.0909090909090908</v>
      </c>
      <c r="DH11" s="39">
        <f t="shared" si="62"/>
        <v>0.68872973180473718</v>
      </c>
      <c r="DI11" s="39">
        <f t="shared" si="63"/>
        <v>6.3477742059867479</v>
      </c>
      <c r="DJ11" s="74">
        <f t="shared" si="64"/>
        <v>0.27036533644223887</v>
      </c>
      <c r="DK11" s="45"/>
      <c r="DL11" s="84">
        <f t="shared" si="65"/>
        <v>2.0909090909090908</v>
      </c>
      <c r="DM11" s="39">
        <f t="shared" si="100"/>
        <v>1.4021793591043537</v>
      </c>
      <c r="DN11" s="74">
        <f t="shared" si="101"/>
        <v>4.2568651150776571</v>
      </c>
      <c r="DP11" s="89" t="str">
        <f t="shared" si="102"/>
        <v/>
      </c>
      <c r="DQ11" s="26" t="str">
        <f>IF(AND(Sufficient_data="Yes",Subgroup&lt;&gt;""),IF(COUNTIFS(Input!J$2:J10,"="&amp;"Yes",Input!C$2:C10,"="&amp;"Yes",Input!K$2:K10,"="&amp;Subgroup)&gt;0,"",Subgroup),"")</f>
        <v/>
      </c>
      <c r="DR11" s="7" t="str">
        <f t="shared" si="103"/>
        <v/>
      </c>
      <c r="DS11" s="7" t="str">
        <f t="shared" si="66"/>
        <v/>
      </c>
      <c r="DT11" s="19" t="str">
        <f t="shared" si="67"/>
        <v/>
      </c>
      <c r="DU11" s="12" t="str">
        <f t="shared" si="104"/>
        <v/>
      </c>
      <c r="DV11" s="11" t="str">
        <f t="shared" si="105"/>
        <v/>
      </c>
      <c r="DW11" s="12" t="str">
        <f t="shared" si="68"/>
        <v/>
      </c>
      <c r="DX11" s="19" t="str">
        <f t="shared" si="69"/>
        <v/>
      </c>
      <c r="DY11" s="19" t="str">
        <f t="shared" si="106"/>
        <v/>
      </c>
      <c r="DZ11" s="19" t="str">
        <f t="shared" si="70"/>
        <v/>
      </c>
      <c r="EA11" s="19" t="str">
        <f t="shared" si="71"/>
        <v/>
      </c>
      <c r="EB11" s="7" t="str">
        <f t="shared" si="72"/>
        <v/>
      </c>
      <c r="EC11" s="19" t="str">
        <f t="shared" si="107"/>
        <v/>
      </c>
      <c r="ED11" s="19" t="str">
        <f t="shared" si="108"/>
        <v/>
      </c>
      <c r="EE11" s="19" t="str">
        <f t="shared" si="109"/>
        <v/>
      </c>
      <c r="EF11" s="19" t="str">
        <f t="shared" si="110"/>
        <v/>
      </c>
      <c r="EG11" s="19" t="str">
        <f t="shared" si="111"/>
        <v/>
      </c>
      <c r="EH11" s="19" t="str">
        <f t="shared" si="112"/>
        <v/>
      </c>
      <c r="EI11" s="19" t="str">
        <f t="shared" si="113"/>
        <v/>
      </c>
      <c r="EJ11" s="19" t="str">
        <f t="shared" si="114"/>
        <v/>
      </c>
      <c r="EK11" s="19" t="str">
        <f t="shared" si="73"/>
        <v/>
      </c>
      <c r="EL11" s="19" t="str">
        <f t="shared" si="115"/>
        <v/>
      </c>
      <c r="EM11" s="19" t="str">
        <f t="shared" si="116"/>
        <v/>
      </c>
      <c r="EN11" s="19" t="str">
        <f t="shared" si="117"/>
        <v/>
      </c>
      <c r="EO11" s="19" t="str">
        <f t="shared" si="118"/>
        <v/>
      </c>
      <c r="EP11" s="19" t="str">
        <f t="shared" si="74"/>
        <v/>
      </c>
      <c r="EQ11" s="19" t="e">
        <f t="shared" si="119"/>
        <v>#N/A</v>
      </c>
      <c r="ER11" s="11" t="str">
        <f t="shared" si="120"/>
        <v/>
      </c>
      <c r="ES11" s="19" t="str">
        <f t="shared" si="121"/>
        <v/>
      </c>
      <c r="ET11" s="156" t="str">
        <f t="shared" si="122"/>
        <v/>
      </c>
      <c r="EU11" s="39" t="str">
        <f t="shared" si="75"/>
        <v/>
      </c>
      <c r="EV11" s="74" t="str">
        <f t="shared" si="76"/>
        <v/>
      </c>
      <c r="EX11" s="2" t="s">
        <v>211</v>
      </c>
      <c r="EY11" s="3">
        <f>IF(Subgroup_valid_options="Yes",IF(Subgroup_effect_size_measure="Risk Difference",EY9-ABS(TINV((1-Subgroup_confidence_level),Subgroup_k-1))*EY10,EXP(EY4)),"")</f>
        <v>1.3335147136573267</v>
      </c>
      <c r="FA11" s="196"/>
      <c r="FB11" s="84">
        <f>IF(AND(Include_study?="Yes",Sufficient_data="Yes",Moderator&lt;&gt;""),'Moderator Analysis'!E11,NA())</f>
        <v>22</v>
      </c>
      <c r="FC11" s="39">
        <f>IF(AND(Include_study?="Yes",Sufficient_data="Yes",Moderator&lt;&gt;""),'Moderator Analysis'!F11,NA())</f>
        <v>0.73759894313077912</v>
      </c>
      <c r="FD11" s="39">
        <f t="shared" si="77"/>
        <v>0.56372560813291261</v>
      </c>
      <c r="FE11" s="39">
        <f t="shared" si="78"/>
        <v>3.1467661691542288</v>
      </c>
      <c r="FF11" s="39">
        <f>IF(AND(Include_study?="Yes",Sufficient_data="Yes",Moderator&lt;&gt;""),'Moderator Analysis'!F:F-FP$2,"")</f>
        <v>0.31466041314927989</v>
      </c>
      <c r="FG11" s="39">
        <f>IF(AND(Include_study?="Yes",Sufficient_data="Yes",Moderator&lt;&gt;""),'Moderator Analysis'!E:E-FP$3,"")</f>
        <v>5.0658080265329311</v>
      </c>
      <c r="FH11" s="74">
        <f>IF(AND(Include_study?="Yes",Sufficient_data="Yes",Moderator&lt;&gt;""),FE:FE*('Moderator Analysis'!F:F-FP$5-FP$4*'Moderator Analysis'!E:E)^2,"")</f>
        <v>0.31816925756178988</v>
      </c>
      <c r="FI11" s="128"/>
      <c r="FJ11" s="92">
        <f t="shared" si="79"/>
        <v>2.6917341977683455</v>
      </c>
      <c r="FK11" s="137">
        <f>IF(AND(Include_study?="Yes",Sufficient_data="Yes",Moderator&lt;&gt;""),'Moderator Analysis'!F:F-'Moderator Analysis'!J$37,"")</f>
        <v>0.31466041314927989</v>
      </c>
      <c r="FL11" s="137">
        <f>IF(AND(Include_study?="Yes",Sufficient_data="Yes",Moderator&lt;&gt;""),'Moderator Analysis'!E:E-SUMPRODUCT('Moderator Analysis'!E:E,FJ:FJ)/SUM(FJ:FJ),"")</f>
        <v>5.0819051857616735</v>
      </c>
      <c r="FM11" s="95">
        <f>IF(AND(Include_study?="Yes",Sufficient_data="Yes",Moderator&lt;&gt;""),FJ:FJ*('Moderator Analysis'!F:F-'Moderator Analysis'!J$29-'Moderator Analysis'!J$30*'Moderator Analysis'!E:E)^2,"")</f>
        <v>0.27216101394906689</v>
      </c>
      <c r="FN11" s="21"/>
      <c r="FO11" s="2" t="s">
        <v>68</v>
      </c>
      <c r="FP11" s="2" t="s">
        <v>69</v>
      </c>
      <c r="FR11" s="196"/>
      <c r="FS11" s="182"/>
      <c r="FT11" s="130">
        <f>IF(AND(Include_study?="Yes",Sufficient_data="Yes"),IF(Additional_weighting_method="Inverse Variance",1/'Publication Bias Analysis'!F:F^2,IF(Additional_weighting_method="Mantel-Haenszel",Weightf_MH,Weightf_Peto)),"")</f>
        <v>3.1467661691542288</v>
      </c>
      <c r="FU11" s="39">
        <f>IF(AND(Include_study?="Yes",Sufficient_data="Yes"),1/('Publication Bias Analysis'!F:F^2+IF(Additional_model="Fixed effect",0,Calculations!GH$12)),"")</f>
        <v>3.1467661691542288</v>
      </c>
      <c r="FV11" s="39">
        <f>IF(AND(Include_study?="Yes",Sufficient_data="Yes"),1/('Publication Bias Analysis'!F:F^2+IF(Additional_model="Fixed effect",0,'Publication Bias Analysis'!L$32)),"")</f>
        <v>3.1467661691542288</v>
      </c>
      <c r="FW11" s="39">
        <f>IF(AND(Include_study?="Yes",Sufficient_data="Yes"),'Publication Bias Analysis'!E:E-'Publication Bias Analysis'!I$37,"")</f>
        <v>0.31466041314927989</v>
      </c>
      <c r="FX11" s="39">
        <f>IF(AND(Include_study?="Yes",Sufficient_data="Yes"),IF(Additional_model="Fixed effect",1/'Publication Bias Analysis'!F:F,1/SQRT('Publication Bias Analysis'!F:F^2+GH$12)),"")</f>
        <v>1.7739126723585432</v>
      </c>
      <c r="FY11" s="39">
        <f>IF(AND(Include_study?="Yes",Sufficient_data="Yes"),IF(Additional_model="Fixed effect",'Publication Bias Analysis'!E:E/'Publication Bias Analysis'!F:F,'Publication Bias Analysis'!E:E/SQRT('Publication Bias Analysis'!F:F^2+GH$12)),"")</f>
        <v>1.3084361123379575</v>
      </c>
      <c r="FZ11" s="136">
        <f t="shared" si="80"/>
        <v>6</v>
      </c>
      <c r="GA11" s="144">
        <f>IF(AND(Include_study?="Yes",Sufficient_data="Yes"),FZ:FZ+IF(GL:GL&lt;0,-1,1)*COUNTIF(FZ$2:FZ10,FZ:FZ),"")</f>
        <v>6</v>
      </c>
      <c r="GB11" s="144">
        <f>IF(AND(Include_study?="Yes",Sufficient_data="Yes"),RANK(GP:GP,GP:GP,1)*IF(GO:GO&lt;0,-1,1)+IF(GO:GO&lt;0,-1,1)*COUNTIF(FZ$2:FZ10,FZ:FZ),"")</f>
        <v>6</v>
      </c>
      <c r="GC11" s="144">
        <f>IF(AND(Include_study?="Yes",Sufficient_data="Yes"),RANK(GS:GS,GS:GS,1)*IF(GR:GR&lt;0,-1,1)+IF(GR:GR&lt;0,-1,1)*COUNTIF(FZ$2:FZ10,FZ:FZ),"")</f>
        <v>6</v>
      </c>
      <c r="GD11" s="39">
        <f>IF(AND(Include_study?="Yes",Sufficient_data="Yes"),'Publication Bias Analysis'!E11,NA())</f>
        <v>0.73759894313077912</v>
      </c>
      <c r="GE11" s="74">
        <f>IF(AND(Include_study?="Yes",Sufficient_data="Yes"),'Publication Bias Analysis'!F11,NA())</f>
        <v>0.56372560813291261</v>
      </c>
      <c r="GG11" s="48" t="s">
        <v>6</v>
      </c>
      <c r="GH11" s="49">
        <f>SUMPRODUCT(Calculations!FT:FT,'Publication Bias Analysis'!E:E,'Publication Bias Analysis'!E:E)-SUMPRODUCT(Calculations!FT:FT,'Publication Bias Analysis'!E:E)^2/SUM(Calculations!FT:FT)</f>
        <v>12.273195457938824</v>
      </c>
      <c r="GK11" s="176"/>
      <c r="GL11" s="130">
        <f>IF(AND(Include_study?="Yes",Sufficient_data="Yes"),IF('Publication Bias Analysis'!L$38="Left",'Publication Bias Analysis'!E:E-'Publication Bias Analysis'!I$29,'Publication Bias Analysis'!I$29-'Publication Bias Analysis'!E:E),"")</f>
        <v>0.31466041314927989</v>
      </c>
      <c r="GM11" s="39">
        <f t="shared" si="81"/>
        <v>0.31466041314927989</v>
      </c>
      <c r="GN11" s="74">
        <f>IF(AND(Include_study?="Yes",Sufficient_data="Yes"),IF(AND(Additional_weighting_method="Mantel-Haenszel",Additional_model="Fixed effect"),Weightf_MH,1/('Publication Bias Analysis'!F:F^2+IF(Additional_model="Fixed effect",0,GW$6))),"")</f>
        <v>3.1467661691542288</v>
      </c>
      <c r="GO11" s="39">
        <f>IF(AND(Include_study?="Yes",Sufficient_data="Yes"),IF('Publication Bias Analysis'!L$38="Left",'Publication Bias Analysis'!E:E-GW$3,GW$3-'Publication Bias Analysis'!E:E),"")</f>
        <v>0.31466041314927989</v>
      </c>
      <c r="GP11" s="39">
        <f t="shared" si="82"/>
        <v>0.31466041314927989</v>
      </c>
      <c r="GQ11" s="74">
        <f>IF(AND(Include_study?="Yes",Sufficient_data="Yes"),IF(AND(Additional_weighting_method="Mantel-Haenszel",Additional_model="Fixed effect"),Weightf_MH,1/('Publication Bias Analysis'!F:F^2+IF(Additional_model="Fixed effect",0,GW$13))),"")</f>
        <v>3.1467661691542288</v>
      </c>
      <c r="GR11" s="39">
        <f>IF(AND(Include_study?="Yes",Sufficient_data="Yes"),IF('Publication Bias Analysis'!L$38="Left",'Publication Bias Analysis'!E:E-GW$10,GW$10-'Publication Bias Analysis'!E:E),"")</f>
        <v>0.31466041314927989</v>
      </c>
      <c r="GS11" s="39">
        <f t="shared" si="83"/>
        <v>0.31466041314927989</v>
      </c>
      <c r="GT11" s="74">
        <f>IF(AND(Include_study?="Yes",Sufficient_data="Yes"),IF(AND(Additional_weighting_method="Mantel-Haenszel",Additional_model="Fixed effect"),Weightf_MH,1/('Publication Bias Analysis'!F:F^2+IF(Additional_model="Fixed effect",0,GW$20))),"")</f>
        <v>3.1467661691542288</v>
      </c>
      <c r="GV11" s="178" t="s">
        <v>5</v>
      </c>
      <c r="GW11" s="178"/>
      <c r="GY11" s="89">
        <v>10</v>
      </c>
      <c r="GZ11" s="7" t="str">
        <f>IF(Trim_and_fill="On",IF(GW$21&gt;(COUNT(GZ$2:GZ10)),IF(COUNTIF(GA:GA,-1*(MAX(GA:GA)-GY11+1))=1,"",MAX(GA:GA)-GY11+1),""),"")</f>
        <v/>
      </c>
      <c r="HA11" s="60" t="str">
        <f t="shared" si="84"/>
        <v/>
      </c>
      <c r="HB11" s="65" t="str">
        <f t="shared" si="85"/>
        <v/>
      </c>
      <c r="HC11" s="3" t="str">
        <f t="shared" si="86"/>
        <v/>
      </c>
      <c r="HD11" s="39" t="str">
        <f>IF(GZ11&lt;&gt;"",1/(HB11^2+'Publication Bias Analysis'!L$32),"")</f>
        <v/>
      </c>
      <c r="HE11" s="74" t="str">
        <f>IF(GZ11&lt;&gt;"",HA:HA-'Publication Bias Analysis'!I$37,"")</f>
        <v/>
      </c>
      <c r="HG11" s="89">
        <v>10</v>
      </c>
      <c r="HH11" s="3" t="e">
        <f t="shared" si="87"/>
        <v>#N/A</v>
      </c>
      <c r="HI11" s="74" t="e">
        <f t="shared" si="88"/>
        <v>#N/A</v>
      </c>
      <c r="HK11" s="176"/>
      <c r="HL11" s="66">
        <f t="shared" si="89"/>
        <v>-0.25631993119648877</v>
      </c>
      <c r="HM11" s="74">
        <f>IF(AND(Include_study?="Yes",Sufficient_data="Yes"),Z_score-('Publication Bias Analysis'!P$3+'Publication Bias Analysis'!P$4*Inverse_standard_error),"")</f>
        <v>0.53814715554482828</v>
      </c>
      <c r="HO11" s="176"/>
      <c r="HP11" s="64">
        <f>IF(AND(Include_study?="Yes",Sufficient_data="Yes"),(GD:GD-SUMPRODUCT(Calculations!FT:FT,'Publication Bias Analysis'!E:E)/SUM(Calculations!FT:FT))/SQRT(Calculations!HQ:HQ),"")</f>
        <v>0.57595478905203146</v>
      </c>
      <c r="HQ11" s="64">
        <f>IF(AND(Include_study?="Yes",Sufficient_data="Yes"),GE:GE^2-1/SUM(Calculations!FT:FT),"")</f>
        <v>0.29847463484758019</v>
      </c>
      <c r="HR11" s="7">
        <f t="shared" si="90"/>
        <v>6</v>
      </c>
      <c r="HS11" s="7">
        <f t="shared" si="91"/>
        <v>4</v>
      </c>
      <c r="HT11" s="7">
        <f>IF(AND(Include_study?="Yes",Sufficient_data="Yes"),COUNTIFS(HR$2:HR10,"&lt;"&amp;HR11,HS$2:HS10,"&lt;"&amp;HS11)+COUNTIFS(HR12:HR$201,"&lt;"&amp;HR11,HS12:HS$201,"&lt;"&amp;HS11)+COUNTIFS(HR$2:HR10,"&gt;"&amp;HR11,HS$2:HS10,"&gt;"&amp;HS11)+COUNTIFS(HR12:HR$201,"&gt;"&amp;HR11,HS12:HS$201,"&gt;"&amp;HS11),"")</f>
        <v>5</v>
      </c>
      <c r="HU11" s="104">
        <f>IF(AND(Include_study?="Yes",Sufficient_data="Yes"),COUNTIFS(HR$2:HR10,"&lt;"&amp;HR11,HS$2:HS10,"&gt;"&amp;HS11)+COUNTIFS(HR12:HR$201,"&lt;"&amp;HR11,HS12:HS$201,"&gt;"&amp;HS11)+COUNTIFS(HR$2:HR10,"&gt;"&amp;HR11,HS$2:HS10,"&lt;"&amp;HS11)+COUNTIFS(HR12:HR$201,"&gt;"&amp;HR11,HS12:HS$201,"&lt;"&amp;HS11),"")</f>
        <v>6</v>
      </c>
      <c r="HW11" s="176"/>
      <c r="IB11" s="176"/>
      <c r="IC11" s="146">
        <f t="shared" si="92"/>
        <v>8.3333333333333329E-2</v>
      </c>
      <c r="ID11" s="137">
        <f t="shared" si="93"/>
        <v>4.1666666666666664E-2</v>
      </c>
      <c r="IE11" s="137">
        <f t="shared" si="94"/>
        <v>3.5294117647058822</v>
      </c>
      <c r="IF11" s="95">
        <f t="shared" si="95"/>
        <v>3.1467661691542288</v>
      </c>
      <c r="IK11" s="176"/>
      <c r="IL11" s="158">
        <f>IF(AND(Include_study?="Yes",Sufficient_data="Yes"),'Publication Bias Analysis'!AV:AV,NA())</f>
        <v>1.3084361123379575</v>
      </c>
      <c r="IM11" s="158">
        <f>IF(AND(Sufficient_data="Yes",Include_study?="Yes"),'Publication Bias Analysis'!AU:AU,NA())</f>
        <v>1.7739126723585432</v>
      </c>
      <c r="IN11" s="62">
        <f t="shared" si="96"/>
        <v>-0.25631993119648877</v>
      </c>
      <c r="IO11" s="74">
        <f>IF(AND(Include_study?="Yes",Sufficient_data="Yes"),Z_score-('Publication Bias Analysis'!AY$30+'Publication Bias Analysis'!AY$31*Inverse_standard_error),"")</f>
        <v>0.55818009437508243</v>
      </c>
      <c r="IQ11"/>
      <c r="IR11"/>
      <c r="IS11"/>
      <c r="IU11" s="176"/>
      <c r="IV11" s="7">
        <f>IF('Publication Bias Analysis'!BG:BG&lt;&gt;"",RANK('Publication Bias Analysis'!BG:BG,'Publication Bias Analysis'!BG:BG,1)+COUNTIF('Publication Bias Analysis'!BG$2:BG10,'Publication Bias Analysis'!BG11),"")</f>
        <v>6</v>
      </c>
      <c r="IW11" s="124">
        <f t="shared" si="97"/>
        <v>0.45945945945945948</v>
      </c>
      <c r="IX11" s="125">
        <f>IF('Publication Bias Analysis'!BF11&lt;&gt;"",'Publication Bias Analysis'!BF11,NA())</f>
        <v>-0.10179559909470488</v>
      </c>
      <c r="IY11" s="125">
        <f>IF('Publication Bias Analysis'!BG11&lt;&gt;"",'Publication Bias Analysis'!BG11,NA())</f>
        <v>1.3084361123379575</v>
      </c>
      <c r="IZ11" s="62">
        <f>IF(AND(Include_study?="Yes",Sufficient_data="Yes"),'Publication Bias Analysis'!BF:BF-AVERAGE('Publication Bias Analysis'!BF:BF),"")</f>
        <v>-0.10179559909470472</v>
      </c>
      <c r="JA11" s="74">
        <f>IF(AND(Include_study?="Yes",Sufficient_data="Yes"),'Publication Bias Analysis'!BG:BG-('Publication Bias Analysis'!BJ$30+'Publication Bias Analysis'!BJ$31*'Publication Bias Analysis'!BF:BF),"")</f>
        <v>0.55323127050462073</v>
      </c>
      <c r="JG11" s="176"/>
      <c r="JH11" s="39">
        <f t="shared" si="98"/>
        <v>1.3084361123379575</v>
      </c>
      <c r="JI11" s="148">
        <f t="shared" si="124"/>
        <v>9.5362715371637985E-2</v>
      </c>
      <c r="JJ11" s="74">
        <f t="shared" si="125"/>
        <v>-2.350067601116244</v>
      </c>
    </row>
    <row r="12" spans="1:270" ht="15" x14ac:dyDescent="0.25">
      <c r="A12" s="2">
        <f t="shared" si="0"/>
        <v>11</v>
      </c>
      <c r="B12" s="7">
        <f>IF(AND(Include_study?="Yes",Sufficient_data="Yes"),IF(Input!a_&lt;&gt;"",Input!a_,Input!n1_-Input!b_),"")</f>
        <v>8</v>
      </c>
      <c r="C12" s="7">
        <f>IF(AND(Include_study?="Yes",Sufficient_data="Yes"),IF(Input!b_&lt;&gt;"",Input!b_,Input!n1_-Input!a_),"")</f>
        <v>37</v>
      </c>
      <c r="D12" s="7">
        <f>IF(AND(Include_study?="Yes",Sufficient_data="Yes"),IF(Input!c_&lt;&gt;"",Input!c_,Input!n2_-Input!d_),"")</f>
        <v>13</v>
      </c>
      <c r="E12" s="7">
        <f>IF(AND(Include_study?="Yes",Sufficient_data="Yes"),IF(Input!d_&lt;&gt;"",Input!d_,Input!n2_-Input!c_),"")</f>
        <v>32</v>
      </c>
      <c r="F12" s="74" t="str">
        <f t="shared" si="1"/>
        <v>No</v>
      </c>
      <c r="H12" s="196"/>
      <c r="I12" s="182"/>
      <c r="J12" s="146">
        <f t="shared" si="2"/>
        <v>0.53222453222453225</v>
      </c>
      <c r="K12" s="39">
        <f t="shared" si="3"/>
        <v>-0.63068982562619869</v>
      </c>
      <c r="L12" s="39">
        <f t="shared" si="4"/>
        <v>0.51009813168654516</v>
      </c>
      <c r="M12" s="39">
        <f t="shared" si="5"/>
        <v>0.19312788888847404</v>
      </c>
      <c r="N12" s="74">
        <f t="shared" si="6"/>
        <v>1.4667117956495583</v>
      </c>
      <c r="P12" s="176"/>
      <c r="Q12" s="130">
        <f t="shared" si="7"/>
        <v>0.54106454458865061</v>
      </c>
      <c r="R12" s="39">
        <f t="shared" si="8"/>
        <v>0.49566791349580941</v>
      </c>
      <c r="S12" s="39">
        <f t="shared" si="9"/>
        <v>0.20204748761927721</v>
      </c>
      <c r="T12" s="74">
        <f t="shared" si="10"/>
        <v>1.4489209683347373</v>
      </c>
      <c r="V12" s="176"/>
      <c r="W12" s="130">
        <f t="shared" si="11"/>
        <v>-0.11111111111111108</v>
      </c>
      <c r="X12" s="39">
        <f t="shared" si="12"/>
        <v>8.8393682312155844E-2</v>
      </c>
      <c r="Y12" s="39">
        <f t="shared" si="13"/>
        <v>-0.28677498008516483</v>
      </c>
      <c r="Z12" s="74">
        <f t="shared" si="14"/>
        <v>6.4552757862942678E-2</v>
      </c>
      <c r="AB12" s="176"/>
      <c r="AC12" s="130">
        <f t="shared" si="15"/>
        <v>0.61538461538461542</v>
      </c>
      <c r="AD12" s="39">
        <f t="shared" si="16"/>
        <v>-0.48550781578170077</v>
      </c>
      <c r="AE12" s="39">
        <f t="shared" si="17"/>
        <v>0.39683577520005991</v>
      </c>
      <c r="AF12" s="39">
        <f t="shared" si="18"/>
        <v>0.27967263239612206</v>
      </c>
      <c r="AG12" s="74">
        <f t="shared" si="19"/>
        <v>1.3540768061842081</v>
      </c>
      <c r="AI12" s="196"/>
      <c r="AJ12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11</v>
      </c>
      <c r="AK12" s="136">
        <f>IF(AJ12&lt;&gt;"",IF(AJ12=0,COUNTIF(AJ$2:AJ11,0)+1,COUNTIF(AJ$2:AJ11,AJ12)+AJ12+COUNTIF(AJ:AJ,0)),"")</f>
        <v>11</v>
      </c>
      <c r="AL12" s="136">
        <f t="shared" si="20"/>
        <v>11</v>
      </c>
      <c r="AM12" s="155" t="str">
        <f>IF(AND(Include_study?="Yes",Sufficient_data="Yes",Input!Study_name&lt;&gt;""),Input!Study_name,"")</f>
        <v>kkkk</v>
      </c>
      <c r="AN12" s="136">
        <f t="shared" si="21"/>
        <v>90</v>
      </c>
      <c r="AO12" s="19">
        <f t="shared" si="22"/>
        <v>0.53222453222453225</v>
      </c>
      <c r="AP12" s="158">
        <f t="shared" si="23"/>
        <v>3.8431960049937577</v>
      </c>
      <c r="AQ12" s="158">
        <f t="shared" si="24"/>
        <v>3.477429448780184</v>
      </c>
      <c r="AR12" s="39">
        <f t="shared" si="25"/>
        <v>0.51009813168654516</v>
      </c>
      <c r="AS12" s="158">
        <f t="shared" si="26"/>
        <v>0.19312788888847404</v>
      </c>
      <c r="AT12" s="39">
        <f t="shared" si="27"/>
        <v>1.4667117956495583</v>
      </c>
      <c r="AU12" s="172">
        <f t="shared" si="28"/>
        <v>7.6558921359227802E-2</v>
      </c>
      <c r="AW12" s="84">
        <f t="shared" si="29"/>
        <v>0.53222453222453225</v>
      </c>
      <c r="AX12" s="3">
        <f t="shared" si="30"/>
        <v>0.33909664333605821</v>
      </c>
      <c r="AY12" s="74">
        <f t="shared" si="31"/>
        <v>0.93448726342502608</v>
      </c>
      <c r="BD12" s="196"/>
      <c r="BE12" s="182"/>
      <c r="BF12" s="3">
        <f t="shared" si="32"/>
        <v>-0.63068982562619869</v>
      </c>
      <c r="BG12" s="3">
        <f t="shared" si="33"/>
        <v>0.51009813168654516</v>
      </c>
      <c r="BH12" s="3">
        <f t="shared" si="34"/>
        <v>3.8431960049937577</v>
      </c>
      <c r="BI12" s="39">
        <f t="shared" si="99"/>
        <v>3.477429448780184</v>
      </c>
      <c r="BJ12" s="95">
        <f t="shared" si="35"/>
        <v>-1.0528992384490312</v>
      </c>
      <c r="BL12" s="3" t="s">
        <v>34</v>
      </c>
      <c r="BM12" s="3">
        <f>IF(Model_effect_size_measure="Risk Difference",CES_IV+ABS(TINV((1-Confidence_level),k_-1))*SECES_Risk_Difference,EXP(CIlnCES_UL))</f>
        <v>2.1162489663818249</v>
      </c>
      <c r="BO12" s="176"/>
      <c r="BP12" s="158">
        <f t="shared" si="36"/>
        <v>2.8444444444444446</v>
      </c>
      <c r="BQ12" s="158">
        <f t="shared" si="37"/>
        <v>5.3444444444444441</v>
      </c>
      <c r="BR12" s="158">
        <f t="shared" si="38"/>
        <v>1.2641975308641975</v>
      </c>
      <c r="BS12" s="158">
        <f>IF(AND(Sufficient_data="Yes",Include_study?="Yes"),IF(Add_0_5="Yes",(a_+d_+1)*(ab_+0.5)*(c_+0.5)/(Number_of_subjects+2)^2,(a_+d_)*b_*c_/Number_of_subjects^2),"")</f>
        <v>2.3753086419753084</v>
      </c>
      <c r="BT12" s="158">
        <f t="shared" si="39"/>
        <v>1.5802469135802468</v>
      </c>
      <c r="BU12" s="158">
        <f t="shared" si="40"/>
        <v>2.9691358024691357</v>
      </c>
      <c r="BV12" s="158">
        <f t="shared" si="41"/>
        <v>5.3444444444444441</v>
      </c>
      <c r="BW12" s="3">
        <f t="shared" si="42"/>
        <v>4.2881652261128993</v>
      </c>
      <c r="BX12" s="137">
        <f t="shared" si="43"/>
        <v>3.4187143783434255</v>
      </c>
      <c r="BY12" s="95">
        <f t="shared" si="44"/>
        <v>-1.0528327707718581</v>
      </c>
      <c r="CA12" s="3" t="s">
        <v>34</v>
      </c>
      <c r="CB12" s="19">
        <f>EXP(CIlnCES_UL_MH)</f>
        <v>2.1173899808869581</v>
      </c>
      <c r="CD12" s="176"/>
      <c r="CE12" s="130">
        <f t="shared" si="45"/>
        <v>10.5</v>
      </c>
      <c r="CF12" s="39">
        <f t="shared" si="46"/>
        <v>4.0702247191011232</v>
      </c>
      <c r="CG12" s="137">
        <f t="shared" si="47"/>
        <v>-0.61421670117322302</v>
      </c>
      <c r="CH12" s="137">
        <f t="shared" si="48"/>
        <v>0.24568668046928918</v>
      </c>
      <c r="CI12" s="39">
        <f t="shared" si="49"/>
        <v>4.0702247191011232</v>
      </c>
      <c r="CJ12" s="39">
        <f t="shared" si="50"/>
        <v>3.708109256873787</v>
      </c>
      <c r="CK12" s="95">
        <f t="shared" si="51"/>
        <v>-1.0346821757710642</v>
      </c>
      <c r="CM12" s="3" t="s">
        <v>34</v>
      </c>
      <c r="CN12" s="3">
        <f>EXP(CIlnCES_UL_Peto)</f>
        <v>2.0871624475418473</v>
      </c>
      <c r="CP12" s="176"/>
      <c r="CQ12" s="99">
        <f t="shared" si="52"/>
        <v>0.28888888888888886</v>
      </c>
      <c r="CS12" s="2" t="s">
        <v>43</v>
      </c>
      <c r="CT12" s="3">
        <f>IF(Weighting_method="Inverse variance",IF(Model_effect_size_measure="Risk Ratio",CICES_LL,IF(Model_effect_size_measure="Odds Ratio",CICES_LL/(1-MEDIAN(Control_group_risk)+(MEDIAN(Control_group_risk)*CICES_LL)),"")),"")</f>
        <v>1.0832570015522149</v>
      </c>
      <c r="CU12" s="3">
        <f>IF(Model_effect_size_measure="Odds Ratio",CICES_LL_MH/(1-MEDIAN(Control_group_risk)+(MEDIAN(Control_group_risk)*CICES_LL_MH)),"")</f>
        <v>1.0826475121466486</v>
      </c>
      <c r="CV12" s="3" t="str">
        <f>IF(Model_effect_size_measure="Peto Odds Ratio",CICES_LL_Peto/(1-MEDIAN(Control_group_risk)+(MEDIAN(Control_group_risk)*CICES_LL_Peto)),"")</f>
        <v/>
      </c>
      <c r="CX12" s="196"/>
      <c r="CY12" s="89">
        <f t="shared" si="53"/>
        <v>12</v>
      </c>
      <c r="CZ12" s="136" t="str">
        <f t="shared" si="54"/>
        <v>kkkk</v>
      </c>
      <c r="DA12" s="140" t="str">
        <f t="shared" si="55"/>
        <v>BB</v>
      </c>
      <c r="DB12" s="39">
        <f t="shared" si="56"/>
        <v>-0.63068982562619869</v>
      </c>
      <c r="DC12" s="39">
        <f t="shared" si="57"/>
        <v>0.51009813168654516</v>
      </c>
      <c r="DD12" s="39">
        <f t="shared" si="58"/>
        <v>3.8431960049937577</v>
      </c>
      <c r="DE12" s="39">
        <f t="shared" si="59"/>
        <v>2.9795778766646746</v>
      </c>
      <c r="DF12" s="141">
        <f t="shared" si="60"/>
        <v>0.21557089987927947</v>
      </c>
      <c r="DG12" s="39">
        <f t="shared" si="61"/>
        <v>0.53222453222453225</v>
      </c>
      <c r="DH12" s="39">
        <f t="shared" si="62"/>
        <v>0.19315854551675729</v>
      </c>
      <c r="DI12" s="39">
        <f t="shared" si="63"/>
        <v>1.466479010513402</v>
      </c>
      <c r="DJ12" s="74">
        <f t="shared" si="64"/>
        <v>-0.96852990685180584</v>
      </c>
      <c r="DK12" s="45"/>
      <c r="DL12" s="84">
        <f t="shared" si="65"/>
        <v>0.53222453222453225</v>
      </c>
      <c r="DM12" s="39">
        <f t="shared" si="100"/>
        <v>0.33906598670777499</v>
      </c>
      <c r="DN12" s="74">
        <f t="shared" si="101"/>
        <v>0.93425447828886976</v>
      </c>
      <c r="DP12" s="89" t="str">
        <f t="shared" si="102"/>
        <v/>
      </c>
      <c r="DQ12" s="26" t="str">
        <f>IF(AND(Sufficient_data="Yes",Subgroup&lt;&gt;""),IF(COUNTIFS(Input!J$2:J11,"="&amp;"Yes",Input!C$2:C11,"="&amp;"Yes",Input!K$2:K11,"="&amp;Subgroup)&gt;0,"",Subgroup),"")</f>
        <v/>
      </c>
      <c r="DR12" s="7" t="str">
        <f t="shared" si="103"/>
        <v/>
      </c>
      <c r="DS12" s="7" t="str">
        <f t="shared" si="66"/>
        <v/>
      </c>
      <c r="DT12" s="19" t="str">
        <f t="shared" si="67"/>
        <v/>
      </c>
      <c r="DU12" s="12" t="str">
        <f t="shared" si="104"/>
        <v/>
      </c>
      <c r="DV12" s="11" t="str">
        <f t="shared" si="105"/>
        <v/>
      </c>
      <c r="DW12" s="12" t="str">
        <f t="shared" si="68"/>
        <v/>
      </c>
      <c r="DX12" s="19" t="str">
        <f t="shared" si="69"/>
        <v/>
      </c>
      <c r="DY12" s="19" t="str">
        <f t="shared" si="106"/>
        <v/>
      </c>
      <c r="DZ12" s="19" t="str">
        <f t="shared" si="70"/>
        <v/>
      </c>
      <c r="EA12" s="19" t="str">
        <f t="shared" si="71"/>
        <v/>
      </c>
      <c r="EB12" s="7" t="str">
        <f t="shared" si="72"/>
        <v/>
      </c>
      <c r="EC12" s="19" t="str">
        <f t="shared" si="107"/>
        <v/>
      </c>
      <c r="ED12" s="19" t="str">
        <f t="shared" si="108"/>
        <v/>
      </c>
      <c r="EE12" s="19" t="str">
        <f t="shared" si="109"/>
        <v/>
      </c>
      <c r="EF12" s="19" t="str">
        <f t="shared" si="110"/>
        <v/>
      </c>
      <c r="EG12" s="19" t="str">
        <f t="shared" si="111"/>
        <v/>
      </c>
      <c r="EH12" s="19" t="str">
        <f t="shared" si="112"/>
        <v/>
      </c>
      <c r="EI12" s="19" t="str">
        <f t="shared" si="113"/>
        <v/>
      </c>
      <c r="EJ12" s="19" t="str">
        <f t="shared" si="114"/>
        <v/>
      </c>
      <c r="EK12" s="19" t="str">
        <f t="shared" si="73"/>
        <v/>
      </c>
      <c r="EL12" s="19" t="str">
        <f t="shared" si="115"/>
        <v/>
      </c>
      <c r="EM12" s="19" t="str">
        <f t="shared" si="116"/>
        <v/>
      </c>
      <c r="EN12" s="19" t="str">
        <f t="shared" si="117"/>
        <v/>
      </c>
      <c r="EO12" s="19" t="str">
        <f t="shared" si="118"/>
        <v/>
      </c>
      <c r="EP12" s="19" t="str">
        <f t="shared" si="74"/>
        <v/>
      </c>
      <c r="EQ12" s="19" t="e">
        <f t="shared" si="119"/>
        <v>#N/A</v>
      </c>
      <c r="ER12" s="11" t="str">
        <f t="shared" si="120"/>
        <v/>
      </c>
      <c r="ES12" s="19" t="str">
        <f t="shared" si="121"/>
        <v/>
      </c>
      <c r="ET12" s="156" t="str">
        <f t="shared" si="122"/>
        <v/>
      </c>
      <c r="EU12" s="39" t="str">
        <f t="shared" si="75"/>
        <v/>
      </c>
      <c r="EV12" s="74" t="str">
        <f t="shared" si="76"/>
        <v/>
      </c>
      <c r="EX12" s="2" t="s">
        <v>212</v>
      </c>
      <c r="EY12" s="158">
        <f>IF(Subgroup_valid_options="Yes",IF(Subgroup_effect_size_measure="Risk Difference",EY9+ABS(TINV((1-Subgroup_confidence_level),Subgroup_k-1))*EY10,EXP(EY5)),"")</f>
        <v>1.7472994265744493</v>
      </c>
      <c r="FA12" s="196"/>
      <c r="FB12" s="84">
        <f>IF(AND(Include_study?="Yes",Sufficient_data="Yes",Moderator&lt;&gt;""),'Moderator Analysis'!E12,NA())</f>
        <v>17</v>
      </c>
      <c r="FC12" s="39">
        <f>IF(AND(Include_study?="Yes",Sufficient_data="Yes",Moderator&lt;&gt;""),'Moderator Analysis'!F12,NA())</f>
        <v>-0.63068982562619869</v>
      </c>
      <c r="FD12" s="39">
        <f t="shared" si="77"/>
        <v>0.51009813168654516</v>
      </c>
      <c r="FE12" s="39">
        <f t="shared" si="78"/>
        <v>3.8431960049937577</v>
      </c>
      <c r="FF12" s="39">
        <f>IF(AND(Include_study?="Yes",Sufficient_data="Yes",Moderator&lt;&gt;""),'Moderator Analysis'!F:F-FP$2,"")</f>
        <v>-1.053628355607698</v>
      </c>
      <c r="FG12" s="39">
        <f>IF(AND(Include_study?="Yes",Sufficient_data="Yes",Moderator&lt;&gt;""),'Moderator Analysis'!E:E-FP$3,"")</f>
        <v>6.5808026532931052E-2</v>
      </c>
      <c r="FH12" s="74">
        <f>IF(AND(Include_study?="Yes",Sufficient_data="Yes",Moderator&lt;&gt;""),FE:FE*('Moderator Analysis'!F:F-FP$5-FP$4*'Moderator Analysis'!E:E)^2,"")</f>
        <v>4.2661085957699907</v>
      </c>
      <c r="FI12" s="128"/>
      <c r="FJ12" s="92">
        <f t="shared" si="79"/>
        <v>3.1855122920405847</v>
      </c>
      <c r="FK12" s="137">
        <f>IF(AND(Include_study?="Yes",Sufficient_data="Yes",Moderator&lt;&gt;""),'Moderator Analysis'!F:F-'Moderator Analysis'!J$37,"")</f>
        <v>-1.053628355607698</v>
      </c>
      <c r="FL12" s="137">
        <f>IF(AND(Include_study?="Yes",Sufficient_data="Yes",Moderator&lt;&gt;""),'Moderator Analysis'!E:E-SUMPRODUCT('Moderator Analysis'!E:E,FJ:FJ)/SUM(FJ:FJ),"")</f>
        <v>8.1905185761673494E-2</v>
      </c>
      <c r="FM12" s="95">
        <f>IF(AND(Include_study?="Yes",Sufficient_data="Yes",Moderator&lt;&gt;""),FJ:FJ*('Moderator Analysis'!F:F-'Moderator Analysis'!J$29-'Moderator Analysis'!J$30*'Moderator Analysis'!E:E)^2,"")</f>
        <v>3.5360521173906081</v>
      </c>
      <c r="FN12" s="21"/>
      <c r="FO12" s="3">
        <f>IF(FP3&lt;&gt;"",MIN('Moderator Analysis'!E:E)*0.9,"")</f>
        <v>11.700000000000001</v>
      </c>
      <c r="FP12" s="3">
        <f>IF(FP3&lt;&gt;"",FO12*'Moderator Analysis'!J30+'Moderator Analysis'!J29,"")</f>
        <v>0.42636623803442492</v>
      </c>
      <c r="FR12" s="196"/>
      <c r="FS12" s="182"/>
      <c r="FT12" s="130">
        <f>IF(AND(Include_study?="Yes",Sufficient_data="Yes"),IF(Additional_weighting_method="Inverse Variance",1/'Publication Bias Analysis'!F:F^2,IF(Additional_weighting_method="Mantel-Haenszel",Weightf_MH,Weightf_Peto)),"")</f>
        <v>3.8431960049937577</v>
      </c>
      <c r="FU12" s="39">
        <f>IF(AND(Include_study?="Yes",Sufficient_data="Yes"),1/('Publication Bias Analysis'!F:F^2+IF(Additional_model="Fixed effect",0,Calculations!GH$12)),"")</f>
        <v>3.8431960049937577</v>
      </c>
      <c r="FV12" s="39">
        <f>IF(AND(Include_study?="Yes",Sufficient_data="Yes"),1/('Publication Bias Analysis'!F:F^2+IF(Additional_model="Fixed effect",0,'Publication Bias Analysis'!L$32)),"")</f>
        <v>3.8431960049937577</v>
      </c>
      <c r="FW12" s="39">
        <f>IF(AND(Include_study?="Yes",Sufficient_data="Yes"),'Publication Bias Analysis'!E:E-'Publication Bias Analysis'!I$37,"")</f>
        <v>-1.053628355607698</v>
      </c>
      <c r="FX12" s="39">
        <f>IF(AND(Include_study?="Yes",Sufficient_data="Yes"),IF(Additional_model="Fixed effect",1/'Publication Bias Analysis'!F:F,1/SQRT('Publication Bias Analysis'!F:F^2+GH$12)),"")</f>
        <v>1.96040710185251</v>
      </c>
      <c r="FY12" s="39">
        <f>IF(AND(Include_study?="Yes",Sufficient_data="Yes"),IF(Additional_model="Fixed effect",'Publication Bias Analysis'!E:E/'Publication Bias Analysis'!F:F,'Publication Bias Analysis'!E:E/SQRT('Publication Bias Analysis'!F:F^2+GH$12)),"")</f>
        <v>-1.236408813223721</v>
      </c>
      <c r="FZ12" s="136">
        <f t="shared" si="80"/>
        <v>-12</v>
      </c>
      <c r="GA12" s="144">
        <f>IF(AND(Include_study?="Yes",Sufficient_data="Yes"),FZ:FZ+IF(GL:GL&lt;0,-1,1)*COUNTIF(FZ$2:FZ11,FZ:FZ),"")</f>
        <v>-12</v>
      </c>
      <c r="GB12" s="144">
        <f>IF(AND(Include_study?="Yes",Sufficient_data="Yes"),RANK(GP:GP,GP:GP,1)*IF(GO:GO&lt;0,-1,1)+IF(GO:GO&lt;0,-1,1)*COUNTIF(FZ$2:FZ11,FZ:FZ),"")</f>
        <v>-12</v>
      </c>
      <c r="GC12" s="144">
        <f>IF(AND(Include_study?="Yes",Sufficient_data="Yes"),RANK(GS:GS,GS:GS,1)*IF(GR:GR&lt;0,-1,1)+IF(GR:GR&lt;0,-1,1)*COUNTIF(FZ$2:FZ11,FZ:FZ),"")</f>
        <v>-12</v>
      </c>
      <c r="GD12" s="39">
        <f>IF(AND(Include_study?="Yes",Sufficient_data="Yes"),'Publication Bias Analysis'!E12,NA())</f>
        <v>-0.63068982562619869</v>
      </c>
      <c r="GE12" s="74">
        <f>IF(AND(Include_study?="Yes",Sufficient_data="Yes"),'Publication Bias Analysis'!F12,NA())</f>
        <v>0.51009813168654516</v>
      </c>
      <c r="GG12" s="48" t="s">
        <v>30</v>
      </c>
      <c r="GH12" s="49">
        <f>MAX(0,(GH11-(k_-1))/((SUM(Calculations!FT:FT))-SUMPRODUCT(Calculations!FT:FT,Calculations!FT:FT)/SUM(Calculations!FT:FT)))</f>
        <v>2.736863460497466E-2</v>
      </c>
      <c r="GK12" s="176"/>
      <c r="GL12" s="130">
        <f>IF(AND(Include_study?="Yes",Sufficient_data="Yes"),IF('Publication Bias Analysis'!L$38="Left",'Publication Bias Analysis'!E:E-'Publication Bias Analysis'!I$29,'Publication Bias Analysis'!I$29-'Publication Bias Analysis'!E:E),"")</f>
        <v>-1.053628355607698</v>
      </c>
      <c r="GM12" s="39">
        <f t="shared" si="81"/>
        <v>1.053628355607698</v>
      </c>
      <c r="GN12" s="74">
        <f>IF(AND(Include_study?="Yes",Sufficient_data="Yes"),IF(AND(Additional_weighting_method="Mantel-Haenszel",Additional_model="Fixed effect"),Weightf_MH,1/('Publication Bias Analysis'!F:F^2+IF(Additional_model="Fixed effect",0,GW$6))),"")</f>
        <v>3.8431960049937577</v>
      </c>
      <c r="GO12" s="39">
        <f>IF(AND(Include_study?="Yes",Sufficient_data="Yes"),IF('Publication Bias Analysis'!L$38="Left",'Publication Bias Analysis'!E:E-GW$3,GW$3-'Publication Bias Analysis'!E:E),"")</f>
        <v>-1.053628355607698</v>
      </c>
      <c r="GP12" s="39">
        <f t="shared" si="82"/>
        <v>1.053628355607698</v>
      </c>
      <c r="GQ12" s="74">
        <f>IF(AND(Include_study?="Yes",Sufficient_data="Yes"),IF(AND(Additional_weighting_method="Mantel-Haenszel",Additional_model="Fixed effect"),Weightf_MH,1/('Publication Bias Analysis'!F:F^2+IF(Additional_model="Fixed effect",0,GW$13))),"")</f>
        <v>3.8431960049937577</v>
      </c>
      <c r="GR12" s="39">
        <f>IF(AND(Include_study?="Yes",Sufficient_data="Yes"),IF('Publication Bias Analysis'!L$38="Left",'Publication Bias Analysis'!E:E-GW$10,GW$10-'Publication Bias Analysis'!E:E),"")</f>
        <v>-1.053628355607698</v>
      </c>
      <c r="GS12" s="39">
        <f t="shared" si="83"/>
        <v>1.053628355607698</v>
      </c>
      <c r="GT12" s="74">
        <f>IF(AND(Include_study?="Yes",Sufficient_data="Yes"),IF(AND(Additional_weighting_method="Mantel-Haenszel",Additional_model="Fixed effect"),Weightf_MH,1/('Publication Bias Analysis'!F:F^2+IF(Additional_model="Fixed effect",0,GW$20))),"")</f>
        <v>3.8431960049937577</v>
      </c>
      <c r="GV12" s="2" t="s">
        <v>6</v>
      </c>
      <c r="GW12" s="3">
        <f>SUMPRODUCT(--(GB:GB&lt;=(MAX(GB:GB)-GW14)),Calculations!FT:FT,'Publication Bias Analysis'!E:E,'Publication Bias Analysis'!E:E)-SUMPRODUCT(--(GB:GB&lt;=(MAX(GB:GB)-GW14)),Calculations!FT:FT,'Publication Bias Analysis'!E:E)^2/SUMIF(GB:GB,"&lt;="&amp;(MAX(GB:GB)-GW14),Calculations!FT:FT)</f>
        <v>12.273195457938824</v>
      </c>
      <c r="GY12" s="89">
        <v>11</v>
      </c>
      <c r="GZ12" s="7" t="str">
        <f>IF(Trim_and_fill="On",IF(GW$21&gt;(COUNT(GZ$2:GZ11)),IF(COUNTIF(GA:GA,-1*(MAX(GA:GA)-GY12+1))=1,"",MAX(GA:GA)-GY12+1),""),"")</f>
        <v/>
      </c>
      <c r="HA12" s="60" t="str">
        <f t="shared" si="84"/>
        <v/>
      </c>
      <c r="HB12" s="65" t="str">
        <f t="shared" si="85"/>
        <v/>
      </c>
      <c r="HC12" s="3" t="str">
        <f t="shared" si="86"/>
        <v/>
      </c>
      <c r="HD12" s="39" t="str">
        <f>IF(GZ12&lt;&gt;"",1/(HB12^2+'Publication Bias Analysis'!L$32),"")</f>
        <v/>
      </c>
      <c r="HE12" s="74" t="str">
        <f>IF(GZ12&lt;&gt;"",HA:HA-'Publication Bias Analysis'!I$37,"")</f>
        <v/>
      </c>
      <c r="HG12" s="89">
        <v>11</v>
      </c>
      <c r="HH12" s="3" t="e">
        <f t="shared" si="87"/>
        <v>#N/A</v>
      </c>
      <c r="HI12" s="74" t="e">
        <f t="shared" si="88"/>
        <v>#N/A</v>
      </c>
      <c r="HK12" s="176"/>
      <c r="HL12" s="66">
        <f t="shared" si="89"/>
        <v>-6.9825501702521997E-2</v>
      </c>
      <c r="HM12" s="74">
        <f>IF(AND(Include_study?="Yes",Sufficient_data="Yes"),Z_score-('Publication Bias Analysis'!P$3+'Publication Bias Analysis'!P$4*Inverse_standard_error),"")</f>
        <v>-2.0749452318624124</v>
      </c>
      <c r="HO12" s="176"/>
      <c r="HP12" s="64">
        <f>IF(AND(Include_study?="Yes",Sufficient_data="Yes"),(GD:GD-SUMPRODUCT(Calculations!FT:FT,'Publication Bias Analysis'!E:E)/SUM(Calculations!FT:FT))/SQRT(Calculations!HQ:HQ),"")</f>
        <v>-2.1467412777431161</v>
      </c>
      <c r="HQ12" s="64">
        <f>IF(AND(Include_study?="Yes",Sufficient_data="Yes"),GE:GE^2-1/SUM(Calculations!FT:FT),"")</f>
        <v>0.24088817753286201</v>
      </c>
      <c r="HR12" s="7">
        <f t="shared" si="90"/>
        <v>12</v>
      </c>
      <c r="HS12" s="7">
        <f t="shared" si="91"/>
        <v>6</v>
      </c>
      <c r="HT12" s="7">
        <f>IF(AND(Include_study?="Yes",Sufficient_data="Yes"),COUNTIFS(HR$2:HR11,"&lt;"&amp;HR12,HS$2:HS11,"&lt;"&amp;HS12)+COUNTIFS(HR13:HR$201,"&lt;"&amp;HR12,HS13:HS$201,"&lt;"&amp;HS12)+COUNTIFS(HR$2:HR11,"&gt;"&amp;HR12,HS$2:HS11,"&gt;"&amp;HS12)+COUNTIFS(HR13:HR$201,"&gt;"&amp;HR12,HS13:HS$201,"&gt;"&amp;HS12),"")</f>
        <v>5</v>
      </c>
      <c r="HU12" s="104">
        <f>IF(AND(Include_study?="Yes",Sufficient_data="Yes"),COUNTIFS(HR$2:HR11,"&lt;"&amp;HR12,HS$2:HS11,"&gt;"&amp;HS12)+COUNTIFS(HR13:HR$201,"&lt;"&amp;HR12,HS13:HS$201,"&gt;"&amp;HS12)+COUNTIFS(HR$2:HR11,"&gt;"&amp;HR12,HS$2:HS11,"&lt;"&amp;HS12)+COUNTIFS(HR13:HR$201,"&gt;"&amp;HR12,HS13:HS$201,"&lt;"&amp;HS12),"")</f>
        <v>6</v>
      </c>
      <c r="HW12" s="176"/>
      <c r="HX12" s="198" t="s">
        <v>138</v>
      </c>
      <c r="HY12" s="178"/>
      <c r="IB12" s="176"/>
      <c r="IC12" s="146">
        <f t="shared" si="92"/>
        <v>0.17777777777777778</v>
      </c>
      <c r="ID12" s="137">
        <f t="shared" si="93"/>
        <v>0.28888888888888886</v>
      </c>
      <c r="IE12" s="137">
        <f t="shared" si="94"/>
        <v>6.3500678426051564</v>
      </c>
      <c r="IF12" s="95">
        <f t="shared" si="95"/>
        <v>3.8431960049937577</v>
      </c>
      <c r="IK12" s="176"/>
      <c r="IL12" s="158">
        <f>IF(AND(Include_study?="Yes",Sufficient_data="Yes"),'Publication Bias Analysis'!AV:AV,NA())</f>
        <v>-1.236408813223721</v>
      </c>
      <c r="IM12" s="158">
        <f>IF(AND(Sufficient_data="Yes",Include_study?="Yes"),'Publication Bias Analysis'!AU:AU,NA())</f>
        <v>1.96040710185251</v>
      </c>
      <c r="IN12" s="62">
        <f t="shared" si="96"/>
        <v>-6.9825501702521997E-2</v>
      </c>
      <c r="IO12" s="74">
        <f>IF(AND(Include_study?="Yes",Sufficient_data="Yes"),Z_score-('Publication Bias Analysis'!AY$30+'Publication Bias Analysis'!AY$31*Inverse_standard_error),"")</f>
        <v>-2.065540511046513</v>
      </c>
      <c r="IQ12"/>
      <c r="IR12"/>
      <c r="IS12"/>
      <c r="IU12" s="176"/>
      <c r="IV12" s="7">
        <f>IF('Publication Bias Analysis'!BG:BG&lt;&gt;"",RANK('Publication Bias Analysis'!BG:BG,'Publication Bias Analysis'!BG:BG,1)+COUNTIF('Publication Bias Analysis'!BG$2:BG11,'Publication Bias Analysis'!BG12),"")</f>
        <v>1</v>
      </c>
      <c r="IW12" s="124">
        <f t="shared" si="97"/>
        <v>5.4054054054054057E-2</v>
      </c>
      <c r="IX12" s="125">
        <f>IF('Publication Bias Analysis'!BF12&lt;&gt;"",'Publication Bias Analysis'!BF12,NA())</f>
        <v>-1.6067550689692427</v>
      </c>
      <c r="IY12" s="125">
        <f>IF('Publication Bias Analysis'!BG12&lt;&gt;"",'Publication Bias Analysis'!BG12,NA())</f>
        <v>-1.236408813223721</v>
      </c>
      <c r="IZ12" s="62">
        <f>IF(AND(Include_study?="Yes",Sufficient_data="Yes"),'Publication Bias Analysis'!BF:BF-AVERAGE('Publication Bias Analysis'!BF:BF),"")</f>
        <v>-1.6067550689692425</v>
      </c>
      <c r="JA12" s="74">
        <f>IF(AND(Include_study?="Yes",Sufficient_data="Yes"),'Publication Bias Analysis'!BG:BG-('Publication Bias Analysis'!BJ$30+'Publication Bias Analysis'!BJ$31*'Publication Bias Analysis'!BF:BF),"")</f>
        <v>-0.38185606441366893</v>
      </c>
      <c r="JG12" s="176"/>
      <c r="JH12" s="39">
        <f t="shared" si="98"/>
        <v>-1.236408813223721</v>
      </c>
      <c r="JI12" s="148">
        <f t="shared" si="124"/>
        <v>0.10815332089864016</v>
      </c>
      <c r="JJ12" s="74">
        <f t="shared" si="125"/>
        <v>-2.2242054206408155</v>
      </c>
    </row>
    <row r="13" spans="1:270" ht="15" x14ac:dyDescent="0.25">
      <c r="A13" s="2">
        <f t="shared" si="0"/>
        <v>12</v>
      </c>
      <c r="B13" s="7">
        <f>IF(AND(Include_study?="Yes",Sufficient_data="Yes"),IF(Input!a_&lt;&gt;"",Input!a_,Input!n1_-Input!b_),"")</f>
        <v>8</v>
      </c>
      <c r="C13" s="7">
        <f>IF(AND(Include_study?="Yes",Sufficient_data="Yes"),IF(Input!b_&lt;&gt;"",Input!b_,Input!n1_-Input!a_),"")</f>
        <v>42</v>
      </c>
      <c r="D13" s="7">
        <f>IF(AND(Include_study?="Yes",Sufficient_data="Yes"),IF(Input!c_&lt;&gt;"",Input!c_,Input!n2_-Input!d_),"")</f>
        <v>5</v>
      </c>
      <c r="E13" s="7">
        <f>IF(AND(Include_study?="Yes",Sufficient_data="Yes"),IF(Input!d_&lt;&gt;"",Input!d_,Input!n2_-Input!c_),"")</f>
        <v>45</v>
      </c>
      <c r="F13" s="74" t="str">
        <f t="shared" si="1"/>
        <v>No</v>
      </c>
      <c r="H13" s="196"/>
      <c r="I13" s="182"/>
      <c r="J13" s="146">
        <f t="shared" si="2"/>
        <v>1.7142857142857142</v>
      </c>
      <c r="K13" s="39">
        <f t="shared" si="3"/>
        <v>0.5389965007326869</v>
      </c>
      <c r="L13" s="39">
        <f t="shared" si="4"/>
        <v>0.60912375264123952</v>
      </c>
      <c r="M13" s="39">
        <f t="shared" si="5"/>
        <v>0.51181616960631737</v>
      </c>
      <c r="N13" s="74">
        <f t="shared" si="6"/>
        <v>5.7418574963439521</v>
      </c>
      <c r="P13" s="176"/>
      <c r="Q13" s="130">
        <f t="shared" si="7"/>
        <v>1.6907951800121059</v>
      </c>
      <c r="R13" s="39">
        <f t="shared" si="8"/>
        <v>0.59172005711712605</v>
      </c>
      <c r="S13" s="39">
        <f t="shared" si="9"/>
        <v>0.52254182184549169</v>
      </c>
      <c r="T13" s="74">
        <f t="shared" si="10"/>
        <v>5.4709273425342673</v>
      </c>
      <c r="V13" s="176"/>
      <c r="W13" s="130">
        <f t="shared" si="11"/>
        <v>0.06</v>
      </c>
      <c r="X13" s="39">
        <f t="shared" si="12"/>
        <v>6.69925368977769E-2</v>
      </c>
      <c r="Y13" s="39">
        <f t="shared" si="13"/>
        <v>-7.2944509168596683E-2</v>
      </c>
      <c r="Z13" s="74">
        <f t="shared" si="14"/>
        <v>0.19294450916859668</v>
      </c>
      <c r="AB13" s="176"/>
      <c r="AC13" s="130">
        <f t="shared" si="15"/>
        <v>1.5999999999999999</v>
      </c>
      <c r="AD13" s="39">
        <f t="shared" si="16"/>
        <v>0.47000362924573547</v>
      </c>
      <c r="AE13" s="39">
        <f t="shared" si="17"/>
        <v>0.53385391260156556</v>
      </c>
      <c r="AF13" s="39">
        <f t="shared" si="18"/>
        <v>0.55465327744950277</v>
      </c>
      <c r="AG13" s="74">
        <f t="shared" si="19"/>
        <v>4.6154960298293188</v>
      </c>
      <c r="AI13" s="196"/>
      <c r="AJ13" s="89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>12</v>
      </c>
      <c r="AK13" s="136">
        <f>IF(AJ13&lt;&gt;"",IF(AJ13=0,COUNTIF(AJ$2:AJ12,0)+1,COUNTIF(AJ$2:AJ12,AJ13)+AJ13+COUNTIF(AJ:AJ,0)),"")</f>
        <v>12</v>
      </c>
      <c r="AL13" s="136">
        <f t="shared" si="20"/>
        <v>12</v>
      </c>
      <c r="AM13" s="155" t="str">
        <f>IF(AND(Include_study?="Yes",Sufficient_data="Yes",Input!Study_name&lt;&gt;""),Input!Study_name,"")</f>
        <v>llll</v>
      </c>
      <c r="AN13" s="136">
        <f t="shared" si="21"/>
        <v>100</v>
      </c>
      <c r="AO13" s="19">
        <f t="shared" si="22"/>
        <v>1.7142857142857142</v>
      </c>
      <c r="AP13" s="158">
        <f t="shared" si="23"/>
        <v>2.6951871657754016</v>
      </c>
      <c r="AQ13" s="158">
        <f t="shared" si="24"/>
        <v>2.5100377625187185</v>
      </c>
      <c r="AR13" s="39">
        <f t="shared" si="25"/>
        <v>0.60912375264123952</v>
      </c>
      <c r="AS13" s="158">
        <f t="shared" si="26"/>
        <v>0.51181616960631737</v>
      </c>
      <c r="AT13" s="39">
        <f t="shared" si="27"/>
        <v>5.7418574963439521</v>
      </c>
      <c r="AU13" s="172">
        <f t="shared" si="28"/>
        <v>5.526087200324676E-2</v>
      </c>
      <c r="AW13" s="84">
        <f t="shared" si="29"/>
        <v>1.7142857142857142</v>
      </c>
      <c r="AX13" s="3">
        <f t="shared" si="30"/>
        <v>1.2024695446793969</v>
      </c>
      <c r="AY13" s="74">
        <f t="shared" si="31"/>
        <v>4.0275717820582377</v>
      </c>
      <c r="BD13" s="196"/>
      <c r="BE13" s="182"/>
      <c r="BF13" s="3">
        <f t="shared" si="32"/>
        <v>0.5389965007326869</v>
      </c>
      <c r="BG13" s="3">
        <f t="shared" si="33"/>
        <v>0.60912375264123952</v>
      </c>
      <c r="BH13" s="3">
        <f t="shared" si="34"/>
        <v>2.6951871657754016</v>
      </c>
      <c r="BI13" s="39">
        <f t="shared" si="99"/>
        <v>2.5100377625187185</v>
      </c>
      <c r="BJ13" s="95">
        <f t="shared" si="35"/>
        <v>0.11678708790985437</v>
      </c>
      <c r="BL13" s="3" t="s">
        <v>35</v>
      </c>
      <c r="BM13" s="3">
        <f>IF(Model_effect_size_measure="Risk Difference",CES_IV-ABS(TINV((1-Confidence_level),k_-1))*SQRT(T2_+SECES_Risk_Difference^2),EXP(PIlnCES_LL))</f>
        <v>0.9347451703574392</v>
      </c>
      <c r="BO13" s="176"/>
      <c r="BP13" s="158">
        <f t="shared" si="36"/>
        <v>3.6</v>
      </c>
      <c r="BQ13" s="158">
        <f t="shared" si="37"/>
        <v>2.1</v>
      </c>
      <c r="BR13" s="158">
        <f t="shared" si="38"/>
        <v>1.9079999999999999</v>
      </c>
      <c r="BS13" s="158">
        <f>IF(AND(Sufficient_data="Yes",Include_study?="Yes"),IF(Add_0_5="Yes",(a_+d_+1)*(ab_+0.5)*(c_+0.5)/(Number_of_subjects+2)^2,(a_+d_)*b_*c_/Number_of_subjects^2),"")</f>
        <v>1.113</v>
      </c>
      <c r="BT13" s="158">
        <f t="shared" si="39"/>
        <v>1.6919999999999999</v>
      </c>
      <c r="BU13" s="158">
        <f t="shared" si="40"/>
        <v>0.98699999999999999</v>
      </c>
      <c r="BV13" s="158">
        <f t="shared" si="41"/>
        <v>2.1</v>
      </c>
      <c r="BW13" s="3">
        <f t="shared" si="42"/>
        <v>3.4647280431332854E-2</v>
      </c>
      <c r="BX13" s="137">
        <f t="shared" si="43"/>
        <v>2.4793024100489567</v>
      </c>
      <c r="BY13" s="95">
        <f t="shared" si="44"/>
        <v>0.11685355558702742</v>
      </c>
      <c r="CA13" s="3" t="s">
        <v>35</v>
      </c>
      <c r="CB13" s="19">
        <f>EXP(PIlnCES_LL_MH)</f>
        <v>0.9123034312703483</v>
      </c>
      <c r="CD13" s="176"/>
      <c r="CE13" s="130">
        <f t="shared" si="45"/>
        <v>6.5</v>
      </c>
      <c r="CF13" s="39">
        <f t="shared" si="46"/>
        <v>2.856060606060606</v>
      </c>
      <c r="CG13" s="39">
        <f t="shared" si="47"/>
        <v>0.52519893899204251</v>
      </c>
      <c r="CH13" s="39">
        <f t="shared" si="48"/>
        <v>0.35013262599469497</v>
      </c>
      <c r="CI13" s="39">
        <f t="shared" si="49"/>
        <v>2.856060606060606</v>
      </c>
      <c r="CJ13" s="39">
        <f t="shared" si="50"/>
        <v>2.6729022820342343</v>
      </c>
      <c r="CK13" s="95">
        <f t="shared" si="51"/>
        <v>0.10473346439420128</v>
      </c>
      <c r="CM13" s="3" t="s">
        <v>35</v>
      </c>
      <c r="CN13" s="3">
        <f>EXP(PIlnCES_LL_Peto)</f>
        <v>0.95701677269715435</v>
      </c>
      <c r="CP13" s="176"/>
      <c r="CQ13" s="99">
        <f t="shared" si="52"/>
        <v>0.1</v>
      </c>
      <c r="CS13" s="2" t="s">
        <v>44</v>
      </c>
      <c r="CT13" s="3">
        <f>IF(Weighting_method="Inverse variance",IF(Model_effect_size_measure="Risk Ratio",CICES_UL,IF(Model_effect_size_measure="Odds Ratio",CICES_UL/(1-MEDIAN(Control_group_risk)+(MEDIAN(Control_group_risk)*CICES_UL)),"")),"")</f>
        <v>1.8127302296118308</v>
      </c>
      <c r="CU13" s="3">
        <f>IF(Model_effect_size_measure="Odds Ratio",CICES_UL_MH/(1-MEDIAN(Control_group_risk)+(MEDIAN(Control_group_risk)*CICES_UL_MH)),"")</f>
        <v>1.8134417367516735</v>
      </c>
      <c r="CV13" s="3" t="str">
        <f>IF(Model_effect_size_measure="Peto Odds Ratio",CICES_UL_Peto/(1-MEDIAN(Control_group_risk)+(MEDIAN(Control_group_risk)*CICES_UL_Peto)),"")</f>
        <v/>
      </c>
      <c r="CX13" s="196"/>
      <c r="CY13" s="89">
        <f t="shared" si="53"/>
        <v>13</v>
      </c>
      <c r="CZ13" s="136" t="str">
        <f t="shared" si="54"/>
        <v>llll</v>
      </c>
      <c r="DA13" s="140" t="str">
        <f t="shared" si="55"/>
        <v>BB</v>
      </c>
      <c r="DB13" s="39">
        <f t="shared" si="56"/>
        <v>0.5389965007326869</v>
      </c>
      <c r="DC13" s="39">
        <f t="shared" si="57"/>
        <v>0.60912375264123952</v>
      </c>
      <c r="DD13" s="39">
        <f t="shared" si="58"/>
        <v>2.6951871657754016</v>
      </c>
      <c r="DE13" s="39">
        <f t="shared" si="59"/>
        <v>2.2398942266789179</v>
      </c>
      <c r="DF13" s="141">
        <f t="shared" si="60"/>
        <v>0.16205517494984353</v>
      </c>
      <c r="DG13" s="39">
        <f t="shared" si="61"/>
        <v>1.7142857142857142</v>
      </c>
      <c r="DH13" s="39">
        <f t="shared" si="62"/>
        <v>0.51189427220204375</v>
      </c>
      <c r="DI13" s="39">
        <f t="shared" si="63"/>
        <v>5.7409814287668999</v>
      </c>
      <c r="DJ13" s="74">
        <f t="shared" si="64"/>
        <v>0.20115641950707969</v>
      </c>
      <c r="DL13" s="84">
        <f t="shared" si="65"/>
        <v>1.7142857142857142</v>
      </c>
      <c r="DM13" s="39">
        <f t="shared" si="100"/>
        <v>1.2023914420836705</v>
      </c>
      <c r="DN13" s="74">
        <f t="shared" si="101"/>
        <v>4.0266957144811855</v>
      </c>
      <c r="DP13" s="89" t="str">
        <f t="shared" si="102"/>
        <v/>
      </c>
      <c r="DQ13" s="26" t="str">
        <f>IF(AND(Sufficient_data="Yes",Subgroup&lt;&gt;""),IF(COUNTIFS(Input!J$2:J12,"="&amp;"Yes",Input!C$2:C12,"="&amp;"Yes",Input!K$2:K12,"="&amp;Subgroup)&gt;0,"",Subgroup),"")</f>
        <v/>
      </c>
      <c r="DR13" s="7" t="str">
        <f t="shared" si="103"/>
        <v/>
      </c>
      <c r="DS13" s="7" t="str">
        <f t="shared" si="66"/>
        <v/>
      </c>
      <c r="DT13" s="19" t="str">
        <f t="shared" si="67"/>
        <v/>
      </c>
      <c r="DU13" s="12" t="str">
        <f t="shared" si="104"/>
        <v/>
      </c>
      <c r="DV13" s="11" t="str">
        <f t="shared" si="105"/>
        <v/>
      </c>
      <c r="DW13" s="12" t="str">
        <f t="shared" si="68"/>
        <v/>
      </c>
      <c r="DX13" s="19" t="str">
        <f t="shared" si="69"/>
        <v/>
      </c>
      <c r="DY13" s="19" t="str">
        <f t="shared" si="106"/>
        <v/>
      </c>
      <c r="DZ13" s="19" t="str">
        <f t="shared" si="70"/>
        <v/>
      </c>
      <c r="EA13" s="19" t="str">
        <f t="shared" si="71"/>
        <v/>
      </c>
      <c r="EB13" s="7" t="str">
        <f t="shared" si="72"/>
        <v/>
      </c>
      <c r="EC13" s="19" t="str">
        <f t="shared" si="107"/>
        <v/>
      </c>
      <c r="ED13" s="19" t="str">
        <f t="shared" si="108"/>
        <v/>
      </c>
      <c r="EE13" s="19" t="str">
        <f t="shared" si="109"/>
        <v/>
      </c>
      <c r="EF13" s="19" t="str">
        <f t="shared" si="110"/>
        <v/>
      </c>
      <c r="EG13" s="19" t="str">
        <f t="shared" si="111"/>
        <v/>
      </c>
      <c r="EH13" s="19" t="str">
        <f t="shared" si="112"/>
        <v/>
      </c>
      <c r="EI13" s="19" t="str">
        <f t="shared" si="113"/>
        <v/>
      </c>
      <c r="EJ13" s="19" t="str">
        <f t="shared" si="114"/>
        <v/>
      </c>
      <c r="EK13" s="19" t="str">
        <f t="shared" si="73"/>
        <v/>
      </c>
      <c r="EL13" s="19" t="str">
        <f t="shared" si="115"/>
        <v/>
      </c>
      <c r="EM13" s="19" t="str">
        <f t="shared" si="116"/>
        <v/>
      </c>
      <c r="EN13" s="19" t="str">
        <f t="shared" si="117"/>
        <v/>
      </c>
      <c r="EO13" s="19" t="str">
        <f t="shared" si="118"/>
        <v/>
      </c>
      <c r="EP13" s="19" t="str">
        <f t="shared" si="74"/>
        <v/>
      </c>
      <c r="EQ13" s="19" t="e">
        <f t="shared" si="119"/>
        <v>#N/A</v>
      </c>
      <c r="ER13" s="11" t="str">
        <f t="shared" si="120"/>
        <v/>
      </c>
      <c r="ES13" s="19" t="str">
        <f t="shared" si="121"/>
        <v/>
      </c>
      <c r="ET13" s="156" t="str">
        <f t="shared" si="122"/>
        <v/>
      </c>
      <c r="EU13" s="39" t="str">
        <f t="shared" si="75"/>
        <v/>
      </c>
      <c r="EV13" s="74" t="str">
        <f t="shared" si="76"/>
        <v/>
      </c>
      <c r="EX13" s="2" t="s">
        <v>216</v>
      </c>
      <c r="EY13" s="3">
        <f>IF(Subgroup_valid_options="Yes",IF(Subgroup_effect_size_measure="Risk Difference",EY9-ABS(TINV((1-Subgroup_confidence_level),Subgroup_k-1))*SQRT(EY10^2+EY35),EXP(EY6)),"")</f>
        <v>1.3335147136573267</v>
      </c>
      <c r="FA13" s="196"/>
      <c r="FB13" s="84">
        <f>IF(AND(Include_study?="Yes",Sufficient_data="Yes",Moderator&lt;&gt;""),'Moderator Analysis'!E13,NA())</f>
        <v>18</v>
      </c>
      <c r="FC13" s="39">
        <f>IF(AND(Include_study?="Yes",Sufficient_data="Yes",Moderator&lt;&gt;""),'Moderator Analysis'!F13,NA())</f>
        <v>0.5389965007326869</v>
      </c>
      <c r="FD13" s="39">
        <f t="shared" si="77"/>
        <v>0.60912375264123952</v>
      </c>
      <c r="FE13" s="39">
        <f t="shared" si="78"/>
        <v>2.6951871657754016</v>
      </c>
      <c r="FF13" s="39">
        <f>IF(AND(Include_study?="Yes",Sufficient_data="Yes",Moderator&lt;&gt;""),'Moderator Analysis'!F:F-FP$2,"")</f>
        <v>0.11605797075118768</v>
      </c>
      <c r="FG13" s="39">
        <f>IF(AND(Include_study?="Yes",Sufficient_data="Yes",Moderator&lt;&gt;""),'Moderator Analysis'!E:E-FP$3,"")</f>
        <v>1.0658080265329311</v>
      </c>
      <c r="FH13" s="74">
        <f>IF(AND(Include_study?="Yes",Sufficient_data="Yes",Moderator&lt;&gt;""),FE:FE*('Moderator Analysis'!F:F-FP$5-FP$4*'Moderator Analysis'!E:E)^2,"")</f>
        <v>3.6740652244606466E-2</v>
      </c>
      <c r="FI13" s="128"/>
      <c r="FJ13" s="92">
        <f t="shared" si="79"/>
        <v>2.3543100449495107</v>
      </c>
      <c r="FK13" s="137">
        <f>IF(AND(Include_study?="Yes",Sufficient_data="Yes",Moderator&lt;&gt;""),'Moderator Analysis'!F:F-'Moderator Analysis'!J$37,"")</f>
        <v>0.11605797075118768</v>
      </c>
      <c r="FL13" s="137">
        <f>IF(AND(Include_study?="Yes",Sufficient_data="Yes",Moderator&lt;&gt;""),'Moderator Analysis'!E:E-SUMPRODUCT('Moderator Analysis'!E:E,FJ:FJ)/SUM(FJ:FJ),"")</f>
        <v>1.0819051857616735</v>
      </c>
      <c r="FM13" s="95">
        <f>IF(AND(Include_study?="Yes",Sufficient_data="Yes",Moderator&lt;&gt;""),FJ:FJ*('Moderator Analysis'!F:F-'Moderator Analysis'!J$29-'Moderator Analysis'!J$30*'Moderator Analysis'!E:E)^2,"")</f>
        <v>3.2093832938903971E-2</v>
      </c>
      <c r="FN13" s="21"/>
      <c r="FO13" s="3">
        <f>IF(FP3&lt;&gt;"",MAX('Moderator Analysis'!E:E)*1.1,"")</f>
        <v>24.200000000000003</v>
      </c>
      <c r="FP13" s="3">
        <f>IF(FP3&lt;&gt;"",FO13*'Moderator Analysis'!J30+'Moderator Analysis'!J29,"")</f>
        <v>0.41818038033589844</v>
      </c>
      <c r="FR13" s="196"/>
      <c r="FS13" s="182"/>
      <c r="FT13" s="130">
        <f>IF(AND(Include_study?="Yes",Sufficient_data="Yes"),IF(Additional_weighting_method="Inverse Variance",1/'Publication Bias Analysis'!F:F^2,IF(Additional_weighting_method="Mantel-Haenszel",Weightf_MH,Weightf_Peto)),"")</f>
        <v>2.6951871657754016</v>
      </c>
      <c r="FU13" s="39">
        <f>IF(AND(Include_study?="Yes",Sufficient_data="Yes"),1/('Publication Bias Analysis'!F:F^2+IF(Additional_model="Fixed effect",0,Calculations!GH$12)),"")</f>
        <v>2.6951871657754016</v>
      </c>
      <c r="FV13" s="39">
        <f>IF(AND(Include_study?="Yes",Sufficient_data="Yes"),1/('Publication Bias Analysis'!F:F^2+IF(Additional_model="Fixed effect",0,'Publication Bias Analysis'!L$32)),"")</f>
        <v>2.6951871657754016</v>
      </c>
      <c r="FW13" s="39">
        <f>IF(AND(Include_study?="Yes",Sufficient_data="Yes"),'Publication Bias Analysis'!E:E-'Publication Bias Analysis'!I$37,"")</f>
        <v>0.11605797075118768</v>
      </c>
      <c r="FX13" s="39">
        <f>IF(AND(Include_study?="Yes",Sufficient_data="Yes"),IF(Additional_model="Fixed effect",1/'Publication Bias Analysis'!F:F,1/SQRT('Publication Bias Analysis'!F:F^2+GH$12)),"")</f>
        <v>1.6417025204876192</v>
      </c>
      <c r="FY13" s="39">
        <f>IF(AND(Include_study?="Yes",Sufficient_data="Yes"),IF(Additional_model="Fixed effect",'Publication Bias Analysis'!E:E/'Publication Bias Analysis'!F:F,'Publication Bias Analysis'!E:E/SQRT('Publication Bias Analysis'!F:F^2+GH$12)),"")</f>
        <v>0.88487191378685892</v>
      </c>
      <c r="FZ13" s="136">
        <f t="shared" si="80"/>
        <v>2</v>
      </c>
      <c r="GA13" s="144">
        <f>IF(AND(Include_study?="Yes",Sufficient_data="Yes"),FZ:FZ+IF(GL:GL&lt;0,-1,1)*COUNTIF(FZ$2:FZ12,FZ:FZ),"")</f>
        <v>2</v>
      </c>
      <c r="GB13" s="144">
        <f>IF(AND(Include_study?="Yes",Sufficient_data="Yes"),RANK(GP:GP,GP:GP,1)*IF(GO:GO&lt;0,-1,1)+IF(GO:GO&lt;0,-1,1)*COUNTIF(FZ$2:FZ12,FZ:FZ),"")</f>
        <v>2</v>
      </c>
      <c r="GC13" s="144">
        <f>IF(AND(Include_study?="Yes",Sufficient_data="Yes"),RANK(GS:GS,GS:GS,1)*IF(GR:GR&lt;0,-1,1)+IF(GR:GR&lt;0,-1,1)*COUNTIF(FZ$2:FZ12,FZ:FZ),"")</f>
        <v>2</v>
      </c>
      <c r="GD13" s="39">
        <f>IF(AND(Include_study?="Yes",Sufficient_data="Yes"),'Publication Bias Analysis'!E13,NA())</f>
        <v>0.5389965007326869</v>
      </c>
      <c r="GE13" s="74">
        <f>IF(AND(Include_study?="Yes",Sufficient_data="Yes"),'Publication Bias Analysis'!F13,NA())</f>
        <v>0.60912375264123952</v>
      </c>
      <c r="GK13" s="176"/>
      <c r="GL13" s="130">
        <f>IF(AND(Include_study?="Yes",Sufficient_data="Yes"),IF('Publication Bias Analysis'!L$38="Left",'Publication Bias Analysis'!E:E-'Publication Bias Analysis'!I$29,'Publication Bias Analysis'!I$29-'Publication Bias Analysis'!E:E),"")</f>
        <v>0.11605797075118768</v>
      </c>
      <c r="GM13" s="39">
        <f t="shared" si="81"/>
        <v>0.11605797075118768</v>
      </c>
      <c r="GN13" s="74">
        <f>IF(AND(Include_study?="Yes",Sufficient_data="Yes"),IF(AND(Additional_weighting_method="Mantel-Haenszel",Additional_model="Fixed effect"),Weightf_MH,1/('Publication Bias Analysis'!F:F^2+IF(Additional_model="Fixed effect",0,GW$6))),"")</f>
        <v>2.6951871657754016</v>
      </c>
      <c r="GO13" s="39">
        <f>IF(AND(Include_study?="Yes",Sufficient_data="Yes"),IF('Publication Bias Analysis'!L$38="Left",'Publication Bias Analysis'!E:E-GW$3,GW$3-'Publication Bias Analysis'!E:E),"")</f>
        <v>0.11605797075118768</v>
      </c>
      <c r="GP13" s="39">
        <f t="shared" si="82"/>
        <v>0.11605797075118768</v>
      </c>
      <c r="GQ13" s="74">
        <f>IF(AND(Include_study?="Yes",Sufficient_data="Yes"),IF(AND(Additional_weighting_method="Mantel-Haenszel",Additional_model="Fixed effect"),Weightf_MH,1/('Publication Bias Analysis'!F:F^2+IF(Additional_model="Fixed effect",0,GW$13))),"")</f>
        <v>2.6951871657754016</v>
      </c>
      <c r="GR13" s="39">
        <f>IF(AND(Include_study?="Yes",Sufficient_data="Yes"),IF('Publication Bias Analysis'!L$38="Left",'Publication Bias Analysis'!E:E-GW$10,GW$10-'Publication Bias Analysis'!E:E),"")</f>
        <v>0.11605797075118768</v>
      </c>
      <c r="GS13" s="39">
        <f t="shared" si="83"/>
        <v>0.11605797075118768</v>
      </c>
      <c r="GT13" s="74">
        <f>IF(AND(Include_study?="Yes",Sufficient_data="Yes"),IF(AND(Additional_weighting_method="Mantel-Haenszel",Additional_model="Fixed effect"),Weightf_MH,1/('Publication Bias Analysis'!F:F^2+IF(Additional_model="Fixed effect",0,GW$20))),"")</f>
        <v>2.6951871657754016</v>
      </c>
      <c r="GV13" s="2" t="s">
        <v>30</v>
      </c>
      <c r="GW13" s="19">
        <f>MAX(0,(GW12-(k_-GW14))/((SUMIF(GB:GB,"&lt;="&amp;(MAX(GB:GB)-GW14),Calculations!FT:FT))-((SUMPRODUCT(--(GB:GB&lt;=(MAX(GB:GB)-GW14)),Calculations!FT:FT,Calculations!FT:FT))/(SUMIF(GB:GB,"&lt;="&amp;(MAX(GB:GB)-GW14),Calculations!FT:FT)))))</f>
        <v>5.8726149370426526E-3</v>
      </c>
      <c r="GY13" s="89">
        <v>12</v>
      </c>
      <c r="GZ13" s="7" t="str">
        <f>IF(Trim_and_fill="On",IF(GW$21&gt;(COUNT(GZ$2:GZ12)),IF(COUNTIF(GA:GA,-1*(MAX(GA:GA)-GY13+1))=1,"",MAX(GA:GA)-GY13+1),""),"")</f>
        <v/>
      </c>
      <c r="HA13" s="60" t="str">
        <f t="shared" si="84"/>
        <v/>
      </c>
      <c r="HB13" s="65" t="str">
        <f t="shared" si="85"/>
        <v/>
      </c>
      <c r="HC13" s="3" t="str">
        <f t="shared" si="86"/>
        <v/>
      </c>
      <c r="HD13" s="39" t="str">
        <f>IF(GZ13&lt;&gt;"",1/(HB13^2+'Publication Bias Analysis'!L$32),"")</f>
        <v/>
      </c>
      <c r="HE13" s="74" t="str">
        <f>IF(GZ13&lt;&gt;"",HA:HA-'Publication Bias Analysis'!I$37,"")</f>
        <v/>
      </c>
      <c r="HG13" s="89">
        <v>12</v>
      </c>
      <c r="HH13" s="3" t="e">
        <f t="shared" si="87"/>
        <v>#N/A</v>
      </c>
      <c r="HI13" s="74" t="e">
        <f t="shared" si="88"/>
        <v>#N/A</v>
      </c>
      <c r="HK13" s="176"/>
      <c r="HL13" s="66">
        <f t="shared" si="89"/>
        <v>-0.38853008306741277</v>
      </c>
      <c r="HM13" s="74">
        <f>IF(AND(Include_study?="Yes",Sufficient_data="Yes"),Z_score-('Publication Bias Analysis'!P$3+'Publication Bias Analysis'!P$4*Inverse_standard_error),"")</f>
        <v>0.16296513827329873</v>
      </c>
      <c r="HO13" s="176"/>
      <c r="HP13" s="64">
        <f>IF(AND(Include_study?="Yes",Sufficient_data="Yes"),(GD:GD-SUMPRODUCT(Calculations!FT:FT,'Publication Bias Analysis'!E:E)/SUM(Calculations!FT:FT))/SQRT(Calculations!HQ:HQ),"")</f>
        <v>0.19569356811132266</v>
      </c>
      <c r="HQ13" s="64">
        <f>IF(AND(Include_study?="Yes",Sufficient_data="Yes"),GE:GE^2-1/SUM(Calculations!FT:FT),"")</f>
        <v>0.35171981961450399</v>
      </c>
      <c r="HR13" s="7">
        <f t="shared" si="90"/>
        <v>8</v>
      </c>
      <c r="HS13" s="7">
        <f t="shared" si="91"/>
        <v>3</v>
      </c>
      <c r="HT13" s="7">
        <f>IF(AND(Include_study?="Yes",Sufficient_data="Yes"),COUNTIFS(HR$2:HR12,"&lt;"&amp;HR13,HS$2:HS12,"&lt;"&amp;HS13)+COUNTIFS(HR14:HR$201,"&lt;"&amp;HR13,HS14:HS$201,"&lt;"&amp;HS13)+COUNTIFS(HR$2:HR12,"&gt;"&amp;HR13,HS$2:HS12,"&gt;"&amp;HS13)+COUNTIFS(HR14:HR$201,"&gt;"&amp;HR13,HS14:HS$201,"&gt;"&amp;HS13),"")</f>
        <v>4</v>
      </c>
      <c r="HU13" s="104">
        <f>IF(AND(Include_study?="Yes",Sufficient_data="Yes"),COUNTIFS(HR$2:HR12,"&lt;"&amp;HR13,HS$2:HS12,"&gt;"&amp;HS13)+COUNTIFS(HR14:HR$201,"&lt;"&amp;HR13,HS14:HS$201,"&gt;"&amp;HS13)+COUNTIFS(HR$2:HR12,"&gt;"&amp;HR13,HS$2:HS12,"&lt;"&amp;HS13)+COUNTIFS(HR14:HR$201,"&gt;"&amp;HR13,HS14:HS$201,"&lt;"&amp;HS13),"")</f>
        <v>7</v>
      </c>
      <c r="HW13" s="176"/>
      <c r="HX13" s="2" t="s">
        <v>139</v>
      </c>
      <c r="HY13" s="3">
        <f>MAX(MAX(Standardized_residual),ABS(MIN(Standardized_residual)))</f>
        <v>2.1467412777431161</v>
      </c>
      <c r="IB13" s="176"/>
      <c r="IC13" s="146">
        <f t="shared" si="92"/>
        <v>0.16</v>
      </c>
      <c r="ID13" s="137">
        <f t="shared" si="93"/>
        <v>0.1</v>
      </c>
      <c r="IE13" s="137">
        <f t="shared" si="94"/>
        <v>3.5087719298245617</v>
      </c>
      <c r="IF13" s="95">
        <f t="shared" si="95"/>
        <v>2.6951871657754016</v>
      </c>
      <c r="IK13" s="176"/>
      <c r="IL13" s="158">
        <f>IF(AND(Include_study?="Yes",Sufficient_data="Yes"),'Publication Bias Analysis'!AV:AV,NA())</f>
        <v>0.88487191378685892</v>
      </c>
      <c r="IM13" s="158">
        <f>IF(AND(Sufficient_data="Yes",Include_study?="Yes"),'Publication Bias Analysis'!AU:AU,NA())</f>
        <v>1.6417025204876192</v>
      </c>
      <c r="IN13" s="62">
        <f t="shared" si="96"/>
        <v>-0.38853008306741277</v>
      </c>
      <c r="IO13" s="74">
        <f>IF(AND(Include_study?="Yes",Sufficient_data="Yes"),Z_score-('Publication Bias Analysis'!AY$30+'Publication Bias Analysis'!AY$31*Inverse_standard_error),"")</f>
        <v>0.19053266310490313</v>
      </c>
      <c r="IQ13"/>
      <c r="IR13"/>
      <c r="IS13"/>
      <c r="IU13" s="176"/>
      <c r="IV13" s="7">
        <f>IF('Publication Bias Analysis'!BG:BG&lt;&gt;"",RANK('Publication Bias Analysis'!BG:BG,'Publication Bias Analysis'!BG:BG,1)+COUNTIF('Publication Bias Analysis'!BG$2:BG12,'Publication Bias Analysis'!BG13),"")</f>
        <v>5</v>
      </c>
      <c r="IW13" s="124">
        <f t="shared" si="97"/>
        <v>0.3783783783783784</v>
      </c>
      <c r="IX13" s="125">
        <f>IF('Publication Bias Analysis'!BF13&lt;&gt;"",'Publication Bias Analysis'!BF13,NA())</f>
        <v>-0.30974253153853021</v>
      </c>
      <c r="IY13" s="125">
        <f>IF('Publication Bias Analysis'!BG13&lt;&gt;"",'Publication Bias Analysis'!BG13,NA())</f>
        <v>0.88487191378685892</v>
      </c>
      <c r="IZ13" s="62">
        <f>IF(AND(Include_study?="Yes",Sufficient_data="Yes"),'Publication Bias Analysis'!BF:BF-AVERAGE('Publication Bias Analysis'!BF:BF),"")</f>
        <v>-0.30974253153853004</v>
      </c>
      <c r="JA13" s="74">
        <f>IF(AND(Include_study?="Yes",Sufficient_data="Yes"),'Publication Bias Analysis'!BG:BG-('Publication Bias Analysis'!BJ$30+'Publication Bias Analysis'!BJ$31*'Publication Bias Analysis'!BF:BF),"")</f>
        <v>0.35209442608044894</v>
      </c>
      <c r="JG13" s="176"/>
      <c r="JH13" s="39">
        <f t="shared" si="98"/>
        <v>0.88487191378685892</v>
      </c>
      <c r="JI13" s="148">
        <f t="shared" si="124"/>
        <v>0.1881128588290375</v>
      </c>
      <c r="JJ13" s="74">
        <f t="shared" si="125"/>
        <v>-1.6707131833474966</v>
      </c>
    </row>
    <row r="14" spans="1:270" ht="13.5" customHeight="1" x14ac:dyDescent="0.25">
      <c r="A14" s="2" t="str">
        <f t="shared" si="0"/>
        <v/>
      </c>
      <c r="B14" s="7" t="str">
        <f>IF(AND(Include_study?="Yes",Sufficient_data="Yes"),IF(Input!a_&lt;&gt;"",Input!a_,Input!n1_-Input!b_),"")</f>
        <v/>
      </c>
      <c r="C14" s="7" t="str">
        <f>IF(AND(Include_study?="Yes",Sufficient_data="Yes"),IF(Input!b_&lt;&gt;"",Input!b_,Input!n1_-Input!a_),"")</f>
        <v/>
      </c>
      <c r="D14" s="7" t="str">
        <f>IF(AND(Include_study?="Yes",Sufficient_data="Yes"),IF(Input!c_&lt;&gt;"",Input!c_,Input!n2_-Input!d_),"")</f>
        <v/>
      </c>
      <c r="E14" s="7" t="str">
        <f>IF(AND(Include_study?="Yes",Sufficient_data="Yes"),IF(Input!d_&lt;&gt;"",Input!d_,Input!n2_-Input!c_),"")</f>
        <v/>
      </c>
      <c r="F14" s="74" t="str">
        <f t="shared" si="1"/>
        <v/>
      </c>
      <c r="H14" s="196"/>
      <c r="I14" s="182"/>
      <c r="J14" s="146" t="str">
        <f t="shared" si="2"/>
        <v/>
      </c>
      <c r="K14" s="39" t="str">
        <f t="shared" si="3"/>
        <v/>
      </c>
      <c r="L14" s="39" t="str">
        <f t="shared" si="4"/>
        <v/>
      </c>
      <c r="M14" s="39" t="str">
        <f t="shared" si="5"/>
        <v/>
      </c>
      <c r="N14" s="74" t="str">
        <f t="shared" si="6"/>
        <v/>
      </c>
      <c r="P14" s="176"/>
      <c r="Q14" s="130" t="str">
        <f t="shared" si="7"/>
        <v/>
      </c>
      <c r="R14" s="39" t="str">
        <f t="shared" si="8"/>
        <v/>
      </c>
      <c r="S14" s="39" t="str">
        <f t="shared" si="9"/>
        <v/>
      </c>
      <c r="T14" s="74" t="str">
        <f t="shared" si="10"/>
        <v/>
      </c>
      <c r="V14" s="176"/>
      <c r="W14" s="130" t="str">
        <f t="shared" si="11"/>
        <v/>
      </c>
      <c r="X14" s="39" t="str">
        <f t="shared" si="12"/>
        <v/>
      </c>
      <c r="Y14" s="39" t="str">
        <f t="shared" si="13"/>
        <v/>
      </c>
      <c r="Z14" s="74" t="str">
        <f t="shared" si="14"/>
        <v/>
      </c>
      <c r="AB14" s="176"/>
      <c r="AC14" s="130" t="str">
        <f t="shared" si="15"/>
        <v/>
      </c>
      <c r="AD14" s="39" t="str">
        <f t="shared" si="16"/>
        <v/>
      </c>
      <c r="AE14" s="39" t="str">
        <f t="shared" si="17"/>
        <v/>
      </c>
      <c r="AF14" s="39" t="str">
        <f t="shared" si="18"/>
        <v/>
      </c>
      <c r="AG14" s="74" t="str">
        <f t="shared" si="19"/>
        <v/>
      </c>
      <c r="AI14" s="196"/>
      <c r="AJ1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" s="136" t="str">
        <f>IF(AJ14&lt;&gt;"",IF(AJ14=0,COUNTIF(AJ$2:AJ13,0)+1,COUNTIF(AJ$2:AJ13,AJ14)+AJ14+COUNTIF(AJ:AJ,0)),"")</f>
        <v/>
      </c>
      <c r="AL14" s="136" t="str">
        <f t="shared" si="20"/>
        <v/>
      </c>
      <c r="AM14" s="155" t="str">
        <f>IF(AND(Include_study?="Yes",Sufficient_data="Yes",Input!Study_name&lt;&gt;""),Input!Study_name,"")</f>
        <v/>
      </c>
      <c r="AN14" s="136" t="str">
        <f t="shared" si="21"/>
        <v/>
      </c>
      <c r="AO14" s="19" t="str">
        <f t="shared" si="22"/>
        <v/>
      </c>
      <c r="AP14" s="158" t="str">
        <f t="shared" si="23"/>
        <v/>
      </c>
      <c r="AQ14" s="158" t="str">
        <f t="shared" si="24"/>
        <v/>
      </c>
      <c r="AR14" s="39" t="str">
        <f t="shared" si="25"/>
        <v/>
      </c>
      <c r="AS14" s="158" t="str">
        <f t="shared" si="26"/>
        <v/>
      </c>
      <c r="AT14" s="39" t="str">
        <f t="shared" si="27"/>
        <v/>
      </c>
      <c r="AU14" s="172" t="str">
        <f t="shared" si="28"/>
        <v/>
      </c>
      <c r="AW14" s="84" t="e">
        <f t="shared" si="29"/>
        <v>#N/A</v>
      </c>
      <c r="AX14" s="3" t="e">
        <f t="shared" si="30"/>
        <v>#N/A</v>
      </c>
      <c r="AY14" s="74" t="e">
        <f t="shared" si="31"/>
        <v>#N/A</v>
      </c>
      <c r="BA14" s="45"/>
      <c r="BB14" s="45"/>
      <c r="BD14" s="196"/>
      <c r="BE14" s="182"/>
      <c r="BF14" s="3" t="str">
        <f t="shared" si="32"/>
        <v/>
      </c>
      <c r="BG14" s="3" t="str">
        <f t="shared" si="33"/>
        <v/>
      </c>
      <c r="BH14" s="3" t="str">
        <f t="shared" si="34"/>
        <v/>
      </c>
      <c r="BI14" s="39" t="str">
        <f t="shared" si="99"/>
        <v/>
      </c>
      <c r="BJ14" s="95" t="str">
        <f t="shared" si="35"/>
        <v/>
      </c>
      <c r="BL14" s="3" t="s">
        <v>36</v>
      </c>
      <c r="BM14" s="3">
        <f>IF(Model_effect_size_measure="Risk Difference",CES_IV+ABS(TINV((1-Confidence_level),k_-1))*SQRT(T2_+SECES_Risk_Difference^2),EXP(PIlnCES_UL))</f>
        <v>2.4890476254124199</v>
      </c>
      <c r="BO14" s="176"/>
      <c r="BP14" s="158" t="str">
        <f t="shared" si="36"/>
        <v/>
      </c>
      <c r="BQ14" s="158" t="str">
        <f t="shared" si="37"/>
        <v/>
      </c>
      <c r="BR14" s="158" t="str">
        <f t="shared" si="38"/>
        <v/>
      </c>
      <c r="BS14" s="158" t="str">
        <f>IF(AND(Sufficient_data="Yes",Include_study?="Yes"),IF(Add_0_5="Yes",(a_+d_+1)*(ab_+0.5)*(c_+0.5)/(Number_of_subjects+2)^2,(a_+d_)*b_*c_/Number_of_subjects^2),"")</f>
        <v/>
      </c>
      <c r="BT14" s="158" t="str">
        <f t="shared" si="39"/>
        <v/>
      </c>
      <c r="BU14" s="158" t="str">
        <f t="shared" si="40"/>
        <v/>
      </c>
      <c r="BV14" s="158" t="str">
        <f t="shared" si="41"/>
        <v/>
      </c>
      <c r="BW14" s="3" t="str">
        <f t="shared" si="42"/>
        <v/>
      </c>
      <c r="BX14" s="137" t="str">
        <f t="shared" si="43"/>
        <v/>
      </c>
      <c r="BY14" s="95" t="str">
        <f t="shared" si="44"/>
        <v/>
      </c>
      <c r="CA14" s="3" t="s">
        <v>36</v>
      </c>
      <c r="CB14" s="19">
        <f>EXP(PIlnCES_UL_MH)</f>
        <v>2.5499366731635966</v>
      </c>
      <c r="CD14" s="176"/>
      <c r="CE14" s="130" t="str">
        <f t="shared" si="45"/>
        <v/>
      </c>
      <c r="CF14" s="39" t="str">
        <f t="shared" si="46"/>
        <v/>
      </c>
      <c r="CG14" s="39" t="str">
        <f t="shared" si="47"/>
        <v/>
      </c>
      <c r="CH14" s="39" t="str">
        <f t="shared" si="48"/>
        <v/>
      </c>
      <c r="CI14" s="39" t="str">
        <f t="shared" si="49"/>
        <v/>
      </c>
      <c r="CJ14" s="39" t="str">
        <f t="shared" si="50"/>
        <v/>
      </c>
      <c r="CK14" s="95" t="str">
        <f t="shared" si="51"/>
        <v/>
      </c>
      <c r="CM14" s="3" t="s">
        <v>36</v>
      </c>
      <c r="CN14" s="3">
        <f>EXP(PIlnCES_UL_Peto)</f>
        <v>2.4226580630253993</v>
      </c>
      <c r="CP14" s="176"/>
      <c r="CQ14" s="99" t="str">
        <f t="shared" si="52"/>
        <v/>
      </c>
      <c r="CS14" s="2" t="s">
        <v>45</v>
      </c>
      <c r="CT14" s="3">
        <f>IF(Weighting_method="Inverse variance",IF(Model_effect_size_measure="Risk Ratio",PICES_LL,IF(Model_effect_size_measure="Odds Ratio",PICES_LL/(1-MEDIAN(Control_group_risk)+(MEDIAN(Control_group_risk)*PICES_LL)),"")),"")</f>
        <v>0.94398510847321937</v>
      </c>
      <c r="CU14" s="3">
        <f>IF(Model_effect_size_measure="Odds Ratio",PICES_LL_MH/(1-MEDIAN(Control_group_risk)+(MEDIAN(Control_group_risk)*PICES_LL_MH)),"")</f>
        <v>0.9244642831015164</v>
      </c>
      <c r="CV14" s="3" t="str">
        <f>IF(Model_effect_size_measure="Peto Odds Ratio",PICES_LL_Peto/(1-MEDIAN(Control_group_risk)+(MEDIAN(Control_group_risk)*PICES_LL_Peto)),"")</f>
        <v/>
      </c>
      <c r="CX14" s="196"/>
      <c r="CY14" s="89" t="e">
        <f t="shared" si="53"/>
        <v>#N/A</v>
      </c>
      <c r="CZ14" s="136" t="str">
        <f t="shared" si="54"/>
        <v/>
      </c>
      <c r="DA14" s="140" t="str">
        <f t="shared" si="55"/>
        <v/>
      </c>
      <c r="DB14" s="39" t="str">
        <f t="shared" si="56"/>
        <v/>
      </c>
      <c r="DC14" s="39" t="str">
        <f t="shared" si="57"/>
        <v/>
      </c>
      <c r="DD14" s="39" t="str">
        <f t="shared" si="58"/>
        <v/>
      </c>
      <c r="DE14" s="39" t="str">
        <f t="shared" si="59"/>
        <v/>
      </c>
      <c r="DF14" s="141" t="str">
        <f t="shared" si="60"/>
        <v/>
      </c>
      <c r="DG14" s="39" t="str">
        <f t="shared" si="61"/>
        <v/>
      </c>
      <c r="DH14" s="39" t="str">
        <f t="shared" si="62"/>
        <v/>
      </c>
      <c r="DI14" s="39" t="str">
        <f t="shared" si="63"/>
        <v/>
      </c>
      <c r="DJ14" s="74" t="str">
        <f t="shared" si="64"/>
        <v/>
      </c>
      <c r="DL14" s="84" t="e">
        <f t="shared" si="65"/>
        <v>#N/A</v>
      </c>
      <c r="DM14" s="39" t="e">
        <f t="shared" si="100"/>
        <v>#N/A</v>
      </c>
      <c r="DN14" s="74" t="e">
        <f t="shared" si="101"/>
        <v>#N/A</v>
      </c>
      <c r="DP14" s="89" t="str">
        <f t="shared" si="102"/>
        <v/>
      </c>
      <c r="DQ14" s="26" t="str">
        <f>IF(AND(Sufficient_data="Yes",Subgroup&lt;&gt;""),IF(COUNTIFS(Input!J$2:J13,"="&amp;"Yes",Input!C$2:C13,"="&amp;"Yes",Input!K$2:K13,"="&amp;Subgroup)&gt;0,"",Subgroup),"")</f>
        <v/>
      </c>
      <c r="DR14" s="7" t="str">
        <f t="shared" si="103"/>
        <v/>
      </c>
      <c r="DS14" s="7" t="str">
        <f t="shared" si="66"/>
        <v/>
      </c>
      <c r="DT14" s="19" t="str">
        <f t="shared" si="67"/>
        <v/>
      </c>
      <c r="DU14" s="12" t="str">
        <f t="shared" si="104"/>
        <v/>
      </c>
      <c r="DV14" s="11" t="str">
        <f t="shared" si="105"/>
        <v/>
      </c>
      <c r="DW14" s="12" t="str">
        <f t="shared" si="68"/>
        <v/>
      </c>
      <c r="DX14" s="19" t="str">
        <f t="shared" si="69"/>
        <v/>
      </c>
      <c r="DY14" s="19" t="str">
        <f t="shared" si="106"/>
        <v/>
      </c>
      <c r="DZ14" s="19" t="str">
        <f t="shared" si="70"/>
        <v/>
      </c>
      <c r="EA14" s="19" t="str">
        <f t="shared" si="71"/>
        <v/>
      </c>
      <c r="EB14" s="7" t="str">
        <f t="shared" si="72"/>
        <v/>
      </c>
      <c r="EC14" s="19" t="str">
        <f t="shared" si="107"/>
        <v/>
      </c>
      <c r="ED14" s="19" t="str">
        <f t="shared" si="108"/>
        <v/>
      </c>
      <c r="EE14" s="19" t="str">
        <f t="shared" si="109"/>
        <v/>
      </c>
      <c r="EF14" s="19" t="str">
        <f t="shared" si="110"/>
        <v/>
      </c>
      <c r="EG14" s="19" t="str">
        <f t="shared" si="111"/>
        <v/>
      </c>
      <c r="EH14" s="19" t="str">
        <f t="shared" si="112"/>
        <v/>
      </c>
      <c r="EI14" s="19" t="str">
        <f t="shared" si="113"/>
        <v/>
      </c>
      <c r="EJ14" s="19" t="str">
        <f t="shared" si="114"/>
        <v/>
      </c>
      <c r="EK14" s="19" t="str">
        <f t="shared" si="73"/>
        <v/>
      </c>
      <c r="EL14" s="19" t="str">
        <f t="shared" si="115"/>
        <v/>
      </c>
      <c r="EM14" s="19" t="str">
        <f t="shared" si="116"/>
        <v/>
      </c>
      <c r="EN14" s="19" t="str">
        <f t="shared" si="117"/>
        <v/>
      </c>
      <c r="EO14" s="19" t="str">
        <f t="shared" si="118"/>
        <v/>
      </c>
      <c r="EP14" s="19" t="str">
        <f t="shared" si="74"/>
        <v/>
      </c>
      <c r="EQ14" s="19" t="e">
        <f t="shared" si="119"/>
        <v>#N/A</v>
      </c>
      <c r="ER14" s="11" t="str">
        <f t="shared" si="120"/>
        <v/>
      </c>
      <c r="ES14" s="19" t="str">
        <f t="shared" si="121"/>
        <v/>
      </c>
      <c r="ET14" s="156" t="str">
        <f t="shared" si="122"/>
        <v/>
      </c>
      <c r="EU14" s="39" t="str">
        <f t="shared" si="75"/>
        <v/>
      </c>
      <c r="EV14" s="74" t="str">
        <f t="shared" si="76"/>
        <v/>
      </c>
      <c r="EX14" s="2" t="s">
        <v>217</v>
      </c>
      <c r="EY14" s="158">
        <f>IF(Subgroup_valid_options="Yes",IF(Subgroup_effect_size_measure="Risk Difference",EY9+ABS(TINV((1-Subgroup_confidence_level),Subgroup_k-1))*SQRT(EY10^2+EY35),EXP(EY7)),"")</f>
        <v>1.7472994265744493</v>
      </c>
      <c r="FA14" s="196"/>
      <c r="FB14" s="84" t="e">
        <f>IF(AND(Include_study?="Yes",Sufficient_data="Yes",Moderator&lt;&gt;""),'Moderator Analysis'!E14,NA())</f>
        <v>#N/A</v>
      </c>
      <c r="FC14" s="39" t="e">
        <f>IF(AND(Include_study?="Yes",Sufficient_data="Yes",Moderator&lt;&gt;""),'Moderator Analysis'!F14,NA())</f>
        <v>#N/A</v>
      </c>
      <c r="FD14" s="39" t="str">
        <f t="shared" si="77"/>
        <v/>
      </c>
      <c r="FE14" s="39" t="str">
        <f t="shared" si="78"/>
        <v/>
      </c>
      <c r="FF14" s="39" t="str">
        <f>IF(AND(Include_study?="Yes",Sufficient_data="Yes",Moderator&lt;&gt;""),'Moderator Analysis'!F:F-FP$2,"")</f>
        <v/>
      </c>
      <c r="FG14" s="39" t="str">
        <f>IF(AND(Include_study?="Yes",Sufficient_data="Yes",Moderator&lt;&gt;""),'Moderator Analysis'!E:E-FP$3,"")</f>
        <v/>
      </c>
      <c r="FH14" s="74" t="str">
        <f>IF(AND(Include_study?="Yes",Sufficient_data="Yes",Moderator&lt;&gt;""),FE:FE*('Moderator Analysis'!F:F-FP$5-FP$4*'Moderator Analysis'!E:E)^2,"")</f>
        <v/>
      </c>
      <c r="FI14" s="128"/>
      <c r="FJ14" s="92" t="str">
        <f t="shared" si="79"/>
        <v/>
      </c>
      <c r="FK14" s="137" t="str">
        <f>IF(AND(Include_study?="Yes",Sufficient_data="Yes",Moderator&lt;&gt;""),'Moderator Analysis'!F:F-'Moderator Analysis'!J$37,"")</f>
        <v/>
      </c>
      <c r="FL14" s="137" t="str">
        <f>IF(AND(Include_study?="Yes",Sufficient_data="Yes",Moderator&lt;&gt;""),'Moderator Analysis'!E:E-SUMPRODUCT('Moderator Analysis'!E:E,FJ:FJ)/SUM(FJ:FJ),"")</f>
        <v/>
      </c>
      <c r="FM14" s="95" t="str">
        <f>IF(AND(Include_study?="Yes",Sufficient_data="Yes",Moderator&lt;&gt;""),FJ:FJ*('Moderator Analysis'!F:F-'Moderator Analysis'!J$29-'Moderator Analysis'!J$30*'Moderator Analysis'!E:E)^2,"")</f>
        <v/>
      </c>
      <c r="FN14" s="21"/>
      <c r="FR14" s="196"/>
      <c r="FS14" s="182"/>
      <c r="FT1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" s="39" t="str">
        <f>IF(AND(Include_study?="Yes",Sufficient_data="Yes"),1/('Publication Bias Analysis'!F:F^2+IF(Additional_model="Fixed effect",0,Calculations!GH$12)),"")</f>
        <v/>
      </c>
      <c r="FV14" s="39" t="str">
        <f>IF(AND(Include_study?="Yes",Sufficient_data="Yes"),1/('Publication Bias Analysis'!F:F^2+IF(Additional_model="Fixed effect",0,'Publication Bias Analysis'!L$32)),"")</f>
        <v/>
      </c>
      <c r="FW14" s="39" t="str">
        <f>IF(AND(Include_study?="Yes",Sufficient_data="Yes"),'Publication Bias Analysis'!E:E-'Publication Bias Analysis'!I$37,"")</f>
        <v/>
      </c>
      <c r="FX14" s="39" t="str">
        <f>IF(AND(Include_study?="Yes",Sufficient_data="Yes"),IF(Additional_model="Fixed effect",1/'Publication Bias Analysis'!F:F,1/SQRT('Publication Bias Analysis'!F:F^2+GH$12)),"")</f>
        <v/>
      </c>
      <c r="FY1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" s="136" t="str">
        <f t="shared" si="80"/>
        <v/>
      </c>
      <c r="GA14" s="144" t="str">
        <f>IF(AND(Include_study?="Yes",Sufficient_data="Yes"),FZ:FZ+IF(GL:GL&lt;0,-1,1)*COUNTIF(FZ$2:FZ13,FZ:FZ),"")</f>
        <v/>
      </c>
      <c r="GB14" s="144" t="str">
        <f>IF(AND(Include_study?="Yes",Sufficient_data="Yes"),RANK(GP:GP,GP:GP,1)*IF(GO:GO&lt;0,-1,1)+IF(GO:GO&lt;0,-1,1)*COUNTIF(FZ$2:FZ13,FZ:FZ),"")</f>
        <v/>
      </c>
      <c r="GC14" s="144" t="str">
        <f>IF(AND(Include_study?="Yes",Sufficient_data="Yes"),RANK(GS:GS,GS:GS,1)*IF(GR:GR&lt;0,-1,1)+IF(GR:GR&lt;0,-1,1)*COUNTIF(FZ$2:FZ13,FZ:FZ),"")</f>
        <v/>
      </c>
      <c r="GD14" s="39" t="e">
        <f>IF(AND(Include_study?="Yes",Sufficient_data="Yes"),'Publication Bias Analysis'!E14,NA())</f>
        <v>#N/A</v>
      </c>
      <c r="GE14" s="74" t="e">
        <f>IF(AND(Include_study?="Yes",Sufficient_data="Yes"),'Publication Bias Analysis'!F14,NA())</f>
        <v>#N/A</v>
      </c>
      <c r="GG14" s="178" t="s">
        <v>207</v>
      </c>
      <c r="GH14" s="178"/>
      <c r="GK14" s="176"/>
      <c r="GL1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" s="39" t="str">
        <f t="shared" si="81"/>
        <v/>
      </c>
      <c r="GN1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" s="39" t="str">
        <f>IF(AND(Include_study?="Yes",Sufficient_data="Yes"),IF('Publication Bias Analysis'!L$38="Left",'Publication Bias Analysis'!E:E-GW$3,GW$3-'Publication Bias Analysis'!E:E),"")</f>
        <v/>
      </c>
      <c r="GP14" s="39" t="str">
        <f t="shared" si="82"/>
        <v/>
      </c>
      <c r="GQ1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" s="39" t="str">
        <f>IF(AND(Include_study?="Yes",Sufficient_data="Yes"),IF('Publication Bias Analysis'!L$38="Left",'Publication Bias Analysis'!E:E-GW$10,GW$10-'Publication Bias Analysis'!E:E),"")</f>
        <v/>
      </c>
      <c r="GS14" s="39" t="str">
        <f t="shared" si="83"/>
        <v/>
      </c>
      <c r="GT1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14" s="75" t="s">
        <v>185</v>
      </c>
      <c r="GW14" s="76">
        <f>IF('Publication Bias Analysis'!L37="Leftmost Run/Rightmost Run",MAX(COUNTIF(GB:GB,"&gt;"&amp;ABS(MIN(GB:GB)))-1,0),ROUND(MAX(0,((4*SUMIF(GO:GO,"&gt;"&amp;0,GB:GB)-k_*(k_+1))/(2*k_-1))),0))</f>
        <v>0</v>
      </c>
      <c r="GY14" s="89">
        <v>13</v>
      </c>
      <c r="GZ14" s="7" t="str">
        <f>IF(Trim_and_fill="On",IF(GW$21&gt;(COUNT(GZ$2:GZ13)),IF(COUNTIF(GA:GA,-1*(MAX(GA:GA)-GY14+1))=1,"",MAX(GA:GA)-GY14+1),""),"")</f>
        <v/>
      </c>
      <c r="HA14" s="60" t="str">
        <f t="shared" si="84"/>
        <v/>
      </c>
      <c r="HB14" s="65" t="str">
        <f t="shared" si="85"/>
        <v/>
      </c>
      <c r="HC14" s="3" t="str">
        <f t="shared" si="86"/>
        <v/>
      </c>
      <c r="HD14" s="39" t="str">
        <f>IF(GZ14&lt;&gt;"",1/(HB14^2+'Publication Bias Analysis'!L$32),"")</f>
        <v/>
      </c>
      <c r="HE14" s="74" t="str">
        <f>IF(GZ14&lt;&gt;"",HA:HA-'Publication Bias Analysis'!I$37,"")</f>
        <v/>
      </c>
      <c r="HG14" s="89">
        <v>13</v>
      </c>
      <c r="HH14" s="3" t="e">
        <f t="shared" si="87"/>
        <v>#N/A</v>
      </c>
      <c r="HI14" s="74" t="e">
        <f t="shared" si="88"/>
        <v>#N/A</v>
      </c>
      <c r="HK14" s="176"/>
      <c r="HL14" s="66" t="str">
        <f t="shared" si="89"/>
        <v/>
      </c>
      <c r="HM14" s="74" t="str">
        <f>IF(AND(Include_study?="Yes",Sufficient_data="Yes"),Z_score-('Publication Bias Analysis'!P$3+'Publication Bias Analysis'!P$4*Inverse_standard_error),"")</f>
        <v/>
      </c>
      <c r="HO14" s="176"/>
      <c r="HP14" s="64" t="str">
        <f>IF(AND(Include_study?="Yes",Sufficient_data="Yes"),(GD:GD-SUMPRODUCT(Calculations!FT:FT,'Publication Bias Analysis'!E:E)/SUM(Calculations!FT:FT))/SQRT(Calculations!HQ:HQ),"")</f>
        <v/>
      </c>
      <c r="HQ14" s="64" t="str">
        <f>IF(AND(Include_study?="Yes",Sufficient_data="Yes"),GE:GE^2-1/SUM(Calculations!FT:FT),"")</f>
        <v/>
      </c>
      <c r="HR14" s="7" t="str">
        <f t="shared" si="90"/>
        <v/>
      </c>
      <c r="HS14" s="7" t="str">
        <f t="shared" si="91"/>
        <v/>
      </c>
      <c r="HT14" s="7" t="str">
        <f>IF(AND(Include_study?="Yes",Sufficient_data="Yes"),COUNTIFS(HR$2:HR13,"&lt;"&amp;HR14,HS$2:HS13,"&lt;"&amp;HS14)+COUNTIFS(HR15:HR$201,"&lt;"&amp;HR14,HS15:HS$201,"&lt;"&amp;HS14)+COUNTIFS(HR$2:HR13,"&gt;"&amp;HR14,HS$2:HS13,"&gt;"&amp;HS14)+COUNTIFS(HR15:HR$201,"&gt;"&amp;HR14,HS15:HS$201,"&gt;"&amp;HS14),"")</f>
        <v/>
      </c>
      <c r="HU14" s="104" t="str">
        <f>IF(AND(Include_study?="Yes",Sufficient_data="Yes"),COUNTIFS(HR$2:HR13,"&lt;"&amp;HR14,HS$2:HS13,"&gt;"&amp;HS14)+COUNTIFS(HR15:HR$201,"&lt;"&amp;HR14,HS15:HS$201,"&gt;"&amp;HS14)+COUNTIFS(HR$2:HR13,"&gt;"&amp;HR14,HS$2:HS13,"&lt;"&amp;HS14)+COUNTIFS(HR15:HR$201,"&gt;"&amp;HR14,HS15:HS$201,"&lt;"&amp;HS14),"")</f>
        <v/>
      </c>
      <c r="HW14" s="176"/>
      <c r="HX14" s="2" t="s">
        <v>138</v>
      </c>
      <c r="HY14" s="33">
        <f>ROUND(HY13/4,1)</f>
        <v>0.5</v>
      </c>
      <c r="IB14" s="176"/>
      <c r="IC14" s="146" t="e">
        <f t="shared" si="92"/>
        <v>#N/A</v>
      </c>
      <c r="ID14" s="137" t="e">
        <f t="shared" si="93"/>
        <v>#N/A</v>
      </c>
      <c r="IE14" s="137" t="str">
        <f t="shared" si="94"/>
        <v/>
      </c>
      <c r="IF14" s="95" t="str">
        <f t="shared" si="95"/>
        <v/>
      </c>
      <c r="IK14" s="176"/>
      <c r="IL14" s="158" t="e">
        <f>IF(AND(Include_study?="Yes",Sufficient_data="Yes"),'Publication Bias Analysis'!AV:AV,NA())</f>
        <v>#N/A</v>
      </c>
      <c r="IM14" s="158" t="e">
        <f>IF(AND(Sufficient_data="Yes",Include_study?="Yes"),'Publication Bias Analysis'!AU:AU,NA())</f>
        <v>#N/A</v>
      </c>
      <c r="IN14" s="62" t="str">
        <f t="shared" si="96"/>
        <v/>
      </c>
      <c r="IO14" s="74" t="str">
        <f>IF(AND(Include_study?="Yes",Sufficient_data="Yes"),Z_score-('Publication Bias Analysis'!AY$30+'Publication Bias Analysis'!AY$31*Inverse_standard_error),"")</f>
        <v/>
      </c>
      <c r="IU14" s="176"/>
      <c r="IV14" s="7" t="str">
        <f>IF('Publication Bias Analysis'!BG:BG&lt;&gt;"",RANK('Publication Bias Analysis'!BG:BG,'Publication Bias Analysis'!BG:BG,1)+COUNTIF('Publication Bias Analysis'!BG$2:BG13,'Publication Bias Analysis'!BG14),"")</f>
        <v/>
      </c>
      <c r="IW14" s="124" t="str">
        <f t="shared" si="97"/>
        <v/>
      </c>
      <c r="IX14" s="125" t="e">
        <f>IF('Publication Bias Analysis'!BF14&lt;&gt;"",'Publication Bias Analysis'!BF14,NA())</f>
        <v>#N/A</v>
      </c>
      <c r="IY14" s="125" t="e">
        <f>IF('Publication Bias Analysis'!BG14&lt;&gt;"",'Publication Bias Analysis'!BG14,NA())</f>
        <v>#N/A</v>
      </c>
      <c r="IZ14" s="62" t="str">
        <f>IF(AND(Include_study?="Yes",Sufficient_data="Yes"),'Publication Bias Analysis'!BF:BF-AVERAGE('Publication Bias Analysis'!BF:BF),"")</f>
        <v/>
      </c>
      <c r="JA14" s="74" t="str">
        <f>IF(AND(Include_study?="Yes",Sufficient_data="Yes"),'Publication Bias Analysis'!BG:BG-('Publication Bias Analysis'!BJ$30+'Publication Bias Analysis'!BJ$31*'Publication Bias Analysis'!BF:BF),"")</f>
        <v/>
      </c>
      <c r="JG14" s="176"/>
      <c r="JH14" s="39" t="str">
        <f t="shared" si="98"/>
        <v/>
      </c>
      <c r="JI14" s="148" t="str">
        <f t="shared" si="124"/>
        <v/>
      </c>
      <c r="JJ14" s="74" t="str">
        <f t="shared" si="125"/>
        <v/>
      </c>
    </row>
    <row r="15" spans="1:270" ht="12" customHeight="1" x14ac:dyDescent="0.2">
      <c r="A15" s="2" t="str">
        <f t="shared" si="0"/>
        <v/>
      </c>
      <c r="B15" s="7" t="str">
        <f>IF(AND(Include_study?="Yes",Sufficient_data="Yes"),IF(Input!a_&lt;&gt;"",Input!a_,Input!n1_-Input!b_),"")</f>
        <v/>
      </c>
      <c r="C15" s="7" t="str">
        <f>IF(AND(Include_study?="Yes",Sufficient_data="Yes"),IF(Input!b_&lt;&gt;"",Input!b_,Input!n1_-Input!a_),"")</f>
        <v/>
      </c>
      <c r="D15" s="7" t="str">
        <f>IF(AND(Include_study?="Yes",Sufficient_data="Yes"),IF(Input!c_&lt;&gt;"",Input!c_,Input!n2_-Input!d_),"")</f>
        <v/>
      </c>
      <c r="E15" s="7" t="str">
        <f>IF(AND(Include_study?="Yes",Sufficient_data="Yes"),IF(Input!d_&lt;&gt;"",Input!d_,Input!n2_-Input!c_),"")</f>
        <v/>
      </c>
      <c r="F15" s="74" t="str">
        <f t="shared" si="1"/>
        <v/>
      </c>
      <c r="H15" s="196"/>
      <c r="I15" s="182"/>
      <c r="J15" s="146" t="str">
        <f t="shared" si="2"/>
        <v/>
      </c>
      <c r="K15" s="39" t="str">
        <f t="shared" si="3"/>
        <v/>
      </c>
      <c r="L15" s="39" t="str">
        <f t="shared" si="4"/>
        <v/>
      </c>
      <c r="M15" s="39" t="str">
        <f t="shared" si="5"/>
        <v/>
      </c>
      <c r="N15" s="74" t="str">
        <f t="shared" si="6"/>
        <v/>
      </c>
      <c r="P15" s="176"/>
      <c r="Q15" s="130" t="str">
        <f t="shared" si="7"/>
        <v/>
      </c>
      <c r="R15" s="39" t="str">
        <f t="shared" si="8"/>
        <v/>
      </c>
      <c r="S15" s="39" t="str">
        <f t="shared" si="9"/>
        <v/>
      </c>
      <c r="T15" s="74" t="str">
        <f t="shared" si="10"/>
        <v/>
      </c>
      <c r="V15" s="176"/>
      <c r="W15" s="130" t="str">
        <f t="shared" si="11"/>
        <v/>
      </c>
      <c r="X15" s="39" t="str">
        <f t="shared" si="12"/>
        <v/>
      </c>
      <c r="Y15" s="39" t="str">
        <f t="shared" si="13"/>
        <v/>
      </c>
      <c r="Z15" s="74" t="str">
        <f t="shared" si="14"/>
        <v/>
      </c>
      <c r="AB15" s="176"/>
      <c r="AC15" s="130" t="str">
        <f t="shared" si="15"/>
        <v/>
      </c>
      <c r="AD15" s="39" t="str">
        <f t="shared" si="16"/>
        <v/>
      </c>
      <c r="AE15" s="39" t="str">
        <f t="shared" si="17"/>
        <v/>
      </c>
      <c r="AF15" s="39" t="str">
        <f t="shared" si="18"/>
        <v/>
      </c>
      <c r="AG15" s="74" t="str">
        <f t="shared" si="19"/>
        <v/>
      </c>
      <c r="AI15" s="196"/>
      <c r="AJ1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" s="136" t="str">
        <f>IF(AJ15&lt;&gt;"",IF(AJ15=0,COUNTIF(AJ$2:AJ14,0)+1,COUNTIF(AJ$2:AJ14,AJ15)+AJ15+COUNTIF(AJ:AJ,0)),"")</f>
        <v/>
      </c>
      <c r="AL15" s="136" t="str">
        <f t="shared" si="20"/>
        <v/>
      </c>
      <c r="AM15" s="155" t="str">
        <f>IF(AND(Include_study?="Yes",Sufficient_data="Yes",Input!Study_name&lt;&gt;""),Input!Study_name,"")</f>
        <v/>
      </c>
      <c r="AN15" s="136" t="str">
        <f t="shared" si="21"/>
        <v/>
      </c>
      <c r="AO15" s="19" t="str">
        <f t="shared" si="22"/>
        <v/>
      </c>
      <c r="AP15" s="158" t="str">
        <f t="shared" si="23"/>
        <v/>
      </c>
      <c r="AQ15" s="158" t="str">
        <f t="shared" si="24"/>
        <v/>
      </c>
      <c r="AR15" s="39" t="str">
        <f t="shared" si="25"/>
        <v/>
      </c>
      <c r="AS15" s="158" t="str">
        <f t="shared" si="26"/>
        <v/>
      </c>
      <c r="AT15" s="39" t="str">
        <f t="shared" si="27"/>
        <v/>
      </c>
      <c r="AU15" s="172" t="str">
        <f t="shared" si="28"/>
        <v/>
      </c>
      <c r="AW15" s="84" t="e">
        <f t="shared" si="29"/>
        <v>#N/A</v>
      </c>
      <c r="AX15" s="3" t="e">
        <f t="shared" si="30"/>
        <v>#N/A</v>
      </c>
      <c r="AY15" s="74" t="e">
        <f t="shared" si="31"/>
        <v>#N/A</v>
      </c>
      <c r="BD15" s="196"/>
      <c r="BE15" s="182"/>
      <c r="BF15" s="3" t="str">
        <f t="shared" si="32"/>
        <v/>
      </c>
      <c r="BG15" s="3" t="str">
        <f t="shared" si="33"/>
        <v/>
      </c>
      <c r="BH15" s="3" t="str">
        <f t="shared" si="34"/>
        <v/>
      </c>
      <c r="BI15" s="39" t="str">
        <f t="shared" si="99"/>
        <v/>
      </c>
      <c r="BJ15" s="95" t="str">
        <f t="shared" si="35"/>
        <v/>
      </c>
      <c r="BL15" s="6"/>
      <c r="BM15" s="6"/>
      <c r="BO15" s="176"/>
      <c r="BP15" s="158" t="str">
        <f t="shared" si="36"/>
        <v/>
      </c>
      <c r="BQ15" s="158" t="str">
        <f t="shared" si="37"/>
        <v/>
      </c>
      <c r="BR15" s="158" t="str">
        <f t="shared" si="38"/>
        <v/>
      </c>
      <c r="BS15" s="158" t="str">
        <f>IF(AND(Sufficient_data="Yes",Include_study?="Yes"),IF(Add_0_5="Yes",(a_+d_+1)*(ab_+0.5)*(c_+0.5)/(Number_of_subjects+2)^2,(a_+d_)*b_*c_/Number_of_subjects^2),"")</f>
        <v/>
      </c>
      <c r="BT15" s="158" t="str">
        <f t="shared" si="39"/>
        <v/>
      </c>
      <c r="BU15" s="158" t="str">
        <f t="shared" si="40"/>
        <v/>
      </c>
      <c r="BV15" s="158" t="str">
        <f t="shared" si="41"/>
        <v/>
      </c>
      <c r="BW15" s="3" t="str">
        <f t="shared" si="42"/>
        <v/>
      </c>
      <c r="BX15" s="137" t="str">
        <f t="shared" si="43"/>
        <v/>
      </c>
      <c r="BY15" s="95" t="str">
        <f t="shared" si="44"/>
        <v/>
      </c>
      <c r="CD15" s="176"/>
      <c r="CE15" s="130" t="str">
        <f t="shared" si="45"/>
        <v/>
      </c>
      <c r="CF15" s="39" t="str">
        <f t="shared" si="46"/>
        <v/>
      </c>
      <c r="CG15" s="39" t="str">
        <f t="shared" si="47"/>
        <v/>
      </c>
      <c r="CH15" s="39" t="str">
        <f t="shared" si="48"/>
        <v/>
      </c>
      <c r="CI15" s="39" t="str">
        <f t="shared" si="49"/>
        <v/>
      </c>
      <c r="CJ15" s="39" t="str">
        <f t="shared" si="50"/>
        <v/>
      </c>
      <c r="CK15" s="95" t="str">
        <f t="shared" si="51"/>
        <v/>
      </c>
      <c r="CP15" s="176"/>
      <c r="CQ15" s="99" t="str">
        <f t="shared" si="52"/>
        <v/>
      </c>
      <c r="CS15" s="2" t="s">
        <v>46</v>
      </c>
      <c r="CT15" s="3">
        <f>IF(Weighting_method="Inverse variance",IF(Model_effect_size_measure="Risk Ratio",PICES_UL,IF(Model_effect_size_measure="Odds Ratio",PICES_UL/(1-MEDIAN(Control_group_risk)+(MEDIAN(Control_group_risk)*PICES_UL)),"")),"")</f>
        <v>2.034604234750931</v>
      </c>
      <c r="CU15" s="3">
        <f>IF(Model_effect_size_measure="Odds Ratio",PICES_UL_MH/(1-MEDIAN(Control_group_risk)+(MEDIAN(Control_group_risk)*PICES_UL_MH)),"")</f>
        <v>2.0689300819335665</v>
      </c>
      <c r="CV15" s="3" t="str">
        <f>IF(Model_effect_size_measure="Peto Odds Ratio",PICES_UL_Peto/(1-MEDIAN(Control_group_risk)+(MEDIAN(Control_group_risk)*PICES_UL_Peto)),"")</f>
        <v/>
      </c>
      <c r="CX15" s="196"/>
      <c r="CY15" s="89" t="e">
        <f t="shared" si="53"/>
        <v>#N/A</v>
      </c>
      <c r="CZ15" s="136" t="str">
        <f t="shared" si="54"/>
        <v/>
      </c>
      <c r="DA15" s="140" t="str">
        <f t="shared" si="55"/>
        <v/>
      </c>
      <c r="DB15" s="39" t="str">
        <f t="shared" si="56"/>
        <v/>
      </c>
      <c r="DC15" s="39" t="str">
        <f t="shared" si="57"/>
        <v/>
      </c>
      <c r="DD15" s="39" t="str">
        <f t="shared" si="58"/>
        <v/>
      </c>
      <c r="DE15" s="39" t="str">
        <f t="shared" si="59"/>
        <v/>
      </c>
      <c r="DF15" s="141" t="str">
        <f t="shared" si="60"/>
        <v/>
      </c>
      <c r="DG15" s="39" t="str">
        <f t="shared" si="61"/>
        <v/>
      </c>
      <c r="DH15" s="39" t="str">
        <f t="shared" si="62"/>
        <v/>
      </c>
      <c r="DI15" s="39" t="str">
        <f t="shared" si="63"/>
        <v/>
      </c>
      <c r="DJ15" s="74" t="str">
        <f t="shared" si="64"/>
        <v/>
      </c>
      <c r="DL15" s="84" t="e">
        <f t="shared" si="65"/>
        <v>#N/A</v>
      </c>
      <c r="DM15" s="39" t="e">
        <f t="shared" si="100"/>
        <v>#N/A</v>
      </c>
      <c r="DN15" s="74" t="e">
        <f t="shared" si="101"/>
        <v>#N/A</v>
      </c>
      <c r="DP15" s="89" t="str">
        <f t="shared" si="102"/>
        <v/>
      </c>
      <c r="DQ15" s="26" t="str">
        <f>IF(AND(Sufficient_data="Yes",Subgroup&lt;&gt;""),IF(COUNTIFS(Input!J$2:J14,"="&amp;"Yes",Input!C$2:C14,"="&amp;"Yes",Input!K$2:K14,"="&amp;Subgroup)&gt;0,"",Subgroup),"")</f>
        <v/>
      </c>
      <c r="DR15" s="7" t="str">
        <f t="shared" si="103"/>
        <v/>
      </c>
      <c r="DS15" s="7" t="str">
        <f t="shared" si="66"/>
        <v/>
      </c>
      <c r="DT15" s="19" t="str">
        <f t="shared" si="67"/>
        <v/>
      </c>
      <c r="DU15" s="12" t="str">
        <f t="shared" si="104"/>
        <v/>
      </c>
      <c r="DV15" s="11" t="str">
        <f t="shared" si="105"/>
        <v/>
      </c>
      <c r="DW15" s="12" t="str">
        <f t="shared" si="68"/>
        <v/>
      </c>
      <c r="DX15" s="19" t="str">
        <f t="shared" si="69"/>
        <v/>
      </c>
      <c r="DY15" s="19" t="str">
        <f t="shared" si="106"/>
        <v/>
      </c>
      <c r="DZ15" s="19" t="str">
        <f t="shared" si="70"/>
        <v/>
      </c>
      <c r="EA15" s="19" t="str">
        <f t="shared" si="71"/>
        <v/>
      </c>
      <c r="EB15" s="7" t="str">
        <f t="shared" si="72"/>
        <v/>
      </c>
      <c r="EC15" s="19" t="str">
        <f t="shared" si="107"/>
        <v/>
      </c>
      <c r="ED15" s="19" t="str">
        <f t="shared" si="108"/>
        <v/>
      </c>
      <c r="EE15" s="19" t="str">
        <f t="shared" si="109"/>
        <v/>
      </c>
      <c r="EF15" s="19" t="str">
        <f t="shared" si="110"/>
        <v/>
      </c>
      <c r="EG15" s="19" t="str">
        <f t="shared" si="111"/>
        <v/>
      </c>
      <c r="EH15" s="19" t="str">
        <f t="shared" si="112"/>
        <v/>
      </c>
      <c r="EI15" s="19" t="str">
        <f t="shared" si="113"/>
        <v/>
      </c>
      <c r="EJ15" s="19" t="str">
        <f t="shared" si="114"/>
        <v/>
      </c>
      <c r="EK15" s="19" t="str">
        <f t="shared" si="73"/>
        <v/>
      </c>
      <c r="EL15" s="19" t="str">
        <f t="shared" si="115"/>
        <v/>
      </c>
      <c r="EM15" s="19" t="str">
        <f t="shared" si="116"/>
        <v/>
      </c>
      <c r="EN15" s="19" t="str">
        <f t="shared" si="117"/>
        <v/>
      </c>
      <c r="EO15" s="19" t="str">
        <f t="shared" si="118"/>
        <v/>
      </c>
      <c r="EP15" s="19" t="str">
        <f t="shared" si="74"/>
        <v/>
      </c>
      <c r="EQ15" s="19" t="e">
        <f t="shared" si="119"/>
        <v>#N/A</v>
      </c>
      <c r="ER15" s="11" t="str">
        <f t="shared" si="120"/>
        <v/>
      </c>
      <c r="ES15" s="19" t="str">
        <f t="shared" si="121"/>
        <v/>
      </c>
      <c r="ET15" s="156" t="str">
        <f t="shared" si="122"/>
        <v/>
      </c>
      <c r="EU15" s="39" t="str">
        <f t="shared" si="75"/>
        <v/>
      </c>
      <c r="EV15" s="74" t="str">
        <f t="shared" si="76"/>
        <v/>
      </c>
      <c r="FA15" s="196"/>
      <c r="FB15" s="84" t="e">
        <f>IF(AND(Include_study?="Yes",Sufficient_data="Yes",Moderator&lt;&gt;""),'Moderator Analysis'!E15,NA())</f>
        <v>#N/A</v>
      </c>
      <c r="FC15" s="39" t="e">
        <f>IF(AND(Include_study?="Yes",Sufficient_data="Yes",Moderator&lt;&gt;""),'Moderator Analysis'!F15,NA())</f>
        <v>#N/A</v>
      </c>
      <c r="FD15" s="39" t="str">
        <f t="shared" si="77"/>
        <v/>
      </c>
      <c r="FE15" s="39" t="str">
        <f t="shared" si="78"/>
        <v/>
      </c>
      <c r="FF15" s="39" t="str">
        <f>IF(AND(Include_study?="Yes",Sufficient_data="Yes",Moderator&lt;&gt;""),'Moderator Analysis'!F:F-FP$2,"")</f>
        <v/>
      </c>
      <c r="FG15" s="39" t="str">
        <f>IF(AND(Include_study?="Yes",Sufficient_data="Yes",Moderator&lt;&gt;""),'Moderator Analysis'!E:E-FP$3,"")</f>
        <v/>
      </c>
      <c r="FH15" s="74" t="str">
        <f>IF(AND(Include_study?="Yes",Sufficient_data="Yes",Moderator&lt;&gt;""),FE:FE*('Moderator Analysis'!F:F-FP$5-FP$4*'Moderator Analysis'!E:E)^2,"")</f>
        <v/>
      </c>
      <c r="FI15" s="128"/>
      <c r="FJ15" s="92" t="str">
        <f t="shared" si="79"/>
        <v/>
      </c>
      <c r="FK15" s="137" t="str">
        <f>IF(AND(Include_study?="Yes",Sufficient_data="Yes",Moderator&lt;&gt;""),'Moderator Analysis'!F:F-'Moderator Analysis'!J$37,"")</f>
        <v/>
      </c>
      <c r="FL15" s="137" t="str">
        <f>IF(AND(Include_study?="Yes",Sufficient_data="Yes",Moderator&lt;&gt;""),'Moderator Analysis'!E:E-SUMPRODUCT('Moderator Analysis'!E:E,FJ:FJ)/SUM(FJ:FJ),"")</f>
        <v/>
      </c>
      <c r="FM15" s="95" t="str">
        <f>IF(AND(Include_study?="Yes",Sufficient_data="Yes",Moderator&lt;&gt;""),FJ:FJ*('Moderator Analysis'!F:F-'Moderator Analysis'!J$29-'Moderator Analysis'!J$30*'Moderator Analysis'!E:E)^2,"")</f>
        <v/>
      </c>
      <c r="FN15" s="21"/>
      <c r="FR15" s="196"/>
      <c r="FS15" s="182"/>
      <c r="FT1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" s="39" t="str">
        <f>IF(AND(Include_study?="Yes",Sufficient_data="Yes"),1/('Publication Bias Analysis'!F:F^2+IF(Additional_model="Fixed effect",0,Calculations!GH$12)),"")</f>
        <v/>
      </c>
      <c r="FV15" s="39" t="str">
        <f>IF(AND(Include_study?="Yes",Sufficient_data="Yes"),1/('Publication Bias Analysis'!F:F^2+IF(Additional_model="Fixed effect",0,'Publication Bias Analysis'!L$32)),"")</f>
        <v/>
      </c>
      <c r="FW15" s="39" t="str">
        <f>IF(AND(Include_study?="Yes",Sufficient_data="Yes"),'Publication Bias Analysis'!E:E-'Publication Bias Analysis'!I$37,"")</f>
        <v/>
      </c>
      <c r="FX15" s="39" t="str">
        <f>IF(AND(Include_study?="Yes",Sufficient_data="Yes"),IF(Additional_model="Fixed effect",1/'Publication Bias Analysis'!F:F,1/SQRT('Publication Bias Analysis'!F:F^2+GH$12)),"")</f>
        <v/>
      </c>
      <c r="FY1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" s="136" t="str">
        <f t="shared" si="80"/>
        <v/>
      </c>
      <c r="GA15" s="144" t="str">
        <f>IF(AND(Include_study?="Yes",Sufficient_data="Yes"),FZ:FZ+IF(GL:GL&lt;0,-1,1)*COUNTIF(FZ$2:FZ14,FZ:FZ),"")</f>
        <v/>
      </c>
      <c r="GB15" s="144" t="str">
        <f>IF(AND(Include_study?="Yes",Sufficient_data="Yes"),RANK(GP:GP,GP:GP,1)*IF(GO:GO&lt;0,-1,1)+IF(GO:GO&lt;0,-1,1)*COUNTIF(FZ$2:FZ14,FZ:FZ),"")</f>
        <v/>
      </c>
      <c r="GC15" s="144" t="str">
        <f>IF(AND(Include_study?="Yes",Sufficient_data="Yes"),RANK(GS:GS,GS:GS,1)*IF(GR:GR&lt;0,-1,1)+IF(GR:GR&lt;0,-1,1)*COUNTIF(FZ$2:FZ14,FZ:FZ),"")</f>
        <v/>
      </c>
      <c r="GD15" s="39" t="e">
        <f>IF(AND(Include_study?="Yes",Sufficient_data="Yes"),'Publication Bias Analysis'!E15,NA())</f>
        <v>#N/A</v>
      </c>
      <c r="GE15" s="74" t="e">
        <f>IF(AND(Include_study?="Yes",Sufficient_data="Yes"),'Publication Bias Analysis'!F15,NA())</f>
        <v>#N/A</v>
      </c>
      <c r="GG15" s="48" t="s">
        <v>150</v>
      </c>
      <c r="GH15" s="49">
        <f>IF(Additional_valid_options="Yes",'Publication Bias Analysis'!I29-'Publication Bias Analysis'!I31,NA())</f>
        <v>0.30586509133101669</v>
      </c>
      <c r="GK15" s="176"/>
      <c r="GL1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" s="39" t="str">
        <f t="shared" si="81"/>
        <v/>
      </c>
      <c r="GN1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" s="39" t="str">
        <f>IF(AND(Include_study?="Yes",Sufficient_data="Yes"),IF('Publication Bias Analysis'!L$38="Left",'Publication Bias Analysis'!E:E-GW$3,GW$3-'Publication Bias Analysis'!E:E),"")</f>
        <v/>
      </c>
      <c r="GP15" s="39" t="str">
        <f t="shared" si="82"/>
        <v/>
      </c>
      <c r="GQ1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" s="39" t="str">
        <f>IF(AND(Include_study?="Yes",Sufficient_data="Yes"),IF('Publication Bias Analysis'!L$38="Left",'Publication Bias Analysis'!E:E-GW$10,GW$10-'Publication Bias Analysis'!E:E),"")</f>
        <v/>
      </c>
      <c r="GS15" s="39" t="str">
        <f t="shared" si="83"/>
        <v/>
      </c>
      <c r="GT1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Y15" s="89">
        <v>14</v>
      </c>
      <c r="GZ15" s="7" t="str">
        <f>IF(Trim_and_fill="On",IF(GW$21&gt;(COUNT(GZ$2:GZ14)),IF(COUNTIF(GA:GA,-1*(MAX(GA:GA)-GY15+1))=1,"",MAX(GA:GA)-GY15+1),""),"")</f>
        <v/>
      </c>
      <c r="HA15" s="60" t="str">
        <f t="shared" si="84"/>
        <v/>
      </c>
      <c r="HB15" s="65" t="str">
        <f t="shared" si="85"/>
        <v/>
      </c>
      <c r="HC15" s="3" t="str">
        <f t="shared" si="86"/>
        <v/>
      </c>
      <c r="HD15" s="39" t="str">
        <f>IF(GZ15&lt;&gt;"",1/(HB15^2+'Publication Bias Analysis'!L$32),"")</f>
        <v/>
      </c>
      <c r="HE15" s="74" t="str">
        <f>IF(GZ15&lt;&gt;"",HA:HA-'Publication Bias Analysis'!I$37,"")</f>
        <v/>
      </c>
      <c r="HG15" s="89">
        <v>14</v>
      </c>
      <c r="HH15" s="3" t="e">
        <f t="shared" si="87"/>
        <v>#N/A</v>
      </c>
      <c r="HI15" s="74" t="e">
        <f t="shared" si="88"/>
        <v>#N/A</v>
      </c>
      <c r="HK15" s="176"/>
      <c r="HL15" s="66" t="str">
        <f t="shared" si="89"/>
        <v/>
      </c>
      <c r="HM15" s="74" t="str">
        <f>IF(AND(Include_study?="Yes",Sufficient_data="Yes"),Z_score-('Publication Bias Analysis'!P$3+'Publication Bias Analysis'!P$4*Inverse_standard_error),"")</f>
        <v/>
      </c>
      <c r="HO15" s="176"/>
      <c r="HP15" s="64" t="str">
        <f>IF(AND(Include_study?="Yes",Sufficient_data="Yes"),(GD:GD-SUMPRODUCT(Calculations!FT:FT,'Publication Bias Analysis'!E:E)/SUM(Calculations!FT:FT))/SQRT(Calculations!HQ:HQ),"")</f>
        <v/>
      </c>
      <c r="HQ15" s="64" t="str">
        <f>IF(AND(Include_study?="Yes",Sufficient_data="Yes"),GE:GE^2-1/SUM(Calculations!FT:FT),"")</f>
        <v/>
      </c>
      <c r="HR15" s="7" t="str">
        <f t="shared" si="90"/>
        <v/>
      </c>
      <c r="HS15" s="7" t="str">
        <f t="shared" si="91"/>
        <v/>
      </c>
      <c r="HT15" s="7" t="str">
        <f>IF(AND(Include_study?="Yes",Sufficient_data="Yes"),COUNTIFS(HR$2:HR14,"&lt;"&amp;HR15,HS$2:HS14,"&lt;"&amp;HS15)+COUNTIFS(HR16:HR$201,"&lt;"&amp;HR15,HS16:HS$201,"&lt;"&amp;HS15)+COUNTIFS(HR$2:HR14,"&gt;"&amp;HR15,HS$2:HS14,"&gt;"&amp;HS15)+COUNTIFS(HR16:HR$201,"&gt;"&amp;HR15,HS16:HS$201,"&gt;"&amp;HS15),"")</f>
        <v/>
      </c>
      <c r="HU15" s="104" t="str">
        <f>IF(AND(Include_study?="Yes",Sufficient_data="Yes"),COUNTIFS(HR$2:HR14,"&lt;"&amp;HR15,HS$2:HS14,"&gt;"&amp;HS15)+COUNTIFS(HR16:HR$201,"&lt;"&amp;HR15,HS16:HS$201,"&gt;"&amp;HS15)+COUNTIFS(HR$2:HR14,"&gt;"&amp;HR15,HS$2:HS14,"&lt;"&amp;HS15)+COUNTIFS(HR16:HR$201,"&gt;"&amp;HR15,HS16:HS$201,"&lt;"&amp;HS15),"")</f>
        <v/>
      </c>
      <c r="HW15" s="176"/>
      <c r="IB15" s="176"/>
      <c r="IC15" s="146" t="e">
        <f t="shared" si="92"/>
        <v>#N/A</v>
      </c>
      <c r="ID15" s="137" t="e">
        <f t="shared" si="93"/>
        <v>#N/A</v>
      </c>
      <c r="IE15" s="137" t="str">
        <f t="shared" si="94"/>
        <v/>
      </c>
      <c r="IF15" s="95" t="str">
        <f t="shared" si="95"/>
        <v/>
      </c>
      <c r="IK15" s="176"/>
      <c r="IL15" s="158" t="e">
        <f>IF(AND(Include_study?="Yes",Sufficient_data="Yes"),'Publication Bias Analysis'!AV:AV,NA())</f>
        <v>#N/A</v>
      </c>
      <c r="IM15" s="158" t="e">
        <f>IF(AND(Sufficient_data="Yes",Include_study?="Yes"),'Publication Bias Analysis'!AU:AU,NA())</f>
        <v>#N/A</v>
      </c>
      <c r="IN15" s="62" t="str">
        <f t="shared" si="96"/>
        <v/>
      </c>
      <c r="IO15" s="74" t="str">
        <f>IF(AND(Include_study?="Yes",Sufficient_data="Yes"),Z_score-('Publication Bias Analysis'!AY$30+'Publication Bias Analysis'!AY$31*Inverse_standard_error),"")</f>
        <v/>
      </c>
      <c r="IU15" s="176"/>
      <c r="IV15" s="7" t="str">
        <f>IF('Publication Bias Analysis'!BG:BG&lt;&gt;"",RANK('Publication Bias Analysis'!BG:BG,'Publication Bias Analysis'!BG:BG,1)+COUNTIF('Publication Bias Analysis'!BG$2:BG14,'Publication Bias Analysis'!BG15),"")</f>
        <v/>
      </c>
      <c r="IW15" s="124" t="str">
        <f t="shared" si="97"/>
        <v/>
      </c>
      <c r="IX15" s="125" t="e">
        <f>IF('Publication Bias Analysis'!BF15&lt;&gt;"",'Publication Bias Analysis'!BF15,NA())</f>
        <v>#N/A</v>
      </c>
      <c r="IY15" s="125" t="e">
        <f>IF('Publication Bias Analysis'!BG15&lt;&gt;"",'Publication Bias Analysis'!BG15,NA())</f>
        <v>#N/A</v>
      </c>
      <c r="IZ15" s="62" t="str">
        <f>IF(AND(Include_study?="Yes",Sufficient_data="Yes"),'Publication Bias Analysis'!BF:BF-AVERAGE('Publication Bias Analysis'!BF:BF),"")</f>
        <v/>
      </c>
      <c r="JA15" s="74" t="str">
        <f>IF(AND(Include_study?="Yes",Sufficient_data="Yes"),'Publication Bias Analysis'!BG:BG-('Publication Bias Analysis'!BJ$30+'Publication Bias Analysis'!BJ$31*'Publication Bias Analysis'!BF:BF),"")</f>
        <v/>
      </c>
      <c r="JG15" s="176"/>
      <c r="JH15" s="39" t="str">
        <f t="shared" si="98"/>
        <v/>
      </c>
      <c r="JI15" s="148" t="str">
        <f t="shared" si="124"/>
        <v/>
      </c>
      <c r="JJ15" s="74" t="str">
        <f t="shared" si="125"/>
        <v/>
      </c>
    </row>
    <row r="16" spans="1:270" x14ac:dyDescent="0.2">
      <c r="A16" s="2" t="str">
        <f t="shared" si="0"/>
        <v/>
      </c>
      <c r="B16" s="7" t="str">
        <f>IF(AND(Include_study?="Yes",Sufficient_data="Yes"),IF(Input!a_&lt;&gt;"",Input!a_,Input!n1_-Input!b_),"")</f>
        <v/>
      </c>
      <c r="C16" s="7" t="str">
        <f>IF(AND(Include_study?="Yes",Sufficient_data="Yes"),IF(Input!b_&lt;&gt;"",Input!b_,Input!n1_-Input!a_),"")</f>
        <v/>
      </c>
      <c r="D16" s="7" t="str">
        <f>IF(AND(Include_study?="Yes",Sufficient_data="Yes"),IF(Input!c_&lt;&gt;"",Input!c_,Input!n2_-Input!d_),"")</f>
        <v/>
      </c>
      <c r="E16" s="7" t="str">
        <f>IF(AND(Include_study?="Yes",Sufficient_data="Yes"),IF(Input!d_&lt;&gt;"",Input!d_,Input!n2_-Input!c_),"")</f>
        <v/>
      </c>
      <c r="F16" s="74" t="str">
        <f t="shared" si="1"/>
        <v/>
      </c>
      <c r="H16" s="196"/>
      <c r="I16" s="182"/>
      <c r="J16" s="146" t="str">
        <f t="shared" si="2"/>
        <v/>
      </c>
      <c r="K16" s="39" t="str">
        <f t="shared" si="3"/>
        <v/>
      </c>
      <c r="L16" s="39" t="str">
        <f t="shared" si="4"/>
        <v/>
      </c>
      <c r="M16" s="39" t="str">
        <f t="shared" si="5"/>
        <v/>
      </c>
      <c r="N16" s="74" t="str">
        <f t="shared" si="6"/>
        <v/>
      </c>
      <c r="P16" s="176"/>
      <c r="Q16" s="130" t="str">
        <f t="shared" si="7"/>
        <v/>
      </c>
      <c r="R16" s="39" t="str">
        <f t="shared" si="8"/>
        <v/>
      </c>
      <c r="S16" s="39" t="str">
        <f t="shared" si="9"/>
        <v/>
      </c>
      <c r="T16" s="74" t="str">
        <f t="shared" si="10"/>
        <v/>
      </c>
      <c r="V16" s="176"/>
      <c r="W16" s="130" t="str">
        <f t="shared" si="11"/>
        <v/>
      </c>
      <c r="X16" s="39" t="str">
        <f t="shared" si="12"/>
        <v/>
      </c>
      <c r="Y16" s="39" t="str">
        <f t="shared" si="13"/>
        <v/>
      </c>
      <c r="Z16" s="74" t="str">
        <f t="shared" si="14"/>
        <v/>
      </c>
      <c r="AB16" s="176"/>
      <c r="AC16" s="130" t="str">
        <f t="shared" si="15"/>
        <v/>
      </c>
      <c r="AD16" s="39" t="str">
        <f t="shared" si="16"/>
        <v/>
      </c>
      <c r="AE16" s="39" t="str">
        <f t="shared" si="17"/>
        <v/>
      </c>
      <c r="AF16" s="39" t="str">
        <f t="shared" si="18"/>
        <v/>
      </c>
      <c r="AG16" s="74" t="str">
        <f t="shared" si="19"/>
        <v/>
      </c>
      <c r="AI16" s="196"/>
      <c r="AJ1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" s="136" t="str">
        <f>IF(AJ16&lt;&gt;"",IF(AJ16=0,COUNTIF(AJ$2:AJ15,0)+1,COUNTIF(AJ$2:AJ15,AJ16)+AJ16+COUNTIF(AJ:AJ,0)),"")</f>
        <v/>
      </c>
      <c r="AL16" s="136" t="str">
        <f t="shared" si="20"/>
        <v/>
      </c>
      <c r="AM16" s="155" t="str">
        <f>IF(AND(Include_study?="Yes",Sufficient_data="Yes",Input!Study_name&lt;&gt;""),Input!Study_name,"")</f>
        <v/>
      </c>
      <c r="AN16" s="136" t="str">
        <f t="shared" si="21"/>
        <v/>
      </c>
      <c r="AO16" s="19" t="str">
        <f t="shared" si="22"/>
        <v/>
      </c>
      <c r="AP16" s="158" t="str">
        <f t="shared" si="23"/>
        <v/>
      </c>
      <c r="AQ16" s="158" t="str">
        <f t="shared" si="24"/>
        <v/>
      </c>
      <c r="AR16" s="39" t="str">
        <f t="shared" si="25"/>
        <v/>
      </c>
      <c r="AS16" s="158" t="str">
        <f t="shared" si="26"/>
        <v/>
      </c>
      <c r="AT16" s="39" t="str">
        <f t="shared" si="27"/>
        <v/>
      </c>
      <c r="AU16" s="172" t="str">
        <f t="shared" si="28"/>
        <v/>
      </c>
      <c r="AW16" s="84" t="e">
        <f t="shared" si="29"/>
        <v>#N/A</v>
      </c>
      <c r="AX16" s="3" t="e">
        <f t="shared" si="30"/>
        <v>#N/A</v>
      </c>
      <c r="AY16" s="74" t="e">
        <f t="shared" si="31"/>
        <v>#N/A</v>
      </c>
      <c r="BD16" s="196"/>
      <c r="BE16" s="182"/>
      <c r="BF16" s="3" t="str">
        <f t="shared" si="32"/>
        <v/>
      </c>
      <c r="BG16" s="3" t="str">
        <f t="shared" si="33"/>
        <v/>
      </c>
      <c r="BH16" s="3" t="str">
        <f t="shared" si="34"/>
        <v/>
      </c>
      <c r="BI16" s="39" t="str">
        <f t="shared" si="99"/>
        <v/>
      </c>
      <c r="BJ16" s="95" t="str">
        <f t="shared" si="35"/>
        <v/>
      </c>
      <c r="BL16" s="3" t="s">
        <v>8</v>
      </c>
      <c r="BM16" s="3">
        <f>IF(Model_effect_size_measure="Risk Difference",CES_IV/SECES_Risk_Difference,lnCES_IV/SElnCES)</f>
        <v>2.838042708923159</v>
      </c>
      <c r="BO16" s="176"/>
      <c r="BP16" s="158" t="str">
        <f t="shared" si="36"/>
        <v/>
      </c>
      <c r="BQ16" s="158" t="str">
        <f t="shared" si="37"/>
        <v/>
      </c>
      <c r="BR16" s="158" t="str">
        <f t="shared" si="38"/>
        <v/>
      </c>
      <c r="BS16" s="158" t="str">
        <f>IF(AND(Sufficient_data="Yes",Include_study?="Yes"),IF(Add_0_5="Yes",(a_+d_+1)*(ab_+0.5)*(c_+0.5)/(Number_of_subjects+2)^2,(a_+d_)*b_*c_/Number_of_subjects^2),"")</f>
        <v/>
      </c>
      <c r="BT16" s="158" t="str">
        <f t="shared" si="39"/>
        <v/>
      </c>
      <c r="BU16" s="158" t="str">
        <f t="shared" si="40"/>
        <v/>
      </c>
      <c r="BV16" s="158" t="str">
        <f t="shared" si="41"/>
        <v/>
      </c>
      <c r="BW16" s="3" t="str">
        <f t="shared" si="42"/>
        <v/>
      </c>
      <c r="BX16" s="137" t="str">
        <f t="shared" si="43"/>
        <v/>
      </c>
      <c r="BY16" s="95" t="str">
        <f t="shared" si="44"/>
        <v/>
      </c>
      <c r="CA16" s="3" t="s">
        <v>8</v>
      </c>
      <c r="CB16" s="3">
        <f>lnCES_OddsRatio_MH/SElnCES_MH</f>
        <v>2.8323583536549388</v>
      </c>
      <c r="CD16" s="176"/>
      <c r="CE16" s="130" t="str">
        <f t="shared" si="45"/>
        <v/>
      </c>
      <c r="CF16" s="39" t="str">
        <f t="shared" si="46"/>
        <v/>
      </c>
      <c r="CG16" s="39" t="str">
        <f t="shared" si="47"/>
        <v/>
      </c>
      <c r="CH16" s="39" t="str">
        <f t="shared" si="48"/>
        <v/>
      </c>
      <c r="CI16" s="39" t="str">
        <f t="shared" si="49"/>
        <v/>
      </c>
      <c r="CJ16" s="39" t="str">
        <f t="shared" si="50"/>
        <v/>
      </c>
      <c r="CK16" s="95" t="str">
        <f t="shared" si="51"/>
        <v/>
      </c>
      <c r="CM16" s="3" t="s">
        <v>8</v>
      </c>
      <c r="CN16" s="3">
        <f>lnCES_PetoOddsRatio/SElnCES_Peto</f>
        <v>2.9347317317057331</v>
      </c>
      <c r="CP16" s="176"/>
      <c r="CQ16" s="99" t="str">
        <f t="shared" si="52"/>
        <v/>
      </c>
      <c r="CX16" s="196"/>
      <c r="CY16" s="89" t="e">
        <f t="shared" si="53"/>
        <v>#N/A</v>
      </c>
      <c r="CZ16" s="136" t="str">
        <f t="shared" si="54"/>
        <v/>
      </c>
      <c r="DA16" s="140" t="str">
        <f t="shared" si="55"/>
        <v/>
      </c>
      <c r="DB16" s="39" t="str">
        <f t="shared" si="56"/>
        <v/>
      </c>
      <c r="DC16" s="39" t="str">
        <f t="shared" si="57"/>
        <v/>
      </c>
      <c r="DD16" s="39" t="str">
        <f t="shared" si="58"/>
        <v/>
      </c>
      <c r="DE16" s="39" t="str">
        <f t="shared" si="59"/>
        <v/>
      </c>
      <c r="DF16" s="141" t="str">
        <f t="shared" si="60"/>
        <v/>
      </c>
      <c r="DG16" s="39" t="str">
        <f t="shared" si="61"/>
        <v/>
      </c>
      <c r="DH16" s="39" t="str">
        <f t="shared" si="62"/>
        <v/>
      </c>
      <c r="DI16" s="39" t="str">
        <f t="shared" si="63"/>
        <v/>
      </c>
      <c r="DJ16" s="74" t="str">
        <f t="shared" si="64"/>
        <v/>
      </c>
      <c r="DL16" s="84" t="e">
        <f t="shared" si="65"/>
        <v>#N/A</v>
      </c>
      <c r="DM16" s="39" t="e">
        <f t="shared" si="100"/>
        <v>#N/A</v>
      </c>
      <c r="DN16" s="74" t="e">
        <f t="shared" si="101"/>
        <v>#N/A</v>
      </c>
      <c r="DP16" s="89" t="str">
        <f t="shared" si="102"/>
        <v/>
      </c>
      <c r="DQ16" s="26" t="str">
        <f>IF(AND(Sufficient_data="Yes",Subgroup&lt;&gt;""),IF(COUNTIFS(Input!J$2:J15,"="&amp;"Yes",Input!C$2:C15,"="&amp;"Yes",Input!K$2:K15,"="&amp;Subgroup)&gt;0,"",Subgroup),"")</f>
        <v/>
      </c>
      <c r="DR16" s="7" t="str">
        <f t="shared" si="103"/>
        <v/>
      </c>
      <c r="DS16" s="7" t="str">
        <f t="shared" si="66"/>
        <v/>
      </c>
      <c r="DT16" s="19" t="str">
        <f t="shared" si="67"/>
        <v/>
      </c>
      <c r="DU16" s="12" t="str">
        <f t="shared" si="104"/>
        <v/>
      </c>
      <c r="DV16" s="11" t="str">
        <f t="shared" si="105"/>
        <v/>
      </c>
      <c r="DW16" s="12" t="str">
        <f t="shared" si="68"/>
        <v/>
      </c>
      <c r="DX16" s="19" t="str">
        <f t="shared" si="69"/>
        <v/>
      </c>
      <c r="DY16" s="19" t="str">
        <f t="shared" si="106"/>
        <v/>
      </c>
      <c r="DZ16" s="19" t="str">
        <f t="shared" si="70"/>
        <v/>
      </c>
      <c r="EA16" s="19" t="str">
        <f t="shared" si="71"/>
        <v/>
      </c>
      <c r="EB16" s="7" t="str">
        <f t="shared" si="72"/>
        <v/>
      </c>
      <c r="EC16" s="19" t="str">
        <f t="shared" si="107"/>
        <v/>
      </c>
      <c r="ED16" s="19" t="str">
        <f t="shared" si="108"/>
        <v/>
      </c>
      <c r="EE16" s="19" t="str">
        <f t="shared" si="109"/>
        <v/>
      </c>
      <c r="EF16" s="19" t="str">
        <f t="shared" si="110"/>
        <v/>
      </c>
      <c r="EG16" s="19" t="str">
        <f t="shared" si="111"/>
        <v/>
      </c>
      <c r="EH16" s="19" t="str">
        <f t="shared" si="112"/>
        <v/>
      </c>
      <c r="EI16" s="19" t="str">
        <f t="shared" si="113"/>
        <v/>
      </c>
      <c r="EJ16" s="19" t="str">
        <f t="shared" si="114"/>
        <v/>
      </c>
      <c r="EK16" s="19" t="str">
        <f t="shared" si="73"/>
        <v/>
      </c>
      <c r="EL16" s="19" t="str">
        <f t="shared" si="115"/>
        <v/>
      </c>
      <c r="EM16" s="19" t="str">
        <f t="shared" si="116"/>
        <v/>
      </c>
      <c r="EN16" s="19" t="str">
        <f t="shared" si="117"/>
        <v/>
      </c>
      <c r="EO16" s="19" t="str">
        <f t="shared" si="118"/>
        <v/>
      </c>
      <c r="EP16" s="19" t="str">
        <f t="shared" si="74"/>
        <v/>
      </c>
      <c r="EQ16" s="19" t="e">
        <f t="shared" si="119"/>
        <v>#N/A</v>
      </c>
      <c r="ER16" s="11" t="str">
        <f t="shared" si="120"/>
        <v/>
      </c>
      <c r="ES16" s="19" t="str">
        <f t="shared" si="121"/>
        <v/>
      </c>
      <c r="ET16" s="156" t="str">
        <f t="shared" si="122"/>
        <v/>
      </c>
      <c r="EU16" s="39" t="str">
        <f t="shared" si="75"/>
        <v/>
      </c>
      <c r="EV16" s="74" t="str">
        <f t="shared" si="76"/>
        <v/>
      </c>
      <c r="EX16" s="178" t="s">
        <v>124</v>
      </c>
      <c r="EY16" s="178"/>
      <c r="FA16" s="196"/>
      <c r="FB16" s="84" t="e">
        <f>IF(AND(Include_study?="Yes",Sufficient_data="Yes",Moderator&lt;&gt;""),'Moderator Analysis'!E16,NA())</f>
        <v>#N/A</v>
      </c>
      <c r="FC16" s="39" t="e">
        <f>IF(AND(Include_study?="Yes",Sufficient_data="Yes",Moderator&lt;&gt;""),'Moderator Analysis'!F16,NA())</f>
        <v>#N/A</v>
      </c>
      <c r="FD16" s="39" t="str">
        <f t="shared" si="77"/>
        <v/>
      </c>
      <c r="FE16" s="39" t="str">
        <f t="shared" si="78"/>
        <v/>
      </c>
      <c r="FF16" s="39" t="str">
        <f>IF(AND(Include_study?="Yes",Sufficient_data="Yes",Moderator&lt;&gt;""),'Moderator Analysis'!F:F-FP$2,"")</f>
        <v/>
      </c>
      <c r="FG16" s="39" t="str">
        <f>IF(AND(Include_study?="Yes",Sufficient_data="Yes",Moderator&lt;&gt;""),'Moderator Analysis'!E:E-FP$3,"")</f>
        <v/>
      </c>
      <c r="FH16" s="74" t="str">
        <f>IF(AND(Include_study?="Yes",Sufficient_data="Yes",Moderator&lt;&gt;""),FE:FE*('Moderator Analysis'!F:F-FP$5-FP$4*'Moderator Analysis'!E:E)^2,"")</f>
        <v/>
      </c>
      <c r="FI16" s="128"/>
      <c r="FJ16" s="92" t="str">
        <f t="shared" si="79"/>
        <v/>
      </c>
      <c r="FK16" s="137" t="str">
        <f>IF(AND(Include_study?="Yes",Sufficient_data="Yes",Moderator&lt;&gt;""),'Moderator Analysis'!F:F-'Moderator Analysis'!J$37,"")</f>
        <v/>
      </c>
      <c r="FL16" s="137" t="str">
        <f>IF(AND(Include_study?="Yes",Sufficient_data="Yes",Moderator&lt;&gt;""),'Moderator Analysis'!E:E-SUMPRODUCT('Moderator Analysis'!E:E,FJ:FJ)/SUM(FJ:FJ),"")</f>
        <v/>
      </c>
      <c r="FM16" s="95" t="str">
        <f>IF(AND(Include_study?="Yes",Sufficient_data="Yes",Moderator&lt;&gt;""),FJ:FJ*('Moderator Analysis'!F:F-'Moderator Analysis'!J$29-'Moderator Analysis'!J$30*'Moderator Analysis'!E:E)^2,"")</f>
        <v/>
      </c>
      <c r="FN16" s="21"/>
      <c r="FR16" s="196"/>
      <c r="FS16" s="182"/>
      <c r="FT1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" s="39" t="str">
        <f>IF(AND(Include_study?="Yes",Sufficient_data="Yes"),1/('Publication Bias Analysis'!F:F^2+IF(Additional_model="Fixed effect",0,Calculations!GH$12)),"")</f>
        <v/>
      </c>
      <c r="FV16" s="39" t="str">
        <f>IF(AND(Include_study?="Yes",Sufficient_data="Yes"),1/('Publication Bias Analysis'!F:F^2+IF(Additional_model="Fixed effect",0,'Publication Bias Analysis'!L$32)),"")</f>
        <v/>
      </c>
      <c r="FW16" s="39" t="str">
        <f>IF(AND(Include_study?="Yes",Sufficient_data="Yes"),'Publication Bias Analysis'!E:E-'Publication Bias Analysis'!I$37,"")</f>
        <v/>
      </c>
      <c r="FX16" s="39" t="str">
        <f>IF(AND(Include_study?="Yes",Sufficient_data="Yes"),IF(Additional_model="Fixed effect",1/'Publication Bias Analysis'!F:F,1/SQRT('Publication Bias Analysis'!F:F^2+GH$12)),"")</f>
        <v/>
      </c>
      <c r="FY1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" s="136" t="str">
        <f t="shared" si="80"/>
        <v/>
      </c>
      <c r="GA16" s="144" t="str">
        <f>IF(AND(Include_study?="Yes",Sufficient_data="Yes"),FZ:FZ+IF(GL:GL&lt;0,-1,1)*COUNTIF(FZ$2:FZ15,FZ:FZ),"")</f>
        <v/>
      </c>
      <c r="GB16" s="144" t="str">
        <f>IF(AND(Include_study?="Yes",Sufficient_data="Yes"),RANK(GP:GP,GP:GP,1)*IF(GO:GO&lt;0,-1,1)+IF(GO:GO&lt;0,-1,1)*COUNTIF(FZ$2:FZ15,FZ:FZ),"")</f>
        <v/>
      </c>
      <c r="GC16" s="144" t="str">
        <f>IF(AND(Include_study?="Yes",Sufficient_data="Yes"),RANK(GS:GS,GS:GS,1)*IF(GR:GR&lt;0,-1,1)+IF(GR:GR&lt;0,-1,1)*COUNTIF(FZ$2:FZ15,FZ:FZ),"")</f>
        <v/>
      </c>
      <c r="GD16" s="39" t="e">
        <f>IF(AND(Include_study?="Yes",Sufficient_data="Yes"),'Publication Bias Analysis'!E16,NA())</f>
        <v>#N/A</v>
      </c>
      <c r="GE16" s="74" t="e">
        <f>IF(AND(Include_study?="Yes",Sufficient_data="Yes"),'Publication Bias Analysis'!F16,NA())</f>
        <v>#N/A</v>
      </c>
      <c r="GG16" s="48" t="s">
        <v>151</v>
      </c>
      <c r="GH16" s="49">
        <f>IF(Additional_valid_options="Yes",'Publication Bias Analysis'!I29-'Publication Bias Analysis'!I33,NA())</f>
        <v>0.47553791340576224</v>
      </c>
      <c r="GK16" s="176"/>
      <c r="GL1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" s="39" t="str">
        <f t="shared" si="81"/>
        <v/>
      </c>
      <c r="GN1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" s="39" t="str">
        <f>IF(AND(Include_study?="Yes",Sufficient_data="Yes"),IF('Publication Bias Analysis'!L$38="Left",'Publication Bias Analysis'!E:E-GW$3,GW$3-'Publication Bias Analysis'!E:E),"")</f>
        <v/>
      </c>
      <c r="GP16" s="39" t="str">
        <f t="shared" si="82"/>
        <v/>
      </c>
      <c r="GQ1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" s="39" t="str">
        <f>IF(AND(Include_study?="Yes",Sufficient_data="Yes"),IF('Publication Bias Analysis'!L$38="Left",'Publication Bias Analysis'!E:E-GW$10,GW$10-'Publication Bias Analysis'!E:E),"")</f>
        <v/>
      </c>
      <c r="GS16" s="39" t="str">
        <f t="shared" si="83"/>
        <v/>
      </c>
      <c r="GT1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16" s="178" t="s">
        <v>17</v>
      </c>
      <c r="GW16" s="178"/>
      <c r="GY16" s="89">
        <v>15</v>
      </c>
      <c r="GZ16" s="7" t="str">
        <f>IF(Trim_and_fill="On",IF(GW$21&gt;(COUNT(GZ$2:GZ15)),IF(COUNTIF(GA:GA,-1*(MAX(GA:GA)-GY16+1))=1,"",MAX(GA:GA)-GY16+1),""),"")</f>
        <v/>
      </c>
      <c r="HA16" s="60" t="str">
        <f t="shared" si="84"/>
        <v/>
      </c>
      <c r="HB16" s="65" t="str">
        <f t="shared" si="85"/>
        <v/>
      </c>
      <c r="HC16" s="3" t="str">
        <f t="shared" si="86"/>
        <v/>
      </c>
      <c r="HD16" s="39" t="str">
        <f>IF(GZ16&lt;&gt;"",1/(HB16^2+'Publication Bias Analysis'!L$32),"")</f>
        <v/>
      </c>
      <c r="HE16" s="74" t="str">
        <f>IF(GZ16&lt;&gt;"",HA:HA-'Publication Bias Analysis'!I$37,"")</f>
        <v/>
      </c>
      <c r="HG16" s="89">
        <v>15</v>
      </c>
      <c r="HH16" s="3" t="e">
        <f t="shared" si="87"/>
        <v>#N/A</v>
      </c>
      <c r="HI16" s="74" t="e">
        <f t="shared" si="88"/>
        <v>#N/A</v>
      </c>
      <c r="HK16" s="176"/>
      <c r="HL16" s="66" t="str">
        <f t="shared" si="89"/>
        <v/>
      </c>
      <c r="HM16" s="74" t="str">
        <f>IF(AND(Include_study?="Yes",Sufficient_data="Yes"),Z_score-('Publication Bias Analysis'!P$3+'Publication Bias Analysis'!P$4*Inverse_standard_error),"")</f>
        <v/>
      </c>
      <c r="HO16" s="176"/>
      <c r="HP16" s="64" t="str">
        <f>IF(AND(Include_study?="Yes",Sufficient_data="Yes"),(GD:GD-SUMPRODUCT(Calculations!FT:FT,'Publication Bias Analysis'!E:E)/SUM(Calculations!FT:FT))/SQRT(Calculations!HQ:HQ),"")</f>
        <v/>
      </c>
      <c r="HQ16" s="64" t="str">
        <f>IF(AND(Include_study?="Yes",Sufficient_data="Yes"),GE:GE^2-1/SUM(Calculations!FT:FT),"")</f>
        <v/>
      </c>
      <c r="HR16" s="7" t="str">
        <f t="shared" si="90"/>
        <v/>
      </c>
      <c r="HS16" s="7" t="str">
        <f t="shared" si="91"/>
        <v/>
      </c>
      <c r="HT16" s="7" t="str">
        <f>IF(AND(Include_study?="Yes",Sufficient_data="Yes"),COUNTIFS(HR$2:HR15,"&lt;"&amp;HR16,HS$2:HS15,"&lt;"&amp;HS16)+COUNTIFS(HR17:HR$201,"&lt;"&amp;HR16,HS17:HS$201,"&lt;"&amp;HS16)+COUNTIFS(HR$2:HR15,"&gt;"&amp;HR16,HS$2:HS15,"&gt;"&amp;HS16)+COUNTIFS(HR17:HR$201,"&gt;"&amp;HR16,HS17:HS$201,"&gt;"&amp;HS16),"")</f>
        <v/>
      </c>
      <c r="HU16" s="104" t="str">
        <f>IF(AND(Include_study?="Yes",Sufficient_data="Yes"),COUNTIFS(HR$2:HR15,"&lt;"&amp;HR16,HS$2:HS15,"&gt;"&amp;HS16)+COUNTIFS(HR17:HR$201,"&lt;"&amp;HR16,HS17:HS$201,"&gt;"&amp;HS16)+COUNTIFS(HR$2:HR15,"&gt;"&amp;HR16,HS$2:HS15,"&lt;"&amp;HS16)+COUNTIFS(HR17:HR$201,"&gt;"&amp;HR16,HS17:HS$201,"&lt;"&amp;HS16),"")</f>
        <v/>
      </c>
      <c r="HW16" s="176"/>
      <c r="IB16" s="176"/>
      <c r="IC16" s="146" t="e">
        <f t="shared" si="92"/>
        <v>#N/A</v>
      </c>
      <c r="ID16" s="137" t="e">
        <f t="shared" si="93"/>
        <v>#N/A</v>
      </c>
      <c r="IE16" s="137" t="str">
        <f t="shared" si="94"/>
        <v/>
      </c>
      <c r="IF16" s="95" t="str">
        <f t="shared" si="95"/>
        <v/>
      </c>
      <c r="IK16" s="176"/>
      <c r="IL16" s="158" t="e">
        <f>IF(AND(Include_study?="Yes",Sufficient_data="Yes"),'Publication Bias Analysis'!AV:AV,NA())</f>
        <v>#N/A</v>
      </c>
      <c r="IM16" s="158" t="e">
        <f>IF(AND(Sufficient_data="Yes",Include_study?="Yes"),'Publication Bias Analysis'!AU:AU,NA())</f>
        <v>#N/A</v>
      </c>
      <c r="IN16" s="62" t="str">
        <f t="shared" si="96"/>
        <v/>
      </c>
      <c r="IO16" s="74" t="str">
        <f>IF(AND(Include_study?="Yes",Sufficient_data="Yes"),Z_score-('Publication Bias Analysis'!AY$30+'Publication Bias Analysis'!AY$31*Inverse_standard_error),"")</f>
        <v/>
      </c>
      <c r="IU16" s="176"/>
      <c r="IV16" s="7" t="str">
        <f>IF('Publication Bias Analysis'!BG:BG&lt;&gt;"",RANK('Publication Bias Analysis'!BG:BG,'Publication Bias Analysis'!BG:BG,1)+COUNTIF('Publication Bias Analysis'!BG$2:BG15,'Publication Bias Analysis'!BG16),"")</f>
        <v/>
      </c>
      <c r="IW16" s="124" t="str">
        <f t="shared" si="97"/>
        <v/>
      </c>
      <c r="IX16" s="125" t="e">
        <f>IF('Publication Bias Analysis'!BF16&lt;&gt;"",'Publication Bias Analysis'!BF16,NA())</f>
        <v>#N/A</v>
      </c>
      <c r="IY16" s="125" t="e">
        <f>IF('Publication Bias Analysis'!BG16&lt;&gt;"",'Publication Bias Analysis'!BG16,NA())</f>
        <v>#N/A</v>
      </c>
      <c r="IZ16" s="62" t="str">
        <f>IF(AND(Include_study?="Yes",Sufficient_data="Yes"),'Publication Bias Analysis'!BF:BF-AVERAGE('Publication Bias Analysis'!BF:BF),"")</f>
        <v/>
      </c>
      <c r="JA16" s="74" t="str">
        <f>IF(AND(Include_study?="Yes",Sufficient_data="Yes"),'Publication Bias Analysis'!BG:BG-('Publication Bias Analysis'!BJ$30+'Publication Bias Analysis'!BJ$31*'Publication Bias Analysis'!BF:BF),"")</f>
        <v/>
      </c>
      <c r="JG16" s="176"/>
      <c r="JH16" s="39" t="str">
        <f t="shared" si="98"/>
        <v/>
      </c>
      <c r="JI16" s="148" t="str">
        <f t="shared" si="124"/>
        <v/>
      </c>
      <c r="JJ16" s="74" t="str">
        <f t="shared" si="125"/>
        <v/>
      </c>
    </row>
    <row r="17" spans="1:270" x14ac:dyDescent="0.2">
      <c r="A17" s="2" t="str">
        <f t="shared" si="0"/>
        <v/>
      </c>
      <c r="B17" s="7" t="str">
        <f>IF(AND(Include_study?="Yes",Sufficient_data="Yes"),IF(Input!a_&lt;&gt;"",Input!a_,Input!n1_-Input!b_),"")</f>
        <v/>
      </c>
      <c r="C17" s="7" t="str">
        <f>IF(AND(Include_study?="Yes",Sufficient_data="Yes"),IF(Input!b_&lt;&gt;"",Input!b_,Input!n1_-Input!a_),"")</f>
        <v/>
      </c>
      <c r="D17" s="7" t="str">
        <f>IF(AND(Include_study?="Yes",Sufficient_data="Yes"),IF(Input!c_&lt;&gt;"",Input!c_,Input!n2_-Input!d_),"")</f>
        <v/>
      </c>
      <c r="E17" s="7" t="str">
        <f>IF(AND(Include_study?="Yes",Sufficient_data="Yes"),IF(Input!d_&lt;&gt;"",Input!d_,Input!n2_-Input!c_),"")</f>
        <v/>
      </c>
      <c r="F17" s="74" t="str">
        <f t="shared" si="1"/>
        <v/>
      </c>
      <c r="H17" s="196"/>
      <c r="I17" s="182"/>
      <c r="J17" s="146" t="str">
        <f t="shared" si="2"/>
        <v/>
      </c>
      <c r="K17" s="39" t="str">
        <f t="shared" si="3"/>
        <v/>
      </c>
      <c r="L17" s="39" t="str">
        <f t="shared" si="4"/>
        <v/>
      </c>
      <c r="M17" s="39" t="str">
        <f t="shared" si="5"/>
        <v/>
      </c>
      <c r="N17" s="74" t="str">
        <f t="shared" si="6"/>
        <v/>
      </c>
      <c r="P17" s="176"/>
      <c r="Q17" s="130" t="str">
        <f t="shared" si="7"/>
        <v/>
      </c>
      <c r="R17" s="39" t="str">
        <f t="shared" si="8"/>
        <v/>
      </c>
      <c r="S17" s="39" t="str">
        <f t="shared" si="9"/>
        <v/>
      </c>
      <c r="T17" s="74" t="str">
        <f t="shared" si="10"/>
        <v/>
      </c>
      <c r="V17" s="176"/>
      <c r="W17" s="130" t="str">
        <f t="shared" si="11"/>
        <v/>
      </c>
      <c r="X17" s="39" t="str">
        <f t="shared" si="12"/>
        <v/>
      </c>
      <c r="Y17" s="39" t="str">
        <f t="shared" si="13"/>
        <v/>
      </c>
      <c r="Z17" s="74" t="str">
        <f t="shared" si="14"/>
        <v/>
      </c>
      <c r="AB17" s="176"/>
      <c r="AC17" s="130" t="str">
        <f t="shared" si="15"/>
        <v/>
      </c>
      <c r="AD17" s="39" t="str">
        <f t="shared" si="16"/>
        <v/>
      </c>
      <c r="AE17" s="39" t="str">
        <f t="shared" si="17"/>
        <v/>
      </c>
      <c r="AF17" s="39" t="str">
        <f t="shared" si="18"/>
        <v/>
      </c>
      <c r="AG17" s="74" t="str">
        <f t="shared" si="19"/>
        <v/>
      </c>
      <c r="AI17" s="196"/>
      <c r="AJ1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" s="136" t="str">
        <f>IF(AJ17&lt;&gt;"",IF(AJ17=0,COUNTIF(AJ$2:AJ16,0)+1,COUNTIF(AJ$2:AJ16,AJ17)+AJ17+COUNTIF(AJ:AJ,0)),"")</f>
        <v/>
      </c>
      <c r="AL17" s="136" t="str">
        <f t="shared" si="20"/>
        <v/>
      </c>
      <c r="AM17" s="155" t="str">
        <f>IF(AND(Include_study?="Yes",Sufficient_data="Yes",Input!Study_name&lt;&gt;""),Input!Study_name,"")</f>
        <v/>
      </c>
      <c r="AN17" s="136" t="str">
        <f t="shared" si="21"/>
        <v/>
      </c>
      <c r="AO17" s="19" t="str">
        <f t="shared" si="22"/>
        <v/>
      </c>
      <c r="AP17" s="158" t="str">
        <f t="shared" si="23"/>
        <v/>
      </c>
      <c r="AQ17" s="158" t="str">
        <f t="shared" si="24"/>
        <v/>
      </c>
      <c r="AR17" s="39" t="str">
        <f t="shared" si="25"/>
        <v/>
      </c>
      <c r="AS17" s="158" t="str">
        <f t="shared" si="26"/>
        <v/>
      </c>
      <c r="AT17" s="39" t="str">
        <f t="shared" si="27"/>
        <v/>
      </c>
      <c r="AU17" s="172" t="str">
        <f t="shared" si="28"/>
        <v/>
      </c>
      <c r="AW17" s="84" t="e">
        <f t="shared" si="29"/>
        <v>#N/A</v>
      </c>
      <c r="AX17" s="3" t="e">
        <f t="shared" si="30"/>
        <v>#N/A</v>
      </c>
      <c r="AY17" s="74" t="e">
        <f t="shared" si="31"/>
        <v>#N/A</v>
      </c>
      <c r="BD17" s="196"/>
      <c r="BE17" s="182"/>
      <c r="BF17" s="3" t="str">
        <f t="shared" si="32"/>
        <v/>
      </c>
      <c r="BG17" s="3" t="str">
        <f t="shared" si="33"/>
        <v/>
      </c>
      <c r="BH17" s="3" t="str">
        <f t="shared" si="34"/>
        <v/>
      </c>
      <c r="BI17" s="39" t="str">
        <f t="shared" si="99"/>
        <v/>
      </c>
      <c r="BJ17" s="95" t="str">
        <f t="shared" si="35"/>
        <v/>
      </c>
      <c r="BL17" s="6"/>
      <c r="BM17" s="6"/>
      <c r="BO17" s="176"/>
      <c r="BP17" s="158" t="str">
        <f t="shared" si="36"/>
        <v/>
      </c>
      <c r="BQ17" s="158" t="str">
        <f t="shared" si="37"/>
        <v/>
      </c>
      <c r="BR17" s="158" t="str">
        <f t="shared" si="38"/>
        <v/>
      </c>
      <c r="BS17" s="158" t="str">
        <f>IF(AND(Sufficient_data="Yes",Include_study?="Yes"),IF(Add_0_5="Yes",(a_+d_+1)*(ab_+0.5)*(c_+0.5)/(Number_of_subjects+2)^2,(a_+d_)*b_*c_/Number_of_subjects^2),"")</f>
        <v/>
      </c>
      <c r="BT17" s="158" t="str">
        <f t="shared" si="39"/>
        <v/>
      </c>
      <c r="BU17" s="158" t="str">
        <f t="shared" si="40"/>
        <v/>
      </c>
      <c r="BV17" s="158" t="str">
        <f t="shared" si="41"/>
        <v/>
      </c>
      <c r="BW17" s="3" t="str">
        <f t="shared" si="42"/>
        <v/>
      </c>
      <c r="BX17" s="137" t="str">
        <f t="shared" si="43"/>
        <v/>
      </c>
      <c r="BY17" s="95" t="str">
        <f t="shared" si="44"/>
        <v/>
      </c>
      <c r="CD17" s="176"/>
      <c r="CE17" s="130" t="str">
        <f t="shared" si="45"/>
        <v/>
      </c>
      <c r="CF17" s="39" t="str">
        <f t="shared" si="46"/>
        <v/>
      </c>
      <c r="CG17" s="39" t="str">
        <f t="shared" si="47"/>
        <v/>
      </c>
      <c r="CH17" s="39" t="str">
        <f t="shared" si="48"/>
        <v/>
      </c>
      <c r="CI17" s="39" t="str">
        <f t="shared" si="49"/>
        <v/>
      </c>
      <c r="CJ17" s="39" t="str">
        <f t="shared" si="50"/>
        <v/>
      </c>
      <c r="CK17" s="95" t="str">
        <f t="shared" si="51"/>
        <v/>
      </c>
      <c r="CP17" s="176"/>
      <c r="CQ17" s="99" t="str">
        <f t="shared" si="52"/>
        <v/>
      </c>
      <c r="CS17" s="178" t="s">
        <v>52</v>
      </c>
      <c r="CT17" s="178"/>
      <c r="CU17" s="178"/>
      <c r="CV17" s="178"/>
      <c r="CX17" s="196"/>
      <c r="CY17" s="89" t="e">
        <f t="shared" si="53"/>
        <v>#N/A</v>
      </c>
      <c r="CZ17" s="136" t="str">
        <f t="shared" si="54"/>
        <v/>
      </c>
      <c r="DA17" s="140" t="str">
        <f t="shared" si="55"/>
        <v/>
      </c>
      <c r="DB17" s="39" t="str">
        <f t="shared" si="56"/>
        <v/>
      </c>
      <c r="DC17" s="39" t="str">
        <f t="shared" si="57"/>
        <v/>
      </c>
      <c r="DD17" s="39" t="str">
        <f t="shared" si="58"/>
        <v/>
      </c>
      <c r="DE17" s="39" t="str">
        <f t="shared" si="59"/>
        <v/>
      </c>
      <c r="DF17" s="141" t="str">
        <f t="shared" si="60"/>
        <v/>
      </c>
      <c r="DG17" s="39" t="str">
        <f t="shared" si="61"/>
        <v/>
      </c>
      <c r="DH17" s="39" t="str">
        <f t="shared" si="62"/>
        <v/>
      </c>
      <c r="DI17" s="39" t="str">
        <f t="shared" si="63"/>
        <v/>
      </c>
      <c r="DJ17" s="74" t="str">
        <f t="shared" si="64"/>
        <v/>
      </c>
      <c r="DL17" s="84" t="e">
        <f t="shared" si="65"/>
        <v>#N/A</v>
      </c>
      <c r="DM17" s="39" t="e">
        <f t="shared" si="100"/>
        <v>#N/A</v>
      </c>
      <c r="DN17" s="74" t="e">
        <f t="shared" si="101"/>
        <v>#N/A</v>
      </c>
      <c r="DP17" s="89" t="str">
        <f t="shared" si="102"/>
        <v/>
      </c>
      <c r="DQ17" s="26" t="str">
        <f>IF(AND(Sufficient_data="Yes",Subgroup&lt;&gt;""),IF(COUNTIFS(Input!J$2:J16,"="&amp;"Yes",Input!C$2:C16,"="&amp;"Yes",Input!K$2:K16,"="&amp;Subgroup)&gt;0,"",Subgroup),"")</f>
        <v/>
      </c>
      <c r="DR17" s="7" t="str">
        <f t="shared" si="103"/>
        <v/>
      </c>
      <c r="DS17" s="7" t="str">
        <f t="shared" si="66"/>
        <v/>
      </c>
      <c r="DT17" s="19" t="str">
        <f t="shared" si="67"/>
        <v/>
      </c>
      <c r="DU17" s="12" t="str">
        <f t="shared" si="104"/>
        <v/>
      </c>
      <c r="DV17" s="11" t="str">
        <f t="shared" si="105"/>
        <v/>
      </c>
      <c r="DW17" s="12" t="str">
        <f t="shared" si="68"/>
        <v/>
      </c>
      <c r="DX17" s="19" t="str">
        <f t="shared" si="69"/>
        <v/>
      </c>
      <c r="DY17" s="19" t="str">
        <f t="shared" si="106"/>
        <v/>
      </c>
      <c r="DZ17" s="19" t="str">
        <f t="shared" si="70"/>
        <v/>
      </c>
      <c r="EA17" s="19" t="str">
        <f t="shared" si="71"/>
        <v/>
      </c>
      <c r="EB17" s="7" t="str">
        <f t="shared" si="72"/>
        <v/>
      </c>
      <c r="EC17" s="19" t="str">
        <f t="shared" si="107"/>
        <v/>
      </c>
      <c r="ED17" s="19" t="str">
        <f t="shared" si="108"/>
        <v/>
      </c>
      <c r="EE17" s="19" t="str">
        <f t="shared" si="109"/>
        <v/>
      </c>
      <c r="EF17" s="19" t="str">
        <f t="shared" si="110"/>
        <v/>
      </c>
      <c r="EG17" s="19" t="str">
        <f t="shared" si="111"/>
        <v/>
      </c>
      <c r="EH17" s="19" t="str">
        <f t="shared" si="112"/>
        <v/>
      </c>
      <c r="EI17" s="19" t="str">
        <f t="shared" si="113"/>
        <v/>
      </c>
      <c r="EJ17" s="19" t="str">
        <f t="shared" si="114"/>
        <v/>
      </c>
      <c r="EK17" s="19" t="str">
        <f t="shared" si="73"/>
        <v/>
      </c>
      <c r="EL17" s="19" t="str">
        <f t="shared" si="115"/>
        <v/>
      </c>
      <c r="EM17" s="19" t="str">
        <f t="shared" si="116"/>
        <v/>
      </c>
      <c r="EN17" s="19" t="str">
        <f t="shared" si="117"/>
        <v/>
      </c>
      <c r="EO17" s="19" t="str">
        <f t="shared" si="118"/>
        <v/>
      </c>
      <c r="EP17" s="19" t="str">
        <f t="shared" si="74"/>
        <v/>
      </c>
      <c r="EQ17" s="19" t="e">
        <f t="shared" si="119"/>
        <v>#N/A</v>
      </c>
      <c r="ER17" s="11" t="str">
        <f t="shared" si="120"/>
        <v/>
      </c>
      <c r="ES17" s="19" t="str">
        <f t="shared" si="121"/>
        <v/>
      </c>
      <c r="ET17" s="156" t="str">
        <f t="shared" si="122"/>
        <v/>
      </c>
      <c r="EU17" s="39" t="str">
        <f t="shared" si="75"/>
        <v/>
      </c>
      <c r="EV17" s="74" t="str">
        <f t="shared" si="76"/>
        <v/>
      </c>
      <c r="EX17" s="2" t="s">
        <v>6</v>
      </c>
      <c r="EY17" s="19">
        <f>SUMPRODUCT(Subgroup_weightf,Subgroup_effect_size,Subgroup_effect_size)-SUMPRODUCT(Subgroup_weightf,Subgroup_effect_size)^2/SUM(Subgroup_weightf)</f>
        <v>12.273195457938824</v>
      </c>
      <c r="FA17" s="196"/>
      <c r="FB17" s="84" t="e">
        <f>IF(AND(Include_study?="Yes",Sufficient_data="Yes",Moderator&lt;&gt;""),'Moderator Analysis'!E17,NA())</f>
        <v>#N/A</v>
      </c>
      <c r="FC17" s="39" t="e">
        <f>IF(AND(Include_study?="Yes",Sufficient_data="Yes",Moderator&lt;&gt;""),'Moderator Analysis'!F17,NA())</f>
        <v>#N/A</v>
      </c>
      <c r="FD17" s="39" t="str">
        <f t="shared" si="77"/>
        <v/>
      </c>
      <c r="FE17" s="39" t="str">
        <f t="shared" si="78"/>
        <v/>
      </c>
      <c r="FF17" s="39" t="str">
        <f>IF(AND(Include_study?="Yes",Sufficient_data="Yes",Moderator&lt;&gt;""),'Moderator Analysis'!F:F-FP$2,"")</f>
        <v/>
      </c>
      <c r="FG17" s="39" t="str">
        <f>IF(AND(Include_study?="Yes",Sufficient_data="Yes",Moderator&lt;&gt;""),'Moderator Analysis'!E:E-FP$3,"")</f>
        <v/>
      </c>
      <c r="FH17" s="74" t="str">
        <f>IF(AND(Include_study?="Yes",Sufficient_data="Yes",Moderator&lt;&gt;""),FE:FE*('Moderator Analysis'!F:F-FP$5-FP$4*'Moderator Analysis'!E:E)^2,"")</f>
        <v/>
      </c>
      <c r="FI17" s="128"/>
      <c r="FJ17" s="92" t="str">
        <f t="shared" si="79"/>
        <v/>
      </c>
      <c r="FK17" s="137" t="str">
        <f>IF(AND(Include_study?="Yes",Sufficient_data="Yes",Moderator&lt;&gt;""),'Moderator Analysis'!F:F-'Moderator Analysis'!J$37,"")</f>
        <v/>
      </c>
      <c r="FL17" s="137" t="str">
        <f>IF(AND(Include_study?="Yes",Sufficient_data="Yes",Moderator&lt;&gt;""),'Moderator Analysis'!E:E-SUMPRODUCT('Moderator Analysis'!E:E,FJ:FJ)/SUM(FJ:FJ),"")</f>
        <v/>
      </c>
      <c r="FM17" s="95" t="str">
        <f>IF(AND(Include_study?="Yes",Sufficient_data="Yes",Moderator&lt;&gt;""),FJ:FJ*('Moderator Analysis'!F:F-'Moderator Analysis'!J$29-'Moderator Analysis'!J$30*'Moderator Analysis'!E:E)^2,"")</f>
        <v/>
      </c>
      <c r="FN17" s="21"/>
      <c r="FR17" s="196"/>
      <c r="FS17" s="182"/>
      <c r="FT1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" s="39" t="str">
        <f>IF(AND(Include_study?="Yes",Sufficient_data="Yes"),1/('Publication Bias Analysis'!F:F^2+IF(Additional_model="Fixed effect",0,Calculations!GH$12)),"")</f>
        <v/>
      </c>
      <c r="FV17" s="39" t="str">
        <f>IF(AND(Include_study?="Yes",Sufficient_data="Yes"),1/('Publication Bias Analysis'!F:F^2+IF(Additional_model="Fixed effect",0,'Publication Bias Analysis'!L$32)),"")</f>
        <v/>
      </c>
      <c r="FW17" s="39" t="str">
        <f>IF(AND(Include_study?="Yes",Sufficient_data="Yes"),'Publication Bias Analysis'!E:E-'Publication Bias Analysis'!I$37,"")</f>
        <v/>
      </c>
      <c r="FX17" s="39" t="str">
        <f>IF(AND(Include_study?="Yes",Sufficient_data="Yes"),IF(Additional_model="Fixed effect",1/'Publication Bias Analysis'!F:F,1/SQRT('Publication Bias Analysis'!F:F^2+GH$12)),"")</f>
        <v/>
      </c>
      <c r="FY1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" s="136" t="str">
        <f t="shared" si="80"/>
        <v/>
      </c>
      <c r="GA17" s="144" t="str">
        <f>IF(AND(Include_study?="Yes",Sufficient_data="Yes"),FZ:FZ+IF(GL:GL&lt;0,-1,1)*COUNTIF(FZ$2:FZ16,FZ:FZ),"")</f>
        <v/>
      </c>
      <c r="GB17" s="144" t="str">
        <f>IF(AND(Include_study?="Yes",Sufficient_data="Yes"),RANK(GP:GP,GP:GP,1)*IF(GO:GO&lt;0,-1,1)+IF(GO:GO&lt;0,-1,1)*COUNTIF(FZ$2:FZ16,FZ:FZ),"")</f>
        <v/>
      </c>
      <c r="GC17" s="144" t="str">
        <f>IF(AND(Include_study?="Yes",Sufficient_data="Yes"),RANK(GS:GS,GS:GS,1)*IF(GR:GR&lt;0,-1,1)+IF(GR:GR&lt;0,-1,1)*COUNTIF(FZ$2:FZ16,FZ:FZ),"")</f>
        <v/>
      </c>
      <c r="GD17" s="39" t="e">
        <f>IF(AND(Include_study?="Yes",Sufficient_data="Yes"),'Publication Bias Analysis'!E17,NA())</f>
        <v>#N/A</v>
      </c>
      <c r="GE17" s="74" t="e">
        <f>IF(AND(Include_study?="Yes",Sufficient_data="Yes"),'Publication Bias Analysis'!F17,NA())</f>
        <v>#N/A</v>
      </c>
      <c r="GG17" s="48" t="s">
        <v>209</v>
      </c>
      <c r="GH17" s="49">
        <f>IF(Additional_valid_options="Yes",MAX('Publication Bias Analysis'!F:F)*1.1,NA())</f>
        <v>0.78274040376266496</v>
      </c>
      <c r="GK17" s="176"/>
      <c r="GL1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" s="39" t="str">
        <f t="shared" si="81"/>
        <v/>
      </c>
      <c r="GN1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" s="39" t="str">
        <f>IF(AND(Include_study?="Yes",Sufficient_data="Yes"),IF('Publication Bias Analysis'!L$38="Left",'Publication Bias Analysis'!E:E-GW$3,GW$3-'Publication Bias Analysis'!E:E),"")</f>
        <v/>
      </c>
      <c r="GP17" s="39" t="str">
        <f t="shared" si="82"/>
        <v/>
      </c>
      <c r="GQ1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" s="39" t="str">
        <f>IF(AND(Include_study?="Yes",Sufficient_data="Yes"),IF('Publication Bias Analysis'!L$38="Left",'Publication Bias Analysis'!E:E-GW$10,GW$10-'Publication Bias Analysis'!E:E),"")</f>
        <v/>
      </c>
      <c r="GS17" s="39" t="str">
        <f t="shared" si="83"/>
        <v/>
      </c>
      <c r="GT1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17" s="2" t="str">
        <f>GV3</f>
        <v>Log Odds Ratio</v>
      </c>
      <c r="GW17" s="19">
        <f>SUMPRODUCT(--(GC:GC&lt;=MAX(GC:GC)-GW21),GT:GT,'Publication Bias Analysis'!E:E)/SUMIF(GC:GC,"&lt;="&amp;MAX(GC:GC)-GW21,GT:GT)</f>
        <v>0.42293852998149922</v>
      </c>
      <c r="GY17" s="89">
        <v>16</v>
      </c>
      <c r="GZ17" s="7" t="str">
        <f>IF(Trim_and_fill="On",IF(GW$21&gt;(COUNT(GZ$2:GZ16)),IF(COUNTIF(GA:GA,-1*(MAX(GA:GA)-GY17+1))=1,"",MAX(GA:GA)-GY17+1),""),"")</f>
        <v/>
      </c>
      <c r="HA17" s="60" t="str">
        <f t="shared" si="84"/>
        <v/>
      </c>
      <c r="HB17" s="65" t="str">
        <f t="shared" si="85"/>
        <v/>
      </c>
      <c r="HC17" s="3" t="str">
        <f t="shared" si="86"/>
        <v/>
      </c>
      <c r="HD17" s="39" t="str">
        <f>IF(GZ17&lt;&gt;"",1/(HB17^2+'Publication Bias Analysis'!L$32),"")</f>
        <v/>
      </c>
      <c r="HE17" s="74" t="str">
        <f>IF(GZ17&lt;&gt;"",HA:HA-'Publication Bias Analysis'!I$37,"")</f>
        <v/>
      </c>
      <c r="HG17" s="89">
        <v>16</v>
      </c>
      <c r="HH17" s="3" t="e">
        <f t="shared" si="87"/>
        <v>#N/A</v>
      </c>
      <c r="HI17" s="74" t="e">
        <f t="shared" si="88"/>
        <v>#N/A</v>
      </c>
      <c r="HK17" s="176"/>
      <c r="HL17" s="66" t="str">
        <f t="shared" si="89"/>
        <v/>
      </c>
      <c r="HM17" s="74" t="str">
        <f>IF(AND(Include_study?="Yes",Sufficient_data="Yes"),Z_score-('Publication Bias Analysis'!P$3+'Publication Bias Analysis'!P$4*Inverse_standard_error),"")</f>
        <v/>
      </c>
      <c r="HO17" s="176"/>
      <c r="HP17" s="64" t="str">
        <f>IF(AND(Include_study?="Yes",Sufficient_data="Yes"),(GD:GD-SUMPRODUCT(Calculations!FT:FT,'Publication Bias Analysis'!E:E)/SUM(Calculations!FT:FT))/SQRT(Calculations!HQ:HQ),"")</f>
        <v/>
      </c>
      <c r="HQ17" s="64" t="str">
        <f>IF(AND(Include_study?="Yes",Sufficient_data="Yes"),GE:GE^2-1/SUM(Calculations!FT:FT),"")</f>
        <v/>
      </c>
      <c r="HR17" s="7" t="str">
        <f t="shared" si="90"/>
        <v/>
      </c>
      <c r="HS17" s="7" t="str">
        <f t="shared" si="91"/>
        <v/>
      </c>
      <c r="HT17" s="7" t="str">
        <f>IF(AND(Include_study?="Yes",Sufficient_data="Yes"),COUNTIFS(HR$2:HR16,"&lt;"&amp;HR17,HS$2:HS16,"&lt;"&amp;HS17)+COUNTIFS(HR18:HR$201,"&lt;"&amp;HR17,HS18:HS$201,"&lt;"&amp;HS17)+COUNTIFS(HR$2:HR16,"&gt;"&amp;HR17,HS$2:HS16,"&gt;"&amp;HS17)+COUNTIFS(HR18:HR$201,"&gt;"&amp;HR17,HS18:HS$201,"&gt;"&amp;HS17),"")</f>
        <v/>
      </c>
      <c r="HU17" s="104" t="str">
        <f>IF(AND(Include_study?="Yes",Sufficient_data="Yes"),COUNTIFS(HR$2:HR16,"&lt;"&amp;HR17,HS$2:HS16,"&gt;"&amp;HS17)+COUNTIFS(HR18:HR$201,"&lt;"&amp;HR17,HS18:HS$201,"&gt;"&amp;HS17)+COUNTIFS(HR$2:HR16,"&gt;"&amp;HR17,HS$2:HS16,"&lt;"&amp;HS17)+COUNTIFS(HR18:HR$201,"&gt;"&amp;HR17,HS18:HS$201,"&lt;"&amp;HS17),"")</f>
        <v/>
      </c>
      <c r="HW17" s="176"/>
      <c r="IB17" s="176"/>
      <c r="IC17" s="146" t="e">
        <f t="shared" si="92"/>
        <v>#N/A</v>
      </c>
      <c r="ID17" s="137" t="e">
        <f t="shared" si="93"/>
        <v>#N/A</v>
      </c>
      <c r="IE17" s="137" t="str">
        <f t="shared" si="94"/>
        <v/>
      </c>
      <c r="IF17" s="95" t="str">
        <f t="shared" si="95"/>
        <v/>
      </c>
      <c r="IK17" s="176"/>
      <c r="IL17" s="158" t="e">
        <f>IF(AND(Include_study?="Yes",Sufficient_data="Yes"),'Publication Bias Analysis'!AV:AV,NA())</f>
        <v>#N/A</v>
      </c>
      <c r="IM17" s="158" t="e">
        <f>IF(AND(Sufficient_data="Yes",Include_study?="Yes"),'Publication Bias Analysis'!AU:AU,NA())</f>
        <v>#N/A</v>
      </c>
      <c r="IN17" s="62" t="str">
        <f t="shared" si="96"/>
        <v/>
      </c>
      <c r="IO17" s="74" t="str">
        <f>IF(AND(Include_study?="Yes",Sufficient_data="Yes"),Z_score-('Publication Bias Analysis'!AY$30+'Publication Bias Analysis'!AY$31*Inverse_standard_error),"")</f>
        <v/>
      </c>
      <c r="IU17" s="176"/>
      <c r="IV17" s="7" t="str">
        <f>IF('Publication Bias Analysis'!BG:BG&lt;&gt;"",RANK('Publication Bias Analysis'!BG:BG,'Publication Bias Analysis'!BG:BG,1)+COUNTIF('Publication Bias Analysis'!BG$2:BG16,'Publication Bias Analysis'!BG17),"")</f>
        <v/>
      </c>
      <c r="IW17" s="124" t="str">
        <f t="shared" si="97"/>
        <v/>
      </c>
      <c r="IX17" s="125" t="e">
        <f>IF('Publication Bias Analysis'!BF17&lt;&gt;"",'Publication Bias Analysis'!BF17,NA())</f>
        <v>#N/A</v>
      </c>
      <c r="IY17" s="125" t="e">
        <f>IF('Publication Bias Analysis'!BG17&lt;&gt;"",'Publication Bias Analysis'!BG17,NA())</f>
        <v>#N/A</v>
      </c>
      <c r="IZ17" s="62" t="str">
        <f>IF(AND(Include_study?="Yes",Sufficient_data="Yes"),'Publication Bias Analysis'!BF:BF-AVERAGE('Publication Bias Analysis'!BF:BF),"")</f>
        <v/>
      </c>
      <c r="JA17" s="74" t="str">
        <f>IF(AND(Include_study?="Yes",Sufficient_data="Yes"),'Publication Bias Analysis'!BG:BG-('Publication Bias Analysis'!BJ$30+'Publication Bias Analysis'!BJ$31*'Publication Bias Analysis'!BF:BF),"")</f>
        <v/>
      </c>
      <c r="JG17" s="176"/>
      <c r="JH17" s="39" t="str">
        <f t="shared" si="98"/>
        <v/>
      </c>
      <c r="JI17" s="148" t="str">
        <f t="shared" si="124"/>
        <v/>
      </c>
      <c r="JJ17" s="74" t="str">
        <f t="shared" si="125"/>
        <v/>
      </c>
    </row>
    <row r="18" spans="1:270" ht="13.5" x14ac:dyDescent="0.25">
      <c r="A18" s="2" t="str">
        <f t="shared" si="0"/>
        <v/>
      </c>
      <c r="B18" s="7" t="str">
        <f>IF(AND(Include_study?="Yes",Sufficient_data="Yes"),IF(Input!a_&lt;&gt;"",Input!a_,Input!n1_-Input!b_),"")</f>
        <v/>
      </c>
      <c r="C18" s="7" t="str">
        <f>IF(AND(Include_study?="Yes",Sufficient_data="Yes"),IF(Input!b_&lt;&gt;"",Input!b_,Input!n1_-Input!a_),"")</f>
        <v/>
      </c>
      <c r="D18" s="7" t="str">
        <f>IF(AND(Include_study?="Yes",Sufficient_data="Yes"),IF(Input!c_&lt;&gt;"",Input!c_,Input!n2_-Input!d_),"")</f>
        <v/>
      </c>
      <c r="E18" s="7" t="str">
        <f>IF(AND(Include_study?="Yes",Sufficient_data="Yes"),IF(Input!d_&lt;&gt;"",Input!d_,Input!n2_-Input!c_),"")</f>
        <v/>
      </c>
      <c r="F18" s="74" t="str">
        <f t="shared" si="1"/>
        <v/>
      </c>
      <c r="H18" s="196"/>
      <c r="I18" s="182"/>
      <c r="J18" s="146" t="str">
        <f t="shared" si="2"/>
        <v/>
      </c>
      <c r="K18" s="39" t="str">
        <f t="shared" si="3"/>
        <v/>
      </c>
      <c r="L18" s="39" t="str">
        <f t="shared" si="4"/>
        <v/>
      </c>
      <c r="M18" s="39" t="str">
        <f t="shared" si="5"/>
        <v/>
      </c>
      <c r="N18" s="74" t="str">
        <f t="shared" si="6"/>
        <v/>
      </c>
      <c r="P18" s="176"/>
      <c r="Q18" s="130" t="str">
        <f t="shared" si="7"/>
        <v/>
      </c>
      <c r="R18" s="39" t="str">
        <f t="shared" si="8"/>
        <v/>
      </c>
      <c r="S18" s="39" t="str">
        <f t="shared" si="9"/>
        <v/>
      </c>
      <c r="T18" s="74" t="str">
        <f t="shared" si="10"/>
        <v/>
      </c>
      <c r="V18" s="176"/>
      <c r="W18" s="130" t="str">
        <f t="shared" si="11"/>
        <v/>
      </c>
      <c r="X18" s="39" t="str">
        <f t="shared" si="12"/>
        <v/>
      </c>
      <c r="Y18" s="39" t="str">
        <f t="shared" si="13"/>
        <v/>
      </c>
      <c r="Z18" s="74" t="str">
        <f t="shared" si="14"/>
        <v/>
      </c>
      <c r="AB18" s="176"/>
      <c r="AC18" s="130" t="str">
        <f t="shared" si="15"/>
        <v/>
      </c>
      <c r="AD18" s="39" t="str">
        <f t="shared" si="16"/>
        <v/>
      </c>
      <c r="AE18" s="39" t="str">
        <f t="shared" si="17"/>
        <v/>
      </c>
      <c r="AF18" s="39" t="str">
        <f t="shared" si="18"/>
        <v/>
      </c>
      <c r="AG18" s="74" t="str">
        <f t="shared" si="19"/>
        <v/>
      </c>
      <c r="AI18" s="196"/>
      <c r="AJ1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" s="136" t="str">
        <f>IF(AJ18&lt;&gt;"",IF(AJ18=0,COUNTIF(AJ$2:AJ17,0)+1,COUNTIF(AJ$2:AJ17,AJ18)+AJ18+COUNTIF(AJ:AJ,0)),"")</f>
        <v/>
      </c>
      <c r="AL18" s="136" t="str">
        <f t="shared" si="20"/>
        <v/>
      </c>
      <c r="AM18" s="155" t="str">
        <f>IF(AND(Include_study?="Yes",Sufficient_data="Yes",Input!Study_name&lt;&gt;""),Input!Study_name,"")</f>
        <v/>
      </c>
      <c r="AN18" s="136" t="str">
        <f t="shared" si="21"/>
        <v/>
      </c>
      <c r="AO18" s="19" t="str">
        <f t="shared" si="22"/>
        <v/>
      </c>
      <c r="AP18" s="158" t="str">
        <f t="shared" si="23"/>
        <v/>
      </c>
      <c r="AQ18" s="158" t="str">
        <f t="shared" si="24"/>
        <v/>
      </c>
      <c r="AR18" s="39" t="str">
        <f t="shared" si="25"/>
        <v/>
      </c>
      <c r="AS18" s="158" t="str">
        <f t="shared" si="26"/>
        <v/>
      </c>
      <c r="AT18" s="39" t="str">
        <f t="shared" si="27"/>
        <v/>
      </c>
      <c r="AU18" s="172" t="str">
        <f t="shared" si="28"/>
        <v/>
      </c>
      <c r="AW18" s="84" t="e">
        <f t="shared" si="29"/>
        <v>#N/A</v>
      </c>
      <c r="AX18" s="3" t="e">
        <f t="shared" si="30"/>
        <v>#N/A</v>
      </c>
      <c r="AY18" s="74" t="e">
        <f t="shared" si="31"/>
        <v>#N/A</v>
      </c>
      <c r="BD18" s="196"/>
      <c r="BE18" s="182"/>
      <c r="BF18" s="3" t="str">
        <f t="shared" si="32"/>
        <v/>
      </c>
      <c r="BG18" s="3" t="str">
        <f t="shared" si="33"/>
        <v/>
      </c>
      <c r="BH18" s="3" t="str">
        <f t="shared" si="34"/>
        <v/>
      </c>
      <c r="BI18" s="39" t="str">
        <f t="shared" si="99"/>
        <v/>
      </c>
      <c r="BJ18" s="95" t="str">
        <f t="shared" si="35"/>
        <v/>
      </c>
      <c r="BL18" s="41" t="s">
        <v>5</v>
      </c>
      <c r="BM18" s="41"/>
      <c r="BO18" s="176"/>
      <c r="BP18" s="158" t="str">
        <f t="shared" si="36"/>
        <v/>
      </c>
      <c r="BQ18" s="158" t="str">
        <f t="shared" si="37"/>
        <v/>
      </c>
      <c r="BR18" s="158" t="str">
        <f t="shared" si="38"/>
        <v/>
      </c>
      <c r="BS18" s="158" t="str">
        <f>IF(AND(Sufficient_data="Yes",Include_study?="Yes"),IF(Add_0_5="Yes",(a_+d_+1)*(ab_+0.5)*(c_+0.5)/(Number_of_subjects+2)^2,(a_+d_)*b_*c_/Number_of_subjects^2),"")</f>
        <v/>
      </c>
      <c r="BT18" s="158" t="str">
        <f t="shared" si="39"/>
        <v/>
      </c>
      <c r="BU18" s="158" t="str">
        <f t="shared" si="40"/>
        <v/>
      </c>
      <c r="BV18" s="158" t="str">
        <f t="shared" si="41"/>
        <v/>
      </c>
      <c r="BW18" s="3" t="str">
        <f t="shared" si="42"/>
        <v/>
      </c>
      <c r="BX18" s="137" t="str">
        <f t="shared" si="43"/>
        <v/>
      </c>
      <c r="BY18" s="95" t="str">
        <f t="shared" si="44"/>
        <v/>
      </c>
      <c r="CA18" s="178" t="s">
        <v>5</v>
      </c>
      <c r="CB18" s="178"/>
      <c r="CD18" s="176"/>
      <c r="CE18" s="130" t="str">
        <f t="shared" si="45"/>
        <v/>
      </c>
      <c r="CF18" s="39" t="str">
        <f t="shared" si="46"/>
        <v/>
      </c>
      <c r="CG18" s="39" t="str">
        <f t="shared" si="47"/>
        <v/>
      </c>
      <c r="CH18" s="39" t="str">
        <f t="shared" si="48"/>
        <v/>
      </c>
      <c r="CI18" s="39" t="str">
        <f t="shared" si="49"/>
        <v/>
      </c>
      <c r="CJ18" s="39" t="str">
        <f t="shared" si="50"/>
        <v/>
      </c>
      <c r="CK18" s="95" t="str">
        <f t="shared" si="51"/>
        <v/>
      </c>
      <c r="CM18" s="1" t="s">
        <v>5</v>
      </c>
      <c r="CN18" s="1"/>
      <c r="CP18" s="176"/>
      <c r="CQ18" s="99" t="str">
        <f t="shared" si="52"/>
        <v/>
      </c>
      <c r="CS18" s="2"/>
      <c r="CT18" s="2" t="s">
        <v>14</v>
      </c>
      <c r="CU18" s="2" t="s">
        <v>15</v>
      </c>
      <c r="CV18" s="2" t="s">
        <v>16</v>
      </c>
      <c r="CX18" s="196"/>
      <c r="CY18" s="89" t="e">
        <f t="shared" si="53"/>
        <v>#N/A</v>
      </c>
      <c r="CZ18" s="136" t="str">
        <f t="shared" si="54"/>
        <v/>
      </c>
      <c r="DA18" s="140" t="str">
        <f t="shared" si="55"/>
        <v/>
      </c>
      <c r="DB18" s="39" t="str">
        <f t="shared" si="56"/>
        <v/>
      </c>
      <c r="DC18" s="39" t="str">
        <f t="shared" si="57"/>
        <v/>
      </c>
      <c r="DD18" s="39" t="str">
        <f t="shared" si="58"/>
        <v/>
      </c>
      <c r="DE18" s="39" t="str">
        <f t="shared" si="59"/>
        <v/>
      </c>
      <c r="DF18" s="141" t="str">
        <f t="shared" si="60"/>
        <v/>
      </c>
      <c r="DG18" s="39" t="str">
        <f t="shared" si="61"/>
        <v/>
      </c>
      <c r="DH18" s="39" t="str">
        <f t="shared" si="62"/>
        <v/>
      </c>
      <c r="DI18" s="39" t="str">
        <f t="shared" si="63"/>
        <v/>
      </c>
      <c r="DJ18" s="74" t="str">
        <f t="shared" si="64"/>
        <v/>
      </c>
      <c r="DL18" s="84" t="e">
        <f t="shared" si="65"/>
        <v>#N/A</v>
      </c>
      <c r="DM18" s="39" t="e">
        <f t="shared" si="100"/>
        <v>#N/A</v>
      </c>
      <c r="DN18" s="74" t="e">
        <f t="shared" si="101"/>
        <v>#N/A</v>
      </c>
      <c r="DP18" s="89" t="str">
        <f t="shared" si="102"/>
        <v/>
      </c>
      <c r="DQ18" s="26" t="str">
        <f>IF(AND(Sufficient_data="Yes",Subgroup&lt;&gt;""),IF(COUNTIFS(Input!J$2:J17,"="&amp;"Yes",Input!C$2:C17,"="&amp;"Yes",Input!K$2:K17,"="&amp;Subgroup)&gt;0,"",Subgroup),"")</f>
        <v/>
      </c>
      <c r="DR18" s="7" t="str">
        <f t="shared" si="103"/>
        <v/>
      </c>
      <c r="DS18" s="7" t="str">
        <f t="shared" si="66"/>
        <v/>
      </c>
      <c r="DT18" s="19" t="str">
        <f t="shared" si="67"/>
        <v/>
      </c>
      <c r="DU18" s="12" t="str">
        <f t="shared" si="104"/>
        <v/>
      </c>
      <c r="DV18" s="11" t="str">
        <f t="shared" si="105"/>
        <v/>
      </c>
      <c r="DW18" s="12" t="str">
        <f t="shared" si="68"/>
        <v/>
      </c>
      <c r="DX18" s="19" t="str">
        <f t="shared" si="69"/>
        <v/>
      </c>
      <c r="DY18" s="19" t="str">
        <f t="shared" si="106"/>
        <v/>
      </c>
      <c r="DZ18" s="19" t="str">
        <f t="shared" si="70"/>
        <v/>
      </c>
      <c r="EA18" s="19" t="str">
        <f t="shared" si="71"/>
        <v/>
      </c>
      <c r="EB18" s="7" t="str">
        <f t="shared" si="72"/>
        <v/>
      </c>
      <c r="EC18" s="19" t="str">
        <f t="shared" si="107"/>
        <v/>
      </c>
      <c r="ED18" s="19" t="str">
        <f t="shared" si="108"/>
        <v/>
      </c>
      <c r="EE18" s="19" t="str">
        <f t="shared" si="109"/>
        <v/>
      </c>
      <c r="EF18" s="19" t="str">
        <f t="shared" si="110"/>
        <v/>
      </c>
      <c r="EG18" s="19" t="str">
        <f t="shared" si="111"/>
        <v/>
      </c>
      <c r="EH18" s="19" t="str">
        <f t="shared" si="112"/>
        <v/>
      </c>
      <c r="EI18" s="19" t="str">
        <f t="shared" si="113"/>
        <v/>
      </c>
      <c r="EJ18" s="19" t="str">
        <f t="shared" si="114"/>
        <v/>
      </c>
      <c r="EK18" s="19" t="str">
        <f t="shared" si="73"/>
        <v/>
      </c>
      <c r="EL18" s="19" t="str">
        <f t="shared" si="115"/>
        <v/>
      </c>
      <c r="EM18" s="19" t="str">
        <f t="shared" si="116"/>
        <v/>
      </c>
      <c r="EN18" s="19" t="str">
        <f t="shared" si="117"/>
        <v/>
      </c>
      <c r="EO18" s="19" t="str">
        <f t="shared" si="118"/>
        <v/>
      </c>
      <c r="EP18" s="19" t="str">
        <f t="shared" si="74"/>
        <v/>
      </c>
      <c r="EQ18" s="19" t="e">
        <f t="shared" si="119"/>
        <v>#N/A</v>
      </c>
      <c r="ER18" s="11" t="str">
        <f t="shared" si="120"/>
        <v/>
      </c>
      <c r="ES18" s="19" t="str">
        <f t="shared" si="121"/>
        <v/>
      </c>
      <c r="ET18" s="156" t="str">
        <f t="shared" si="122"/>
        <v/>
      </c>
      <c r="EU18" s="39" t="str">
        <f t="shared" si="75"/>
        <v/>
      </c>
      <c r="EV18" s="74" t="str">
        <f t="shared" si="76"/>
        <v/>
      </c>
      <c r="EX18" s="2" t="s">
        <v>48</v>
      </c>
      <c r="EY18" s="3">
        <f>CHIDIST(EY17,Subgroup_k-1)</f>
        <v>0.34346231660877985</v>
      </c>
      <c r="FA18" s="196"/>
      <c r="FB18" s="84" t="e">
        <f>IF(AND(Include_study?="Yes",Sufficient_data="Yes",Moderator&lt;&gt;""),'Moderator Analysis'!E18,NA())</f>
        <v>#N/A</v>
      </c>
      <c r="FC18" s="39" t="e">
        <f>IF(AND(Include_study?="Yes",Sufficient_data="Yes",Moderator&lt;&gt;""),'Moderator Analysis'!F18,NA())</f>
        <v>#N/A</v>
      </c>
      <c r="FD18" s="39" t="str">
        <f t="shared" si="77"/>
        <v/>
      </c>
      <c r="FE18" s="39" t="str">
        <f t="shared" si="78"/>
        <v/>
      </c>
      <c r="FF18" s="39" t="str">
        <f>IF(AND(Include_study?="Yes",Sufficient_data="Yes",Moderator&lt;&gt;""),'Moderator Analysis'!F:F-FP$2,"")</f>
        <v/>
      </c>
      <c r="FG18" s="39" t="str">
        <f>IF(AND(Include_study?="Yes",Sufficient_data="Yes",Moderator&lt;&gt;""),'Moderator Analysis'!E:E-FP$3,"")</f>
        <v/>
      </c>
      <c r="FH18" s="74" t="str">
        <f>IF(AND(Include_study?="Yes",Sufficient_data="Yes",Moderator&lt;&gt;""),FE:FE*('Moderator Analysis'!F:F-FP$5-FP$4*'Moderator Analysis'!E:E)^2,"")</f>
        <v/>
      </c>
      <c r="FI18" s="128"/>
      <c r="FJ18" s="92" t="str">
        <f t="shared" si="79"/>
        <v/>
      </c>
      <c r="FK18" s="137" t="str">
        <f>IF(AND(Include_study?="Yes",Sufficient_data="Yes",Moderator&lt;&gt;""),'Moderator Analysis'!F:F-'Moderator Analysis'!J$37,"")</f>
        <v/>
      </c>
      <c r="FL18" s="137" t="str">
        <f>IF(AND(Include_study?="Yes",Sufficient_data="Yes",Moderator&lt;&gt;""),'Moderator Analysis'!E:E-SUMPRODUCT('Moderator Analysis'!E:E,FJ:FJ)/SUM(FJ:FJ),"")</f>
        <v/>
      </c>
      <c r="FM18" s="95" t="str">
        <f>IF(AND(Include_study?="Yes",Sufficient_data="Yes",Moderator&lt;&gt;""),FJ:FJ*('Moderator Analysis'!F:F-'Moderator Analysis'!J$29-'Moderator Analysis'!J$30*'Moderator Analysis'!E:E)^2,"")</f>
        <v/>
      </c>
      <c r="FN18" s="21"/>
      <c r="FR18" s="196"/>
      <c r="FS18" s="182"/>
      <c r="FT1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" s="39" t="str">
        <f>IF(AND(Include_study?="Yes",Sufficient_data="Yes"),1/('Publication Bias Analysis'!F:F^2+IF(Additional_model="Fixed effect",0,Calculations!GH$12)),"")</f>
        <v/>
      </c>
      <c r="FV18" s="39" t="str">
        <f>IF(AND(Include_study?="Yes",Sufficient_data="Yes"),1/('Publication Bias Analysis'!F:F^2+IF(Additional_model="Fixed effect",0,'Publication Bias Analysis'!L$32)),"")</f>
        <v/>
      </c>
      <c r="FW18" s="39" t="str">
        <f>IF(AND(Include_study?="Yes",Sufficient_data="Yes"),'Publication Bias Analysis'!E:E-'Publication Bias Analysis'!I$37,"")</f>
        <v/>
      </c>
      <c r="FX18" s="39" t="str">
        <f>IF(AND(Include_study?="Yes",Sufficient_data="Yes"),IF(Additional_model="Fixed effect",1/'Publication Bias Analysis'!F:F,1/SQRT('Publication Bias Analysis'!F:F^2+GH$12)),"")</f>
        <v/>
      </c>
      <c r="FY1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" s="136" t="str">
        <f t="shared" si="80"/>
        <v/>
      </c>
      <c r="GA18" s="144" t="str">
        <f>IF(AND(Include_study?="Yes",Sufficient_data="Yes"),FZ:FZ+IF(GL:GL&lt;0,-1,1)*COUNTIF(FZ$2:FZ17,FZ:FZ),"")</f>
        <v/>
      </c>
      <c r="GB18" s="144" t="str">
        <f>IF(AND(Include_study?="Yes",Sufficient_data="Yes"),RANK(GP:GP,GP:GP,1)*IF(GO:GO&lt;0,-1,1)+IF(GO:GO&lt;0,-1,1)*COUNTIF(FZ$2:FZ17,FZ:FZ),"")</f>
        <v/>
      </c>
      <c r="GC18" s="144" t="str">
        <f>IF(AND(Include_study?="Yes",Sufficient_data="Yes"),RANK(GS:GS,GS:GS,1)*IF(GR:GR&lt;0,-1,1)+IF(GR:GR&lt;0,-1,1)*COUNTIF(FZ$2:FZ17,FZ:FZ),"")</f>
        <v/>
      </c>
      <c r="GD18" s="39" t="e">
        <f>IF(AND(Include_study?="Yes",Sufficient_data="Yes"),'Publication Bias Analysis'!E18,NA())</f>
        <v>#N/A</v>
      </c>
      <c r="GE18" s="74" t="e">
        <f>IF(AND(Include_study?="Yes",Sufficient_data="Yes"),'Publication Bias Analysis'!F18,NA())</f>
        <v>#N/A</v>
      </c>
      <c r="GG18" s="45"/>
      <c r="GH18" s="45"/>
      <c r="GK18" s="176"/>
      <c r="GL1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" s="39" t="str">
        <f t="shared" si="81"/>
        <v/>
      </c>
      <c r="GN1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" s="39" t="str">
        <f>IF(AND(Include_study?="Yes",Sufficient_data="Yes"),IF('Publication Bias Analysis'!L$38="Left",'Publication Bias Analysis'!E:E-GW$3,GW$3-'Publication Bias Analysis'!E:E),"")</f>
        <v/>
      </c>
      <c r="GP18" s="39" t="str">
        <f t="shared" si="82"/>
        <v/>
      </c>
      <c r="GQ1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" s="39" t="str">
        <f>IF(AND(Include_study?="Yes",Sufficient_data="Yes"),IF('Publication Bias Analysis'!L$38="Left",'Publication Bias Analysis'!E:E-GW$10,GW$10-'Publication Bias Analysis'!E:E),"")</f>
        <v/>
      </c>
      <c r="GS18" s="39" t="str">
        <f t="shared" si="83"/>
        <v/>
      </c>
      <c r="GT1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18" s="178" t="s">
        <v>5</v>
      </c>
      <c r="GW18" s="178"/>
      <c r="GY18" s="89">
        <v>17</v>
      </c>
      <c r="GZ18" s="7" t="str">
        <f>IF(Trim_and_fill="On",IF(GW$21&gt;(COUNT(GZ$2:GZ17)),IF(COUNTIF(GA:GA,-1*(MAX(GA:GA)-GY18+1))=1,"",MAX(GA:GA)-GY18+1),""),"")</f>
        <v/>
      </c>
      <c r="HA18" s="60" t="str">
        <f t="shared" si="84"/>
        <v/>
      </c>
      <c r="HB18" s="65" t="str">
        <f t="shared" si="85"/>
        <v/>
      </c>
      <c r="HC18" s="3" t="str">
        <f t="shared" si="86"/>
        <v/>
      </c>
      <c r="HD18" s="39" t="str">
        <f>IF(GZ18&lt;&gt;"",1/(HB18^2+'Publication Bias Analysis'!L$32),"")</f>
        <v/>
      </c>
      <c r="HE18" s="74" t="str">
        <f>IF(GZ18&lt;&gt;"",HA:HA-'Publication Bias Analysis'!I$37,"")</f>
        <v/>
      </c>
      <c r="HG18" s="89">
        <v>17</v>
      </c>
      <c r="HH18" s="3" t="e">
        <f t="shared" si="87"/>
        <v>#N/A</v>
      </c>
      <c r="HI18" s="74" t="e">
        <f t="shared" si="88"/>
        <v>#N/A</v>
      </c>
      <c r="HK18" s="176"/>
      <c r="HL18" s="66" t="str">
        <f t="shared" si="89"/>
        <v/>
      </c>
      <c r="HM18" s="74" t="str">
        <f>IF(AND(Include_study?="Yes",Sufficient_data="Yes"),Z_score-('Publication Bias Analysis'!P$3+'Publication Bias Analysis'!P$4*Inverse_standard_error),"")</f>
        <v/>
      </c>
      <c r="HO18" s="176"/>
      <c r="HP18" s="64" t="str">
        <f>IF(AND(Include_study?="Yes",Sufficient_data="Yes"),(GD:GD-SUMPRODUCT(Calculations!FT:FT,'Publication Bias Analysis'!E:E)/SUM(Calculations!FT:FT))/SQRT(Calculations!HQ:HQ),"")</f>
        <v/>
      </c>
      <c r="HQ18" s="64" t="str">
        <f>IF(AND(Include_study?="Yes",Sufficient_data="Yes"),GE:GE^2-1/SUM(Calculations!FT:FT),"")</f>
        <v/>
      </c>
      <c r="HR18" s="7" t="str">
        <f t="shared" si="90"/>
        <v/>
      </c>
      <c r="HS18" s="7" t="str">
        <f t="shared" si="91"/>
        <v/>
      </c>
      <c r="HT18" s="7" t="str">
        <f>IF(AND(Include_study?="Yes",Sufficient_data="Yes"),COUNTIFS(HR$2:HR17,"&lt;"&amp;HR18,HS$2:HS17,"&lt;"&amp;HS18)+COUNTIFS(HR19:HR$201,"&lt;"&amp;HR18,HS19:HS$201,"&lt;"&amp;HS18)+COUNTIFS(HR$2:HR17,"&gt;"&amp;HR18,HS$2:HS17,"&gt;"&amp;HS18)+COUNTIFS(HR19:HR$201,"&gt;"&amp;HR18,HS19:HS$201,"&gt;"&amp;HS18),"")</f>
        <v/>
      </c>
      <c r="HU18" s="104" t="str">
        <f>IF(AND(Include_study?="Yes",Sufficient_data="Yes"),COUNTIFS(HR$2:HR17,"&lt;"&amp;HR18,HS$2:HS17,"&gt;"&amp;HS18)+COUNTIFS(HR19:HR$201,"&lt;"&amp;HR18,HS19:HS$201,"&gt;"&amp;HS18)+COUNTIFS(HR$2:HR17,"&gt;"&amp;HR18,HS$2:HS17,"&lt;"&amp;HS18)+COUNTIFS(HR19:HR$201,"&gt;"&amp;HR18,HS19:HS$201,"&lt;"&amp;HS18),"")</f>
        <v/>
      </c>
      <c r="HW18" s="176"/>
      <c r="IB18" s="176"/>
      <c r="IC18" s="146" t="e">
        <f t="shared" si="92"/>
        <v>#N/A</v>
      </c>
      <c r="ID18" s="137" t="e">
        <f t="shared" si="93"/>
        <v>#N/A</v>
      </c>
      <c r="IE18" s="137" t="str">
        <f t="shared" si="94"/>
        <v/>
      </c>
      <c r="IF18" s="95" t="str">
        <f t="shared" si="95"/>
        <v/>
      </c>
      <c r="IK18" s="176"/>
      <c r="IL18" s="158" t="e">
        <f>IF(AND(Include_study?="Yes",Sufficient_data="Yes"),'Publication Bias Analysis'!AV:AV,NA())</f>
        <v>#N/A</v>
      </c>
      <c r="IM18" s="158" t="e">
        <f>IF(AND(Sufficient_data="Yes",Include_study?="Yes"),'Publication Bias Analysis'!AU:AU,NA())</f>
        <v>#N/A</v>
      </c>
      <c r="IN18" s="62" t="str">
        <f t="shared" si="96"/>
        <v/>
      </c>
      <c r="IO18" s="74" t="str">
        <f>IF(AND(Include_study?="Yes",Sufficient_data="Yes"),Z_score-('Publication Bias Analysis'!AY$30+'Publication Bias Analysis'!AY$31*Inverse_standard_error),"")</f>
        <v/>
      </c>
      <c r="IU18" s="176"/>
      <c r="IV18" s="7" t="str">
        <f>IF('Publication Bias Analysis'!BG:BG&lt;&gt;"",RANK('Publication Bias Analysis'!BG:BG,'Publication Bias Analysis'!BG:BG,1)+COUNTIF('Publication Bias Analysis'!BG$2:BG17,'Publication Bias Analysis'!BG18),"")</f>
        <v/>
      </c>
      <c r="IW18" s="124" t="str">
        <f t="shared" si="97"/>
        <v/>
      </c>
      <c r="IX18" s="125" t="e">
        <f>IF('Publication Bias Analysis'!BF18&lt;&gt;"",'Publication Bias Analysis'!BF18,NA())</f>
        <v>#N/A</v>
      </c>
      <c r="IY18" s="125" t="e">
        <f>IF('Publication Bias Analysis'!BG18&lt;&gt;"",'Publication Bias Analysis'!BG18,NA())</f>
        <v>#N/A</v>
      </c>
      <c r="IZ18" s="62" t="str">
        <f>IF(AND(Include_study?="Yes",Sufficient_data="Yes"),'Publication Bias Analysis'!BF:BF-AVERAGE('Publication Bias Analysis'!BF:BF),"")</f>
        <v/>
      </c>
      <c r="JA18" s="74" t="str">
        <f>IF(AND(Include_study?="Yes",Sufficient_data="Yes"),'Publication Bias Analysis'!BG:BG-('Publication Bias Analysis'!BJ$30+'Publication Bias Analysis'!BJ$31*'Publication Bias Analysis'!BF:BF),"")</f>
        <v/>
      </c>
      <c r="JG18" s="176"/>
      <c r="JH18" s="39" t="str">
        <f t="shared" si="98"/>
        <v/>
      </c>
      <c r="JI18" s="148" t="str">
        <f t="shared" si="124"/>
        <v/>
      </c>
      <c r="JJ18" s="74" t="str">
        <f t="shared" si="125"/>
        <v/>
      </c>
    </row>
    <row r="19" spans="1:270" ht="14.25" x14ac:dyDescent="0.2">
      <c r="A19" s="2" t="str">
        <f t="shared" si="0"/>
        <v/>
      </c>
      <c r="B19" s="7" t="str">
        <f>IF(AND(Include_study?="Yes",Sufficient_data="Yes"),IF(Input!a_&lt;&gt;"",Input!a_,Input!n1_-Input!b_),"")</f>
        <v/>
      </c>
      <c r="C19" s="7" t="str">
        <f>IF(AND(Include_study?="Yes",Sufficient_data="Yes"),IF(Input!b_&lt;&gt;"",Input!b_,Input!n1_-Input!a_),"")</f>
        <v/>
      </c>
      <c r="D19" s="7" t="str">
        <f>IF(AND(Include_study?="Yes",Sufficient_data="Yes"),IF(Input!c_&lt;&gt;"",Input!c_,Input!n2_-Input!d_),"")</f>
        <v/>
      </c>
      <c r="E19" s="7" t="str">
        <f>IF(AND(Include_study?="Yes",Sufficient_data="Yes"),IF(Input!d_&lt;&gt;"",Input!d_,Input!n2_-Input!c_),"")</f>
        <v/>
      </c>
      <c r="F19" s="74" t="str">
        <f t="shared" si="1"/>
        <v/>
      </c>
      <c r="H19" s="196"/>
      <c r="I19" s="182"/>
      <c r="J19" s="146" t="str">
        <f t="shared" si="2"/>
        <v/>
      </c>
      <c r="K19" s="39" t="str">
        <f t="shared" si="3"/>
        <v/>
      </c>
      <c r="L19" s="39" t="str">
        <f t="shared" si="4"/>
        <v/>
      </c>
      <c r="M19" s="39" t="str">
        <f t="shared" si="5"/>
        <v/>
      </c>
      <c r="N19" s="74" t="str">
        <f t="shared" si="6"/>
        <v/>
      </c>
      <c r="P19" s="176"/>
      <c r="Q19" s="130" t="str">
        <f t="shared" si="7"/>
        <v/>
      </c>
      <c r="R19" s="39" t="str">
        <f t="shared" si="8"/>
        <v/>
      </c>
      <c r="S19" s="39" t="str">
        <f t="shared" si="9"/>
        <v/>
      </c>
      <c r="T19" s="74" t="str">
        <f t="shared" si="10"/>
        <v/>
      </c>
      <c r="V19" s="176"/>
      <c r="W19" s="130" t="str">
        <f t="shared" si="11"/>
        <v/>
      </c>
      <c r="X19" s="39" t="str">
        <f t="shared" si="12"/>
        <v/>
      </c>
      <c r="Y19" s="39" t="str">
        <f t="shared" si="13"/>
        <v/>
      </c>
      <c r="Z19" s="74" t="str">
        <f t="shared" si="14"/>
        <v/>
      </c>
      <c r="AB19" s="176"/>
      <c r="AC19" s="130" t="str">
        <f t="shared" si="15"/>
        <v/>
      </c>
      <c r="AD19" s="39" t="str">
        <f t="shared" si="16"/>
        <v/>
      </c>
      <c r="AE19" s="39" t="str">
        <f t="shared" si="17"/>
        <v/>
      </c>
      <c r="AF19" s="39" t="str">
        <f t="shared" si="18"/>
        <v/>
      </c>
      <c r="AG19" s="74" t="str">
        <f t="shared" si="19"/>
        <v/>
      </c>
      <c r="AI19" s="196"/>
      <c r="AJ1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" s="136" t="str">
        <f>IF(AJ19&lt;&gt;"",IF(AJ19=0,COUNTIF(AJ$2:AJ18,0)+1,COUNTIF(AJ$2:AJ18,AJ19)+AJ19+COUNTIF(AJ:AJ,0)),"")</f>
        <v/>
      </c>
      <c r="AL19" s="136" t="str">
        <f t="shared" si="20"/>
        <v/>
      </c>
      <c r="AM19" s="155" t="str">
        <f>IF(AND(Include_study?="Yes",Sufficient_data="Yes",Input!Study_name&lt;&gt;""),Input!Study_name,"")</f>
        <v/>
      </c>
      <c r="AN19" s="136" t="str">
        <f t="shared" si="21"/>
        <v/>
      </c>
      <c r="AO19" s="19" t="str">
        <f t="shared" si="22"/>
        <v/>
      </c>
      <c r="AP19" s="158" t="str">
        <f t="shared" si="23"/>
        <v/>
      </c>
      <c r="AQ19" s="158" t="str">
        <f t="shared" si="24"/>
        <v/>
      </c>
      <c r="AR19" s="39" t="str">
        <f t="shared" si="25"/>
        <v/>
      </c>
      <c r="AS19" s="158" t="str">
        <f t="shared" si="26"/>
        <v/>
      </c>
      <c r="AT19" s="39" t="str">
        <f t="shared" si="27"/>
        <v/>
      </c>
      <c r="AU19" s="172" t="str">
        <f t="shared" si="28"/>
        <v/>
      </c>
      <c r="AW19" s="84" t="e">
        <f t="shared" si="29"/>
        <v>#N/A</v>
      </c>
      <c r="AX19" s="3" t="e">
        <f t="shared" si="30"/>
        <v>#N/A</v>
      </c>
      <c r="AY19" s="74" t="e">
        <f t="shared" si="31"/>
        <v>#N/A</v>
      </c>
      <c r="BD19" s="196"/>
      <c r="BE19" s="182"/>
      <c r="BF19" s="3" t="str">
        <f t="shared" si="32"/>
        <v/>
      </c>
      <c r="BG19" s="3" t="str">
        <f t="shared" si="33"/>
        <v/>
      </c>
      <c r="BH19" s="3" t="str">
        <f t="shared" si="34"/>
        <v/>
      </c>
      <c r="BI19" s="39" t="str">
        <f t="shared" si="99"/>
        <v/>
      </c>
      <c r="BJ19" s="95" t="str">
        <f t="shared" si="35"/>
        <v/>
      </c>
      <c r="BL19" s="3" t="s">
        <v>6</v>
      </c>
      <c r="BM19" s="3">
        <f>SUMPRODUCT(Weightf,Model_Effect_size,Model_Effect_size)-SUMPRODUCT(Weightf,Model_Effect_size)^2/SUM(Weightf)</f>
        <v>12.273195457938824</v>
      </c>
      <c r="BO19" s="176"/>
      <c r="BP19" s="158" t="str">
        <f t="shared" si="36"/>
        <v/>
      </c>
      <c r="BQ19" s="158" t="str">
        <f t="shared" si="37"/>
        <v/>
      </c>
      <c r="BR19" s="158" t="str">
        <f t="shared" si="38"/>
        <v/>
      </c>
      <c r="BS19" s="158" t="str">
        <f>IF(AND(Sufficient_data="Yes",Include_study?="Yes"),IF(Add_0_5="Yes",(a_+d_+1)*(ab_+0.5)*(c_+0.5)/(Number_of_subjects+2)^2,(a_+d_)*b_*c_/Number_of_subjects^2),"")</f>
        <v/>
      </c>
      <c r="BT19" s="158" t="str">
        <f t="shared" si="39"/>
        <v/>
      </c>
      <c r="BU19" s="158" t="str">
        <f t="shared" si="40"/>
        <v/>
      </c>
      <c r="BV19" s="158" t="str">
        <f t="shared" si="41"/>
        <v/>
      </c>
      <c r="BW19" s="3" t="str">
        <f t="shared" si="42"/>
        <v/>
      </c>
      <c r="BX19" s="137" t="str">
        <f t="shared" si="43"/>
        <v/>
      </c>
      <c r="BY19" s="95" t="str">
        <f t="shared" si="44"/>
        <v/>
      </c>
      <c r="CA19" s="3" t="s">
        <v>6</v>
      </c>
      <c r="CB19" s="19">
        <f>SUM(Weighted_squared_residual)</f>
        <v>12.273566545382339</v>
      </c>
      <c r="CD19" s="176"/>
      <c r="CE19" s="130" t="str">
        <f t="shared" si="45"/>
        <v/>
      </c>
      <c r="CF19" s="39" t="str">
        <f t="shared" si="46"/>
        <v/>
      </c>
      <c r="CG19" s="39" t="str">
        <f t="shared" si="47"/>
        <v/>
      </c>
      <c r="CH19" s="39" t="str">
        <f t="shared" si="48"/>
        <v/>
      </c>
      <c r="CI19" s="39" t="str">
        <f t="shared" si="49"/>
        <v/>
      </c>
      <c r="CJ19" s="39" t="str">
        <f t="shared" si="50"/>
        <v/>
      </c>
      <c r="CK19" s="95" t="str">
        <f t="shared" si="51"/>
        <v/>
      </c>
      <c r="CM19" s="3" t="s">
        <v>6</v>
      </c>
      <c r="CN19" s="3">
        <f>SUMPRODUCT(Weightf_Peto,LogPetoOddsRatio,LogPetoOddsRatio)-SUMPRODUCT(Weightf_Peto,LogPetoOddsRatio)^2/SUM(Weightf_Peto)</f>
        <v>12.194051744257251</v>
      </c>
      <c r="CP19" s="176"/>
      <c r="CQ19" s="99" t="str">
        <f t="shared" si="52"/>
        <v/>
      </c>
      <c r="CS19" s="2" t="s">
        <v>47</v>
      </c>
      <c r="CT19" s="3">
        <f>IF(Weighting_method="Inverse variance",IF(Model_effect_size_measure="Risk Difference",CES_IV,IF(OR(Model_effect_size_measure="Odds Ratio",Model_effect_size_measure="Risk Ratio"),CT11*MEDIAN(Control_group_risk)-MEDIAN(Control_group_risk),"")),"")</f>
        <v>6.208691097545449E-2</v>
      </c>
      <c r="CU19" s="3">
        <f>IF(Model_effect_size_measure="Odds Ratio",CU11*MEDIAN(Control_group_risk)-MEDIAN(Control_group_risk),NA())</f>
        <v>6.2075804036815452E-2</v>
      </c>
      <c r="CV19" s="3" t="e">
        <f>IF(Model_effect_size_measure="Peto Odds Ratio",CV11*MEDIAN(Control_group_risk)-MEDIAN(Control_group_risk),NA())</f>
        <v>#N/A</v>
      </c>
      <c r="CX19" s="196"/>
      <c r="CY19" s="89" t="e">
        <f t="shared" si="53"/>
        <v>#N/A</v>
      </c>
      <c r="CZ19" s="136" t="str">
        <f t="shared" si="54"/>
        <v/>
      </c>
      <c r="DA19" s="140" t="str">
        <f t="shared" si="55"/>
        <v/>
      </c>
      <c r="DB19" s="39" t="str">
        <f t="shared" si="56"/>
        <v/>
      </c>
      <c r="DC19" s="39" t="str">
        <f t="shared" si="57"/>
        <v/>
      </c>
      <c r="DD19" s="39" t="str">
        <f t="shared" si="58"/>
        <v/>
      </c>
      <c r="DE19" s="39" t="str">
        <f t="shared" si="59"/>
        <v/>
      </c>
      <c r="DF19" s="141" t="str">
        <f t="shared" si="60"/>
        <v/>
      </c>
      <c r="DG19" s="39" t="str">
        <f t="shared" si="61"/>
        <v/>
      </c>
      <c r="DH19" s="39" t="str">
        <f t="shared" si="62"/>
        <v/>
      </c>
      <c r="DI19" s="39" t="str">
        <f t="shared" si="63"/>
        <v/>
      </c>
      <c r="DJ19" s="74" t="str">
        <f t="shared" si="64"/>
        <v/>
      </c>
      <c r="DL19" s="84" t="e">
        <f t="shared" si="65"/>
        <v>#N/A</v>
      </c>
      <c r="DM19" s="39" t="e">
        <f t="shared" si="100"/>
        <v>#N/A</v>
      </c>
      <c r="DN19" s="74" t="e">
        <f t="shared" si="101"/>
        <v>#N/A</v>
      </c>
      <c r="DP19" s="89" t="str">
        <f t="shared" si="102"/>
        <v/>
      </c>
      <c r="DQ19" s="26" t="str">
        <f>IF(AND(Sufficient_data="Yes",Subgroup&lt;&gt;""),IF(COUNTIFS(Input!J$2:J18,"="&amp;"Yes",Input!C$2:C18,"="&amp;"Yes",Input!K$2:K18,"="&amp;Subgroup)&gt;0,"",Subgroup),"")</f>
        <v/>
      </c>
      <c r="DR19" s="7" t="str">
        <f t="shared" si="103"/>
        <v/>
      </c>
      <c r="DS19" s="7" t="str">
        <f t="shared" si="66"/>
        <v/>
      </c>
      <c r="DT19" s="19" t="str">
        <f t="shared" si="67"/>
        <v/>
      </c>
      <c r="DU19" s="12" t="str">
        <f t="shared" si="104"/>
        <v/>
      </c>
      <c r="DV19" s="11" t="str">
        <f t="shared" si="105"/>
        <v/>
      </c>
      <c r="DW19" s="12" t="str">
        <f t="shared" si="68"/>
        <v/>
      </c>
      <c r="DX19" s="19" t="str">
        <f t="shared" si="69"/>
        <v/>
      </c>
      <c r="DY19" s="19" t="str">
        <f t="shared" si="106"/>
        <v/>
      </c>
      <c r="DZ19" s="19" t="str">
        <f t="shared" si="70"/>
        <v/>
      </c>
      <c r="EA19" s="19" t="str">
        <f t="shared" si="71"/>
        <v/>
      </c>
      <c r="EB19" s="7" t="str">
        <f t="shared" si="72"/>
        <v/>
      </c>
      <c r="EC19" s="19" t="str">
        <f t="shared" si="107"/>
        <v/>
      </c>
      <c r="ED19" s="19" t="str">
        <f t="shared" si="108"/>
        <v/>
      </c>
      <c r="EE19" s="19" t="str">
        <f t="shared" si="109"/>
        <v/>
      </c>
      <c r="EF19" s="19" t="str">
        <f t="shared" si="110"/>
        <v/>
      </c>
      <c r="EG19" s="19" t="str">
        <f t="shared" si="111"/>
        <v/>
      </c>
      <c r="EH19" s="19" t="str">
        <f t="shared" si="112"/>
        <v/>
      </c>
      <c r="EI19" s="19" t="str">
        <f t="shared" si="113"/>
        <v/>
      </c>
      <c r="EJ19" s="19" t="str">
        <f t="shared" si="114"/>
        <v/>
      </c>
      <c r="EK19" s="19" t="str">
        <f t="shared" si="73"/>
        <v/>
      </c>
      <c r="EL19" s="19" t="str">
        <f t="shared" si="115"/>
        <v/>
      </c>
      <c r="EM19" s="19" t="str">
        <f t="shared" si="116"/>
        <v/>
      </c>
      <c r="EN19" s="19" t="str">
        <f t="shared" si="117"/>
        <v/>
      </c>
      <c r="EO19" s="19" t="str">
        <f t="shared" si="118"/>
        <v/>
      </c>
      <c r="EP19" s="19" t="str">
        <f t="shared" si="74"/>
        <v/>
      </c>
      <c r="EQ19" s="19" t="e">
        <f t="shared" si="119"/>
        <v>#N/A</v>
      </c>
      <c r="ER19" s="11" t="str">
        <f t="shared" si="120"/>
        <v/>
      </c>
      <c r="ES19" s="19" t="str">
        <f t="shared" si="121"/>
        <v/>
      </c>
      <c r="ET19" s="156" t="str">
        <f t="shared" si="122"/>
        <v/>
      </c>
      <c r="EU19" s="39" t="str">
        <f t="shared" si="75"/>
        <v/>
      </c>
      <c r="EV19" s="74" t="str">
        <f t="shared" si="76"/>
        <v/>
      </c>
      <c r="EX19" s="2" t="s">
        <v>29</v>
      </c>
      <c r="EY19" s="20">
        <f>MAX(0,(EY17-(Subgroup_k-1))/EY17)</f>
        <v>0.10373789469109018</v>
      </c>
      <c r="FA19" s="196"/>
      <c r="FB19" s="84" t="e">
        <f>IF(AND(Include_study?="Yes",Sufficient_data="Yes",Moderator&lt;&gt;""),'Moderator Analysis'!E19,NA())</f>
        <v>#N/A</v>
      </c>
      <c r="FC19" s="39" t="e">
        <f>IF(AND(Include_study?="Yes",Sufficient_data="Yes",Moderator&lt;&gt;""),'Moderator Analysis'!F19,NA())</f>
        <v>#N/A</v>
      </c>
      <c r="FD19" s="39" t="str">
        <f t="shared" si="77"/>
        <v/>
      </c>
      <c r="FE19" s="39" t="str">
        <f t="shared" si="78"/>
        <v/>
      </c>
      <c r="FF19" s="39" t="str">
        <f>IF(AND(Include_study?="Yes",Sufficient_data="Yes",Moderator&lt;&gt;""),'Moderator Analysis'!F:F-FP$2,"")</f>
        <v/>
      </c>
      <c r="FG19" s="39" t="str">
        <f>IF(AND(Include_study?="Yes",Sufficient_data="Yes",Moderator&lt;&gt;""),'Moderator Analysis'!E:E-FP$3,"")</f>
        <v/>
      </c>
      <c r="FH19" s="74" t="str">
        <f>IF(AND(Include_study?="Yes",Sufficient_data="Yes",Moderator&lt;&gt;""),FE:FE*('Moderator Analysis'!F:F-FP$5-FP$4*'Moderator Analysis'!E:E)^2,"")</f>
        <v/>
      </c>
      <c r="FI19" s="128"/>
      <c r="FJ19" s="92" t="str">
        <f t="shared" si="79"/>
        <v/>
      </c>
      <c r="FK19" s="137" t="str">
        <f>IF(AND(Include_study?="Yes",Sufficient_data="Yes",Moderator&lt;&gt;""),'Moderator Analysis'!F:F-'Moderator Analysis'!J$37,"")</f>
        <v/>
      </c>
      <c r="FL19" s="137" t="str">
        <f>IF(AND(Include_study?="Yes",Sufficient_data="Yes",Moderator&lt;&gt;""),'Moderator Analysis'!E:E-SUMPRODUCT('Moderator Analysis'!E:E,FJ:FJ)/SUM(FJ:FJ),"")</f>
        <v/>
      </c>
      <c r="FM19" s="95" t="str">
        <f>IF(AND(Include_study?="Yes",Sufficient_data="Yes",Moderator&lt;&gt;""),FJ:FJ*('Moderator Analysis'!F:F-'Moderator Analysis'!J$29-'Moderator Analysis'!J$30*'Moderator Analysis'!E:E)^2,"")</f>
        <v/>
      </c>
      <c r="FN19" s="21"/>
      <c r="FR19" s="196"/>
      <c r="FS19" s="182"/>
      <c r="FT1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" s="39" t="str">
        <f>IF(AND(Include_study?="Yes",Sufficient_data="Yes"),1/('Publication Bias Analysis'!F:F^2+IF(Additional_model="Fixed effect",0,Calculations!GH$12)),"")</f>
        <v/>
      </c>
      <c r="FV19" s="39" t="str">
        <f>IF(AND(Include_study?="Yes",Sufficient_data="Yes"),1/('Publication Bias Analysis'!F:F^2+IF(Additional_model="Fixed effect",0,'Publication Bias Analysis'!L$32)),"")</f>
        <v/>
      </c>
      <c r="FW19" s="39" t="str">
        <f>IF(AND(Include_study?="Yes",Sufficient_data="Yes"),'Publication Bias Analysis'!E:E-'Publication Bias Analysis'!I$37,"")</f>
        <v/>
      </c>
      <c r="FX19" s="39" t="str">
        <f>IF(AND(Include_study?="Yes",Sufficient_data="Yes"),IF(Additional_model="Fixed effect",1/'Publication Bias Analysis'!F:F,1/SQRT('Publication Bias Analysis'!F:F^2+GH$12)),"")</f>
        <v/>
      </c>
      <c r="FY1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" s="136" t="str">
        <f t="shared" si="80"/>
        <v/>
      </c>
      <c r="GA19" s="144" t="str">
        <f>IF(AND(Include_study?="Yes",Sufficient_data="Yes"),FZ:FZ+IF(GL:GL&lt;0,-1,1)*COUNTIF(FZ$2:FZ18,FZ:FZ),"")</f>
        <v/>
      </c>
      <c r="GB19" s="144" t="str">
        <f>IF(AND(Include_study?="Yes",Sufficient_data="Yes"),RANK(GP:GP,GP:GP,1)*IF(GO:GO&lt;0,-1,1)+IF(GO:GO&lt;0,-1,1)*COUNTIF(FZ$2:FZ18,FZ:FZ),"")</f>
        <v/>
      </c>
      <c r="GC19" s="144" t="str">
        <f>IF(AND(Include_study?="Yes",Sufficient_data="Yes"),RANK(GS:GS,GS:GS,1)*IF(GR:GR&lt;0,-1,1)+IF(GR:GR&lt;0,-1,1)*COUNTIF(FZ$2:FZ18,FZ:FZ),"")</f>
        <v/>
      </c>
      <c r="GD19" s="39" t="e">
        <f>IF(AND(Include_study?="Yes",Sufficient_data="Yes"),'Publication Bias Analysis'!E19,NA())</f>
        <v>#N/A</v>
      </c>
      <c r="GE19" s="74" t="e">
        <f>IF(AND(Include_study?="Yes",Sufficient_data="Yes"),'Publication Bias Analysis'!F19,NA())</f>
        <v>#N/A</v>
      </c>
      <c r="GG19" s="178" t="s">
        <v>186</v>
      </c>
      <c r="GH19" s="178"/>
      <c r="GK19" s="176"/>
      <c r="GL1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" s="39" t="str">
        <f t="shared" si="81"/>
        <v/>
      </c>
      <c r="GN1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" s="39" t="str">
        <f>IF(AND(Include_study?="Yes",Sufficient_data="Yes"),IF('Publication Bias Analysis'!L$38="Left",'Publication Bias Analysis'!E:E-GW$3,GW$3-'Publication Bias Analysis'!E:E),"")</f>
        <v/>
      </c>
      <c r="GP19" s="39" t="str">
        <f t="shared" si="82"/>
        <v/>
      </c>
      <c r="GQ1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" s="39" t="str">
        <f>IF(AND(Include_study?="Yes",Sufficient_data="Yes"),IF('Publication Bias Analysis'!L$38="Left",'Publication Bias Analysis'!E:E-GW$10,GW$10-'Publication Bias Analysis'!E:E),"")</f>
        <v/>
      </c>
      <c r="GS19" s="39" t="str">
        <f t="shared" si="83"/>
        <v/>
      </c>
      <c r="GT1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19" s="2" t="s">
        <v>6</v>
      </c>
      <c r="GW19" s="3">
        <f>SUMPRODUCT(--(GC:GC&lt;=(MAX(GC:GC)-GW21)),Calculations!FT:FT,'Publication Bias Analysis'!E:E,'Publication Bias Analysis'!E:E)-SUMPRODUCT(--(GC:GC&lt;=(MAX(GC:GC)-GW21)),Calculations!FT:FT,'Publication Bias Analysis'!E:E)^2/SUMIF(GC:GC,"&lt;="&amp;(MAX(GC:GC)-GW21),Calculations!FT:FT)</f>
        <v>12.273195457938824</v>
      </c>
      <c r="GY19" s="89">
        <v>18</v>
      </c>
      <c r="GZ19" s="7" t="str">
        <f>IF(Trim_and_fill="On",IF(GW$21&gt;(COUNT(GZ$2:GZ18)),IF(COUNTIF(GA:GA,-1*(MAX(GA:GA)-GY19+1))=1,"",MAX(GA:GA)-GY19+1),""),"")</f>
        <v/>
      </c>
      <c r="HA19" s="60" t="str">
        <f t="shared" si="84"/>
        <v/>
      </c>
      <c r="HB19" s="65" t="str">
        <f t="shared" si="85"/>
        <v/>
      </c>
      <c r="HC19" s="3" t="str">
        <f t="shared" si="86"/>
        <v/>
      </c>
      <c r="HD19" s="39" t="str">
        <f>IF(GZ19&lt;&gt;"",1/(HB19^2+'Publication Bias Analysis'!L$32),"")</f>
        <v/>
      </c>
      <c r="HE19" s="74" t="str">
        <f>IF(GZ19&lt;&gt;"",HA:HA-'Publication Bias Analysis'!I$37,"")</f>
        <v/>
      </c>
      <c r="HG19" s="89">
        <v>18</v>
      </c>
      <c r="HH19" s="3" t="e">
        <f t="shared" si="87"/>
        <v>#N/A</v>
      </c>
      <c r="HI19" s="74" t="e">
        <f t="shared" si="88"/>
        <v>#N/A</v>
      </c>
      <c r="HK19" s="176"/>
      <c r="HL19" s="66" t="str">
        <f t="shared" si="89"/>
        <v/>
      </c>
      <c r="HM19" s="74" t="str">
        <f>IF(AND(Include_study?="Yes",Sufficient_data="Yes"),Z_score-('Publication Bias Analysis'!P$3+'Publication Bias Analysis'!P$4*Inverse_standard_error),"")</f>
        <v/>
      </c>
      <c r="HO19" s="176"/>
      <c r="HP19" s="64" t="str">
        <f>IF(AND(Include_study?="Yes",Sufficient_data="Yes"),(GD:GD-SUMPRODUCT(Calculations!FT:FT,'Publication Bias Analysis'!E:E)/SUM(Calculations!FT:FT))/SQRT(Calculations!HQ:HQ),"")</f>
        <v/>
      </c>
      <c r="HQ19" s="64" t="str">
        <f>IF(AND(Include_study?="Yes",Sufficient_data="Yes"),GE:GE^2-1/SUM(Calculations!FT:FT),"")</f>
        <v/>
      </c>
      <c r="HR19" s="7" t="str">
        <f t="shared" si="90"/>
        <v/>
      </c>
      <c r="HS19" s="7" t="str">
        <f t="shared" si="91"/>
        <v/>
      </c>
      <c r="HT19" s="7" t="str">
        <f>IF(AND(Include_study?="Yes",Sufficient_data="Yes"),COUNTIFS(HR$2:HR18,"&lt;"&amp;HR19,HS$2:HS18,"&lt;"&amp;HS19)+COUNTIFS(HR20:HR$201,"&lt;"&amp;HR19,HS20:HS$201,"&lt;"&amp;HS19)+COUNTIFS(HR$2:HR18,"&gt;"&amp;HR19,HS$2:HS18,"&gt;"&amp;HS19)+COUNTIFS(HR20:HR$201,"&gt;"&amp;HR19,HS20:HS$201,"&gt;"&amp;HS19),"")</f>
        <v/>
      </c>
      <c r="HU19" s="104" t="str">
        <f>IF(AND(Include_study?="Yes",Sufficient_data="Yes"),COUNTIFS(HR$2:HR18,"&lt;"&amp;HR19,HS$2:HS18,"&gt;"&amp;HS19)+COUNTIFS(HR20:HR$201,"&lt;"&amp;HR19,HS20:HS$201,"&gt;"&amp;HS19)+COUNTIFS(HR$2:HR18,"&gt;"&amp;HR19,HS$2:HS18,"&lt;"&amp;HS19)+COUNTIFS(HR20:HR$201,"&gt;"&amp;HR19,HS20:HS$201,"&lt;"&amp;HS19),"")</f>
        <v/>
      </c>
      <c r="HW19" s="176"/>
      <c r="IB19" s="176"/>
      <c r="IC19" s="146" t="e">
        <f t="shared" si="92"/>
        <v>#N/A</v>
      </c>
      <c r="ID19" s="137" t="e">
        <f t="shared" si="93"/>
        <v>#N/A</v>
      </c>
      <c r="IE19" s="137" t="str">
        <f t="shared" si="94"/>
        <v/>
      </c>
      <c r="IF19" s="95" t="str">
        <f t="shared" si="95"/>
        <v/>
      </c>
      <c r="IK19" s="176"/>
      <c r="IL19" s="3" t="e">
        <f>IF(AND(Include_study?="Yes",Sufficient_data="Yes"),'Publication Bias Analysis'!AV:AV,NA())</f>
        <v>#N/A</v>
      </c>
      <c r="IM19" s="158" t="e">
        <f>IF(AND(Sufficient_data="Yes",Include_study?="Yes"),'Publication Bias Analysis'!AU:AU,NA())</f>
        <v>#N/A</v>
      </c>
      <c r="IN19" s="62" t="str">
        <f t="shared" si="96"/>
        <v/>
      </c>
      <c r="IO19" s="74" t="str">
        <f>IF(AND(Include_study?="Yes",Sufficient_data="Yes"),Z_score-('Publication Bias Analysis'!AY$30+'Publication Bias Analysis'!AY$31*Inverse_standard_error),"")</f>
        <v/>
      </c>
      <c r="IU19" s="176"/>
      <c r="IV19" s="7" t="str">
        <f>IF('Publication Bias Analysis'!BG:BG&lt;&gt;"",RANK('Publication Bias Analysis'!BG:BG,'Publication Bias Analysis'!BG:BG,1)+COUNTIF('Publication Bias Analysis'!BG$2:BG18,'Publication Bias Analysis'!BG19),"")</f>
        <v/>
      </c>
      <c r="IW19" s="124" t="str">
        <f t="shared" si="97"/>
        <v/>
      </c>
      <c r="IX19" s="125" t="e">
        <f>IF('Publication Bias Analysis'!BF19&lt;&gt;"",'Publication Bias Analysis'!BF19,NA())</f>
        <v>#N/A</v>
      </c>
      <c r="IY19" s="125" t="e">
        <f>IF('Publication Bias Analysis'!BG19&lt;&gt;"",'Publication Bias Analysis'!BG19,NA())</f>
        <v>#N/A</v>
      </c>
      <c r="IZ19" s="62" t="str">
        <f>IF(AND(Include_study?="Yes",Sufficient_data="Yes"),'Publication Bias Analysis'!BF:BF-AVERAGE('Publication Bias Analysis'!BF:BF),"")</f>
        <v/>
      </c>
      <c r="JA19" s="74" t="str">
        <f>IF(AND(Include_study?="Yes",Sufficient_data="Yes"),'Publication Bias Analysis'!BG:BG-('Publication Bias Analysis'!BJ$30+'Publication Bias Analysis'!BJ$31*'Publication Bias Analysis'!BF:BF),"")</f>
        <v/>
      </c>
      <c r="JG19" s="176"/>
      <c r="JH19" s="39" t="str">
        <f t="shared" si="98"/>
        <v/>
      </c>
      <c r="JI19" s="148" t="str">
        <f t="shared" si="124"/>
        <v/>
      </c>
      <c r="JJ19" s="74" t="str">
        <f t="shared" si="125"/>
        <v/>
      </c>
    </row>
    <row r="20" spans="1:270" ht="14.25" customHeight="1" x14ac:dyDescent="0.2">
      <c r="A20" s="2" t="str">
        <f t="shared" si="0"/>
        <v/>
      </c>
      <c r="B20" s="7" t="str">
        <f>IF(AND(Include_study?="Yes",Sufficient_data="Yes"),IF(Input!a_&lt;&gt;"",Input!a_,Input!n1_-Input!b_),"")</f>
        <v/>
      </c>
      <c r="C20" s="7" t="str">
        <f>IF(AND(Include_study?="Yes",Sufficient_data="Yes"),IF(Input!b_&lt;&gt;"",Input!b_,Input!n1_-Input!a_),"")</f>
        <v/>
      </c>
      <c r="D20" s="7" t="str">
        <f>IF(AND(Include_study?="Yes",Sufficient_data="Yes"),IF(Input!c_&lt;&gt;"",Input!c_,Input!n2_-Input!d_),"")</f>
        <v/>
      </c>
      <c r="E20" s="7" t="str">
        <f>IF(AND(Include_study?="Yes",Sufficient_data="Yes"),IF(Input!d_&lt;&gt;"",Input!d_,Input!n2_-Input!c_),"")</f>
        <v/>
      </c>
      <c r="F20" s="74" t="str">
        <f t="shared" si="1"/>
        <v/>
      </c>
      <c r="H20" s="196"/>
      <c r="I20" s="182"/>
      <c r="J20" s="146" t="str">
        <f t="shared" si="2"/>
        <v/>
      </c>
      <c r="K20" s="39" t="str">
        <f t="shared" si="3"/>
        <v/>
      </c>
      <c r="L20" s="39" t="str">
        <f t="shared" si="4"/>
        <v/>
      </c>
      <c r="M20" s="39" t="str">
        <f t="shared" si="5"/>
        <v/>
      </c>
      <c r="N20" s="74" t="str">
        <f t="shared" si="6"/>
        <v/>
      </c>
      <c r="P20" s="176"/>
      <c r="Q20" s="130" t="str">
        <f t="shared" si="7"/>
        <v/>
      </c>
      <c r="R20" s="39" t="str">
        <f t="shared" si="8"/>
        <v/>
      </c>
      <c r="S20" s="39" t="str">
        <f t="shared" si="9"/>
        <v/>
      </c>
      <c r="T20" s="74" t="str">
        <f t="shared" si="10"/>
        <v/>
      </c>
      <c r="V20" s="176"/>
      <c r="W20" s="130" t="str">
        <f t="shared" si="11"/>
        <v/>
      </c>
      <c r="X20" s="39" t="str">
        <f t="shared" si="12"/>
        <v/>
      </c>
      <c r="Y20" s="39" t="str">
        <f t="shared" si="13"/>
        <v/>
      </c>
      <c r="Z20" s="74" t="str">
        <f t="shared" si="14"/>
        <v/>
      </c>
      <c r="AB20" s="176"/>
      <c r="AC20" s="130" t="str">
        <f t="shared" si="15"/>
        <v/>
      </c>
      <c r="AD20" s="39" t="str">
        <f t="shared" si="16"/>
        <v/>
      </c>
      <c r="AE20" s="39" t="str">
        <f t="shared" si="17"/>
        <v/>
      </c>
      <c r="AF20" s="39" t="str">
        <f t="shared" si="18"/>
        <v/>
      </c>
      <c r="AG20" s="74" t="str">
        <f t="shared" si="19"/>
        <v/>
      </c>
      <c r="AI20" s="196"/>
      <c r="AJ2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0" s="136" t="str">
        <f>IF(AJ20&lt;&gt;"",IF(AJ20=0,COUNTIF(AJ$2:AJ19,0)+1,COUNTIF(AJ$2:AJ19,AJ20)+AJ20+COUNTIF(AJ:AJ,0)),"")</f>
        <v/>
      </c>
      <c r="AL20" s="136" t="str">
        <f t="shared" si="20"/>
        <v/>
      </c>
      <c r="AM20" s="155" t="str">
        <f>IF(AND(Include_study?="Yes",Sufficient_data="Yes",Input!Study_name&lt;&gt;""),Input!Study_name,"")</f>
        <v/>
      </c>
      <c r="AN20" s="136" t="str">
        <f t="shared" si="21"/>
        <v/>
      </c>
      <c r="AO20" s="19" t="str">
        <f t="shared" si="22"/>
        <v/>
      </c>
      <c r="AP20" s="158" t="str">
        <f t="shared" si="23"/>
        <v/>
      </c>
      <c r="AQ20" s="158" t="str">
        <f t="shared" si="24"/>
        <v/>
      </c>
      <c r="AR20" s="39" t="str">
        <f t="shared" si="25"/>
        <v/>
      </c>
      <c r="AS20" s="158" t="str">
        <f t="shared" si="26"/>
        <v/>
      </c>
      <c r="AT20" s="39" t="str">
        <f t="shared" si="27"/>
        <v/>
      </c>
      <c r="AU20" s="172" t="str">
        <f t="shared" si="28"/>
        <v/>
      </c>
      <c r="AW20" s="84" t="e">
        <f t="shared" si="29"/>
        <v>#N/A</v>
      </c>
      <c r="AX20" s="3" t="e">
        <f t="shared" si="30"/>
        <v>#N/A</v>
      </c>
      <c r="AY20" s="74" t="e">
        <f t="shared" si="31"/>
        <v>#N/A</v>
      </c>
      <c r="BD20" s="196"/>
      <c r="BE20" s="182"/>
      <c r="BF20" s="3" t="str">
        <f t="shared" si="32"/>
        <v/>
      </c>
      <c r="BG20" s="3" t="str">
        <f t="shared" si="33"/>
        <v/>
      </c>
      <c r="BH20" s="3" t="str">
        <f t="shared" si="34"/>
        <v/>
      </c>
      <c r="BI20" s="39" t="str">
        <f t="shared" si="99"/>
        <v/>
      </c>
      <c r="BJ20" s="95" t="str">
        <f t="shared" si="35"/>
        <v/>
      </c>
      <c r="BL20" s="3" t="s">
        <v>30</v>
      </c>
      <c r="BM20" s="19">
        <f>MAX((Q_-(k_-1))/(SUM(Weightf)-SUMPRODUCT(Weightf,Weightf)/SUM(Weightf)),0)</f>
        <v>2.736863460497466E-2</v>
      </c>
      <c r="BO20" s="176"/>
      <c r="BP20" s="158" t="str">
        <f t="shared" si="36"/>
        <v/>
      </c>
      <c r="BQ20" s="158" t="str">
        <f t="shared" si="37"/>
        <v/>
      </c>
      <c r="BR20" s="158" t="str">
        <f t="shared" si="38"/>
        <v/>
      </c>
      <c r="BS20" s="158" t="str">
        <f>IF(AND(Sufficient_data="Yes",Include_study?="Yes"),IF(Add_0_5="Yes",(a_+d_+1)*(ab_+0.5)*(c_+0.5)/(Number_of_subjects+2)^2,(a_+d_)*b_*c_/Number_of_subjects^2),"")</f>
        <v/>
      </c>
      <c r="BT20" s="158" t="str">
        <f t="shared" si="39"/>
        <v/>
      </c>
      <c r="BU20" s="158" t="str">
        <f t="shared" si="40"/>
        <v/>
      </c>
      <c r="BV20" s="158" t="str">
        <f t="shared" si="41"/>
        <v/>
      </c>
      <c r="BW20" s="3" t="str">
        <f t="shared" si="42"/>
        <v/>
      </c>
      <c r="BX20" s="137" t="str">
        <f t="shared" si="43"/>
        <v/>
      </c>
      <c r="BY20" s="95" t="str">
        <f t="shared" si="44"/>
        <v/>
      </c>
      <c r="CA20" s="3" t="s">
        <v>30</v>
      </c>
      <c r="CB20" s="19">
        <f>MAX((Q_MH-(k_-1))/(SUM(Weightf_MH)-SUMPRODUCT(Weightf_MH,Weightf_MH)/SUM(Weightf_MH)),0)</f>
        <v>3.2307514216161425E-2</v>
      </c>
      <c r="CD20" s="176"/>
      <c r="CE20" s="130" t="str">
        <f t="shared" si="45"/>
        <v/>
      </c>
      <c r="CF20" s="39" t="str">
        <f t="shared" si="46"/>
        <v/>
      </c>
      <c r="CG20" s="39" t="str">
        <f t="shared" si="47"/>
        <v/>
      </c>
      <c r="CH20" s="39" t="str">
        <f t="shared" si="48"/>
        <v/>
      </c>
      <c r="CI20" s="39" t="str">
        <f t="shared" si="49"/>
        <v/>
      </c>
      <c r="CJ20" s="39" t="str">
        <f t="shared" si="50"/>
        <v/>
      </c>
      <c r="CK20" s="95" t="str">
        <f t="shared" si="51"/>
        <v/>
      </c>
      <c r="CM20" s="3" t="s">
        <v>30</v>
      </c>
      <c r="CN20" s="3">
        <f>MAX((Q_Peto-(k_-1))/(SUM(Weightf_Peto)-SUMPRODUCT(Weightf_Peto,Weightf_Peto)/SUM(Weightf_Peto)),0)</f>
        <v>2.3992536276086506E-2</v>
      </c>
      <c r="CP20" s="176"/>
      <c r="CQ20" s="99" t="str">
        <f t="shared" si="52"/>
        <v/>
      </c>
      <c r="CS20" s="2" t="s">
        <v>215</v>
      </c>
      <c r="CT20" s="3">
        <f>IF(Weighting_method="Inverse variance",IF(Model_effect_size_measure="Risk Difference",SECES_Risk_Difference,IF(OR(Model_effect_size_measure="Odds Ratio",Model_effect_size_measure="Risk Ratio"),CT19/Z_value,"")),"")</f>
        <v>2.1876665485070231E-2</v>
      </c>
      <c r="CU20" s="3">
        <f>IF(Model_effect_size_measure="Odds Ratio",CU19/Z_value_MH,"")</f>
        <v>2.1916649055622302E-2</v>
      </c>
      <c r="CV20" s="3" t="str">
        <f>IF(Model_effect_size_measure="Peto Odds Ratio",CV19/Z_value_Peto,"")</f>
        <v/>
      </c>
      <c r="CX20" s="196"/>
      <c r="CY20" s="89" t="e">
        <f t="shared" si="53"/>
        <v>#N/A</v>
      </c>
      <c r="CZ20" s="136" t="str">
        <f t="shared" si="54"/>
        <v/>
      </c>
      <c r="DA20" s="140" t="str">
        <f t="shared" si="55"/>
        <v/>
      </c>
      <c r="DB20" s="39" t="str">
        <f t="shared" si="56"/>
        <v/>
      </c>
      <c r="DC20" s="39" t="str">
        <f t="shared" si="57"/>
        <v/>
      </c>
      <c r="DD20" s="39" t="str">
        <f t="shared" si="58"/>
        <v/>
      </c>
      <c r="DE20" s="39" t="str">
        <f t="shared" si="59"/>
        <v/>
      </c>
      <c r="DF20" s="141" t="str">
        <f t="shared" si="60"/>
        <v/>
      </c>
      <c r="DG20" s="39" t="str">
        <f t="shared" si="61"/>
        <v/>
      </c>
      <c r="DH20" s="39" t="str">
        <f t="shared" si="62"/>
        <v/>
      </c>
      <c r="DI20" s="39" t="str">
        <f t="shared" si="63"/>
        <v/>
      </c>
      <c r="DJ20" s="74" t="str">
        <f t="shared" si="64"/>
        <v/>
      </c>
      <c r="DL20" s="84" t="e">
        <f t="shared" si="65"/>
        <v>#N/A</v>
      </c>
      <c r="DM20" s="39" t="e">
        <f t="shared" si="100"/>
        <v>#N/A</v>
      </c>
      <c r="DN20" s="74" t="e">
        <f t="shared" si="101"/>
        <v>#N/A</v>
      </c>
      <c r="DP20" s="89" t="str">
        <f t="shared" si="102"/>
        <v/>
      </c>
      <c r="DQ20" s="26" t="str">
        <f>IF(AND(Sufficient_data="Yes",Subgroup&lt;&gt;""),IF(COUNTIFS(Input!J$2:J19,"="&amp;"Yes",Input!C$2:C19,"="&amp;"Yes",Input!K$2:K19,"="&amp;Subgroup)&gt;0,"",Subgroup),"")</f>
        <v/>
      </c>
      <c r="DR20" s="7" t="str">
        <f t="shared" si="103"/>
        <v/>
      </c>
      <c r="DS20" s="7" t="str">
        <f t="shared" si="66"/>
        <v/>
      </c>
      <c r="DT20" s="19" t="str">
        <f t="shared" si="67"/>
        <v/>
      </c>
      <c r="DU20" s="12" t="str">
        <f t="shared" si="104"/>
        <v/>
      </c>
      <c r="DV20" s="11" t="str">
        <f t="shared" si="105"/>
        <v/>
      </c>
      <c r="DW20" s="12" t="str">
        <f t="shared" si="68"/>
        <v/>
      </c>
      <c r="DX20" s="19" t="str">
        <f t="shared" si="69"/>
        <v/>
      </c>
      <c r="DY20" s="19" t="str">
        <f t="shared" si="106"/>
        <v/>
      </c>
      <c r="DZ20" s="19" t="str">
        <f t="shared" si="70"/>
        <v/>
      </c>
      <c r="EA20" s="19" t="str">
        <f t="shared" si="71"/>
        <v/>
      </c>
      <c r="EB20" s="7" t="str">
        <f t="shared" si="72"/>
        <v/>
      </c>
      <c r="EC20" s="19" t="str">
        <f t="shared" si="107"/>
        <v/>
      </c>
      <c r="ED20" s="19" t="str">
        <f t="shared" si="108"/>
        <v/>
      </c>
      <c r="EE20" s="19" t="str">
        <f t="shared" si="109"/>
        <v/>
      </c>
      <c r="EF20" s="19" t="str">
        <f t="shared" si="110"/>
        <v/>
      </c>
      <c r="EG20" s="19" t="str">
        <f t="shared" si="111"/>
        <v/>
      </c>
      <c r="EH20" s="19" t="str">
        <f t="shared" si="112"/>
        <v/>
      </c>
      <c r="EI20" s="19" t="str">
        <f t="shared" si="113"/>
        <v/>
      </c>
      <c r="EJ20" s="19" t="str">
        <f t="shared" si="114"/>
        <v/>
      </c>
      <c r="EK20" s="19" t="str">
        <f t="shared" si="73"/>
        <v/>
      </c>
      <c r="EL20" s="19" t="str">
        <f t="shared" si="115"/>
        <v/>
      </c>
      <c r="EM20" s="19" t="str">
        <f t="shared" si="116"/>
        <v/>
      </c>
      <c r="EN20" s="19" t="str">
        <f t="shared" si="117"/>
        <v/>
      </c>
      <c r="EO20" s="19" t="str">
        <f t="shared" si="118"/>
        <v/>
      </c>
      <c r="EP20" s="19" t="str">
        <f t="shared" si="74"/>
        <v/>
      </c>
      <c r="EQ20" s="19" t="e">
        <f t="shared" si="119"/>
        <v>#N/A</v>
      </c>
      <c r="ER20" s="11" t="str">
        <f t="shared" si="120"/>
        <v/>
      </c>
      <c r="ES20" s="19" t="str">
        <f t="shared" si="121"/>
        <v/>
      </c>
      <c r="ET20" s="156" t="str">
        <f t="shared" si="122"/>
        <v/>
      </c>
      <c r="EU20" s="39" t="str">
        <f t="shared" si="75"/>
        <v/>
      </c>
      <c r="EV20" s="74" t="str">
        <f t="shared" si="76"/>
        <v/>
      </c>
      <c r="EX20" s="2" t="s">
        <v>30</v>
      </c>
      <c r="EY20" s="19">
        <f>MAX(0,(EY17-(Subgroup_k-1))/(SUM(Subgroup_weightf)-(SUMPRODUCT(Subgroup_weightf,Subgroup_weightf)/SUM(Subgroup_weightf))))</f>
        <v>2.736863460497466E-2</v>
      </c>
      <c r="FA20" s="196"/>
      <c r="FB20" s="84" t="e">
        <f>IF(AND(Include_study?="Yes",Sufficient_data="Yes",Moderator&lt;&gt;""),'Moderator Analysis'!E20,NA())</f>
        <v>#N/A</v>
      </c>
      <c r="FC20" s="39" t="e">
        <f>IF(AND(Include_study?="Yes",Sufficient_data="Yes",Moderator&lt;&gt;""),'Moderator Analysis'!F20,NA())</f>
        <v>#N/A</v>
      </c>
      <c r="FD20" s="39" t="str">
        <f t="shared" si="77"/>
        <v/>
      </c>
      <c r="FE20" s="39" t="str">
        <f t="shared" si="78"/>
        <v/>
      </c>
      <c r="FF20" s="39" t="str">
        <f>IF(AND(Include_study?="Yes",Sufficient_data="Yes",Moderator&lt;&gt;""),'Moderator Analysis'!F:F-FP$2,"")</f>
        <v/>
      </c>
      <c r="FG20" s="39" t="str">
        <f>IF(AND(Include_study?="Yes",Sufficient_data="Yes",Moderator&lt;&gt;""),'Moderator Analysis'!E:E-FP$3,"")</f>
        <v/>
      </c>
      <c r="FH20" s="74" t="str">
        <f>IF(AND(Include_study?="Yes",Sufficient_data="Yes",Moderator&lt;&gt;""),FE:FE*('Moderator Analysis'!F:F-FP$5-FP$4*'Moderator Analysis'!E:E)^2,"")</f>
        <v/>
      </c>
      <c r="FI20" s="128"/>
      <c r="FJ20" s="92" t="str">
        <f t="shared" si="79"/>
        <v/>
      </c>
      <c r="FK20" s="137" t="str">
        <f>IF(AND(Include_study?="Yes",Sufficient_data="Yes",Moderator&lt;&gt;""),'Moderator Analysis'!F:F-'Moderator Analysis'!J$37,"")</f>
        <v/>
      </c>
      <c r="FL20" s="137" t="str">
        <f>IF(AND(Include_study?="Yes",Sufficient_data="Yes",Moderator&lt;&gt;""),'Moderator Analysis'!E:E-SUMPRODUCT('Moderator Analysis'!E:E,FJ:FJ)/SUM(FJ:FJ),"")</f>
        <v/>
      </c>
      <c r="FM20" s="95" t="str">
        <f>IF(AND(Include_study?="Yes",Sufficient_data="Yes",Moderator&lt;&gt;""),FJ:FJ*('Moderator Analysis'!F:F-'Moderator Analysis'!J$29-'Moderator Analysis'!J$30*'Moderator Analysis'!E:E)^2,"")</f>
        <v/>
      </c>
      <c r="FN20" s="21"/>
      <c r="FR20" s="196"/>
      <c r="FS20" s="182"/>
      <c r="FT2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0" s="39" t="str">
        <f>IF(AND(Include_study?="Yes",Sufficient_data="Yes"),1/('Publication Bias Analysis'!F:F^2+IF(Additional_model="Fixed effect",0,Calculations!GH$12)),"")</f>
        <v/>
      </c>
      <c r="FV20" s="39" t="str">
        <f>IF(AND(Include_study?="Yes",Sufficient_data="Yes"),1/('Publication Bias Analysis'!F:F^2+IF(Additional_model="Fixed effect",0,'Publication Bias Analysis'!L$32)),"")</f>
        <v/>
      </c>
      <c r="FW20" s="39" t="str">
        <f>IF(AND(Include_study?="Yes",Sufficient_data="Yes"),'Publication Bias Analysis'!E:E-'Publication Bias Analysis'!I$37,"")</f>
        <v/>
      </c>
      <c r="FX20" s="39" t="str">
        <f>IF(AND(Include_study?="Yes",Sufficient_data="Yes"),IF(Additional_model="Fixed effect",1/'Publication Bias Analysis'!F:F,1/SQRT('Publication Bias Analysis'!F:F^2+GH$12)),"")</f>
        <v/>
      </c>
      <c r="FY2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0" s="136" t="str">
        <f t="shared" si="80"/>
        <v/>
      </c>
      <c r="GA20" s="144" t="str">
        <f>IF(AND(Include_study?="Yes",Sufficient_data="Yes"),FZ:FZ+IF(GL:GL&lt;0,-1,1)*COUNTIF(FZ$2:FZ19,FZ:FZ),"")</f>
        <v/>
      </c>
      <c r="GB20" s="144" t="str">
        <f>IF(AND(Include_study?="Yes",Sufficient_data="Yes"),RANK(GP:GP,GP:GP,1)*IF(GO:GO&lt;0,-1,1)+IF(GO:GO&lt;0,-1,1)*COUNTIF(FZ$2:FZ19,FZ:FZ),"")</f>
        <v/>
      </c>
      <c r="GC20" s="144" t="str">
        <f>IF(AND(Include_study?="Yes",Sufficient_data="Yes"),RANK(GS:GS,GS:GS,1)*IF(GR:GR&lt;0,-1,1)+IF(GR:GR&lt;0,-1,1)*COUNTIF(FZ$2:FZ19,FZ:FZ),"")</f>
        <v/>
      </c>
      <c r="GD20" s="39" t="e">
        <f>IF(AND(Include_study?="Yes",Sufficient_data="Yes"),'Publication Bias Analysis'!E20,NA())</f>
        <v>#N/A</v>
      </c>
      <c r="GE20" s="74" t="e">
        <f>IF(AND(Include_study?="Yes",Sufficient_data="Yes"),'Publication Bias Analysis'!F20,NA())</f>
        <v>#N/A</v>
      </c>
      <c r="GG20" s="48" t="s">
        <v>187</v>
      </c>
      <c r="GH20" s="49">
        <f>IF(AND(Trim_and_fill="On",Additional_valid_options="Yes"),'Publication Bias Analysis'!I37-'Publication Bias Analysis'!I39,NA())</f>
        <v>0.30586509133101669</v>
      </c>
      <c r="GK20" s="176"/>
      <c r="GL2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0" s="39" t="str">
        <f t="shared" si="81"/>
        <v/>
      </c>
      <c r="GN2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0" s="39" t="str">
        <f>IF(AND(Include_study?="Yes",Sufficient_data="Yes"),IF('Publication Bias Analysis'!L$38="Left",'Publication Bias Analysis'!E:E-GW$3,GW$3-'Publication Bias Analysis'!E:E),"")</f>
        <v/>
      </c>
      <c r="GP20" s="39" t="str">
        <f t="shared" si="82"/>
        <v/>
      </c>
      <c r="GQ2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0" s="39" t="str">
        <f>IF(AND(Include_study?="Yes",Sufficient_data="Yes"),IF('Publication Bias Analysis'!L$38="Left",'Publication Bias Analysis'!E:E-GW$10,GW$10-'Publication Bias Analysis'!E:E),"")</f>
        <v/>
      </c>
      <c r="GS20" s="39" t="str">
        <f t="shared" si="83"/>
        <v/>
      </c>
      <c r="GT2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0" s="2" t="s">
        <v>30</v>
      </c>
      <c r="GW20" s="3">
        <f>MAX(0,(GW19-(k_-GW21))/((SUMIF(GC:GC,"&lt;="&amp;(MAX(GC:GC)-GW21),Calculations!FT:FT))-((SUMPRODUCT(--(GC:GC&lt;=(MAX(GC:GC)-GW21)),Calculations!FT:FT,Calculations!FT:FT))/(SUMIF(GC:GC,"&lt;="&amp;(MAX(GC:GC)-GW21),Calculations!FT:FT)))))</f>
        <v>5.8726149370426526E-3</v>
      </c>
      <c r="GY20" s="89">
        <v>19</v>
      </c>
      <c r="GZ20" s="7" t="str">
        <f>IF(Trim_and_fill="On",IF(GW$21&gt;(COUNT(GZ$2:GZ19)),IF(COUNTIF(GA:GA,-1*(MAX(GA:GA)-GY20+1))=1,"",MAX(GA:GA)-GY20+1),""),"")</f>
        <v/>
      </c>
      <c r="HA20" s="60" t="str">
        <f t="shared" si="84"/>
        <v/>
      </c>
      <c r="HB20" s="65" t="str">
        <f t="shared" si="85"/>
        <v/>
      </c>
      <c r="HC20" s="3" t="str">
        <f t="shared" si="86"/>
        <v/>
      </c>
      <c r="HD20" s="39" t="str">
        <f>IF(GZ20&lt;&gt;"",1/(HB20^2+'Publication Bias Analysis'!L$32),"")</f>
        <v/>
      </c>
      <c r="HE20" s="74" t="str">
        <f>IF(GZ20&lt;&gt;"",HA:HA-'Publication Bias Analysis'!I$37,"")</f>
        <v/>
      </c>
      <c r="HG20" s="89">
        <v>19</v>
      </c>
      <c r="HH20" s="3" t="e">
        <f t="shared" si="87"/>
        <v>#N/A</v>
      </c>
      <c r="HI20" s="74" t="e">
        <f t="shared" si="88"/>
        <v>#N/A</v>
      </c>
      <c r="HK20" s="176"/>
      <c r="HL20" s="66" t="str">
        <f t="shared" si="89"/>
        <v/>
      </c>
      <c r="HM20" s="74" t="str">
        <f>IF(AND(Include_study?="Yes",Sufficient_data="Yes"),Z_score-('Publication Bias Analysis'!P$3+'Publication Bias Analysis'!P$4*Inverse_standard_error),"")</f>
        <v/>
      </c>
      <c r="HO20" s="176"/>
      <c r="HP20" s="64" t="str">
        <f>IF(AND(Include_study?="Yes",Sufficient_data="Yes"),(GD:GD-SUMPRODUCT(Calculations!FT:FT,'Publication Bias Analysis'!E:E)/SUM(Calculations!FT:FT))/SQRT(Calculations!HQ:HQ),"")</f>
        <v/>
      </c>
      <c r="HQ20" s="64" t="str">
        <f>IF(AND(Include_study?="Yes",Sufficient_data="Yes"),GE:GE^2-1/SUM(Calculations!FT:FT),"")</f>
        <v/>
      </c>
      <c r="HR20" s="7" t="str">
        <f t="shared" si="90"/>
        <v/>
      </c>
      <c r="HS20" s="7" t="str">
        <f t="shared" si="91"/>
        <v/>
      </c>
      <c r="HT20" s="7" t="str">
        <f>IF(AND(Include_study?="Yes",Sufficient_data="Yes"),COUNTIFS(HR$2:HR19,"&lt;"&amp;HR20,HS$2:HS19,"&lt;"&amp;HS20)+COUNTIFS(HR21:HR$201,"&lt;"&amp;HR20,HS21:HS$201,"&lt;"&amp;HS20)+COUNTIFS(HR$2:HR19,"&gt;"&amp;HR20,HS$2:HS19,"&gt;"&amp;HS20)+COUNTIFS(HR21:HR$201,"&gt;"&amp;HR20,HS21:HS$201,"&gt;"&amp;HS20),"")</f>
        <v/>
      </c>
      <c r="HU20" s="104" t="str">
        <f>IF(AND(Include_study?="Yes",Sufficient_data="Yes"),COUNTIFS(HR$2:HR19,"&lt;"&amp;HR20,HS$2:HS19,"&gt;"&amp;HS20)+COUNTIFS(HR21:HR$201,"&lt;"&amp;HR20,HS21:HS$201,"&gt;"&amp;HS20)+COUNTIFS(HR$2:HR19,"&gt;"&amp;HR20,HS$2:HS19,"&lt;"&amp;HS20)+COUNTIFS(HR21:HR$201,"&gt;"&amp;HR20,HS21:HS$201,"&lt;"&amp;HS20),"")</f>
        <v/>
      </c>
      <c r="HW20" s="176"/>
      <c r="IB20" s="176"/>
      <c r="IC20" s="146" t="e">
        <f t="shared" si="92"/>
        <v>#N/A</v>
      </c>
      <c r="ID20" s="137" t="e">
        <f t="shared" si="93"/>
        <v>#N/A</v>
      </c>
      <c r="IE20" s="137" t="str">
        <f t="shared" si="94"/>
        <v/>
      </c>
      <c r="IF20" s="95" t="str">
        <f t="shared" si="95"/>
        <v/>
      </c>
      <c r="IK20" s="176"/>
      <c r="IL20" s="3" t="e">
        <f>IF(AND(Include_study?="Yes",Sufficient_data="Yes"),'Publication Bias Analysis'!AV:AV,NA())</f>
        <v>#N/A</v>
      </c>
      <c r="IM20" s="158" t="e">
        <f>IF(AND(Sufficient_data="Yes",Include_study?="Yes"),'Publication Bias Analysis'!AU:AU,NA())</f>
        <v>#N/A</v>
      </c>
      <c r="IN20" s="62" t="str">
        <f t="shared" si="96"/>
        <v/>
      </c>
      <c r="IO20" s="74" t="str">
        <f>IF(AND(Include_study?="Yes",Sufficient_data="Yes"),Z_score-('Publication Bias Analysis'!AY$30+'Publication Bias Analysis'!AY$31*Inverse_standard_error),"")</f>
        <v/>
      </c>
      <c r="IU20" s="176"/>
      <c r="IV20" s="7" t="str">
        <f>IF('Publication Bias Analysis'!BG:BG&lt;&gt;"",RANK('Publication Bias Analysis'!BG:BG,'Publication Bias Analysis'!BG:BG,1)+COUNTIF('Publication Bias Analysis'!BG$2:BG19,'Publication Bias Analysis'!BG20),"")</f>
        <v/>
      </c>
      <c r="IW20" s="124" t="str">
        <f t="shared" si="97"/>
        <v/>
      </c>
      <c r="IX20" s="125" t="e">
        <f>IF('Publication Bias Analysis'!BF20&lt;&gt;"",'Publication Bias Analysis'!BF20,NA())</f>
        <v>#N/A</v>
      </c>
      <c r="IY20" s="125" t="e">
        <f>IF('Publication Bias Analysis'!BG20&lt;&gt;"",'Publication Bias Analysis'!BG20,NA())</f>
        <v>#N/A</v>
      </c>
      <c r="IZ20" s="62" t="str">
        <f>IF(AND(Include_study?="Yes",Sufficient_data="Yes"),'Publication Bias Analysis'!BF:BF-AVERAGE('Publication Bias Analysis'!BF:BF),"")</f>
        <v/>
      </c>
      <c r="JA20" s="74" t="str">
        <f>IF(AND(Include_study?="Yes",Sufficient_data="Yes"),'Publication Bias Analysis'!BG:BG-('Publication Bias Analysis'!BJ$30+'Publication Bias Analysis'!BJ$31*'Publication Bias Analysis'!BF:BF),"")</f>
        <v/>
      </c>
      <c r="JG20" s="176"/>
      <c r="JH20" s="39" t="str">
        <f t="shared" si="98"/>
        <v/>
      </c>
      <c r="JI20" s="148" t="str">
        <f t="shared" si="124"/>
        <v/>
      </c>
      <c r="JJ20" s="74" t="str">
        <f t="shared" si="125"/>
        <v/>
      </c>
    </row>
    <row r="21" spans="1:270" x14ac:dyDescent="0.2">
      <c r="A21" s="2" t="str">
        <f t="shared" si="0"/>
        <v/>
      </c>
      <c r="B21" s="7" t="str">
        <f>IF(AND(Include_study?="Yes",Sufficient_data="Yes"),IF(Input!a_&lt;&gt;"",Input!a_,Input!n1_-Input!b_),"")</f>
        <v/>
      </c>
      <c r="C21" s="7" t="str">
        <f>IF(AND(Include_study?="Yes",Sufficient_data="Yes"),IF(Input!b_&lt;&gt;"",Input!b_,Input!n1_-Input!a_),"")</f>
        <v/>
      </c>
      <c r="D21" s="7" t="str">
        <f>IF(AND(Include_study?="Yes",Sufficient_data="Yes"),IF(Input!c_&lt;&gt;"",Input!c_,Input!n2_-Input!d_),"")</f>
        <v/>
      </c>
      <c r="E21" s="7" t="str">
        <f>IF(AND(Include_study?="Yes",Sufficient_data="Yes"),IF(Input!d_&lt;&gt;"",Input!d_,Input!n2_-Input!c_),"")</f>
        <v/>
      </c>
      <c r="F21" s="74" t="str">
        <f t="shared" si="1"/>
        <v/>
      </c>
      <c r="H21" s="196"/>
      <c r="I21" s="182"/>
      <c r="J21" s="146" t="str">
        <f t="shared" si="2"/>
        <v/>
      </c>
      <c r="K21" s="39" t="str">
        <f t="shared" si="3"/>
        <v/>
      </c>
      <c r="L21" s="39" t="str">
        <f t="shared" si="4"/>
        <v/>
      </c>
      <c r="M21" s="39" t="str">
        <f t="shared" si="5"/>
        <v/>
      </c>
      <c r="N21" s="74" t="str">
        <f t="shared" si="6"/>
        <v/>
      </c>
      <c r="P21" s="176"/>
      <c r="Q21" s="130" t="str">
        <f t="shared" si="7"/>
        <v/>
      </c>
      <c r="R21" s="39" t="str">
        <f t="shared" si="8"/>
        <v/>
      </c>
      <c r="S21" s="39" t="str">
        <f t="shared" si="9"/>
        <v/>
      </c>
      <c r="T21" s="74" t="str">
        <f t="shared" si="10"/>
        <v/>
      </c>
      <c r="V21" s="176"/>
      <c r="W21" s="130" t="str">
        <f t="shared" si="11"/>
        <v/>
      </c>
      <c r="X21" s="39" t="str">
        <f t="shared" si="12"/>
        <v/>
      </c>
      <c r="Y21" s="39" t="str">
        <f t="shared" si="13"/>
        <v/>
      </c>
      <c r="Z21" s="74" t="str">
        <f t="shared" si="14"/>
        <v/>
      </c>
      <c r="AB21" s="176"/>
      <c r="AC21" s="130" t="str">
        <f t="shared" si="15"/>
        <v/>
      </c>
      <c r="AD21" s="39" t="str">
        <f t="shared" si="16"/>
        <v/>
      </c>
      <c r="AE21" s="39" t="str">
        <f t="shared" si="17"/>
        <v/>
      </c>
      <c r="AF21" s="39" t="str">
        <f t="shared" si="18"/>
        <v/>
      </c>
      <c r="AG21" s="74" t="str">
        <f t="shared" si="19"/>
        <v/>
      </c>
      <c r="AI21" s="196"/>
      <c r="AJ2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1" s="136" t="str">
        <f>IF(AJ21&lt;&gt;"",IF(AJ21=0,COUNTIF(AJ$2:AJ20,0)+1,COUNTIF(AJ$2:AJ20,AJ21)+AJ21+COUNTIF(AJ:AJ,0)),"")</f>
        <v/>
      </c>
      <c r="AL21" s="136" t="str">
        <f t="shared" si="20"/>
        <v/>
      </c>
      <c r="AM21" s="155" t="str">
        <f>IF(AND(Include_study?="Yes",Sufficient_data="Yes",Input!Study_name&lt;&gt;""),Input!Study_name,"")</f>
        <v/>
      </c>
      <c r="AN21" s="136" t="str">
        <f t="shared" si="21"/>
        <v/>
      </c>
      <c r="AO21" s="19" t="str">
        <f t="shared" si="22"/>
        <v/>
      </c>
      <c r="AP21" s="158" t="str">
        <f t="shared" si="23"/>
        <v/>
      </c>
      <c r="AQ21" s="158" t="str">
        <f t="shared" si="24"/>
        <v/>
      </c>
      <c r="AR21" s="39" t="str">
        <f t="shared" si="25"/>
        <v/>
      </c>
      <c r="AS21" s="158" t="str">
        <f t="shared" si="26"/>
        <v/>
      </c>
      <c r="AT21" s="39" t="str">
        <f t="shared" si="27"/>
        <v/>
      </c>
      <c r="AU21" s="172" t="str">
        <f t="shared" si="28"/>
        <v/>
      </c>
      <c r="AW21" s="84" t="e">
        <f t="shared" si="29"/>
        <v>#N/A</v>
      </c>
      <c r="AX21" s="3" t="e">
        <f t="shared" si="30"/>
        <v>#N/A</v>
      </c>
      <c r="AY21" s="74" t="e">
        <f t="shared" si="31"/>
        <v>#N/A</v>
      </c>
      <c r="BD21" s="196"/>
      <c r="BE21" s="182"/>
      <c r="BF21" s="3" t="str">
        <f t="shared" si="32"/>
        <v/>
      </c>
      <c r="BG21" s="3" t="str">
        <f t="shared" si="33"/>
        <v/>
      </c>
      <c r="BH21" s="3" t="str">
        <f t="shared" si="34"/>
        <v/>
      </c>
      <c r="BI21" s="39" t="str">
        <f t="shared" si="99"/>
        <v/>
      </c>
      <c r="BJ21" s="95" t="str">
        <f t="shared" si="35"/>
        <v/>
      </c>
      <c r="BO21" s="176"/>
      <c r="BP21" s="158" t="str">
        <f t="shared" si="36"/>
        <v/>
      </c>
      <c r="BQ21" s="158" t="str">
        <f t="shared" si="37"/>
        <v/>
      </c>
      <c r="BR21" s="158" t="str">
        <f t="shared" si="38"/>
        <v/>
      </c>
      <c r="BS21" s="158" t="str">
        <f>IF(AND(Sufficient_data="Yes",Include_study?="Yes"),IF(Add_0_5="Yes",(a_+d_+1)*(ab_+0.5)*(c_+0.5)/(Number_of_subjects+2)^2,(a_+d_)*b_*c_/Number_of_subjects^2),"")</f>
        <v/>
      </c>
      <c r="BT21" s="158" t="str">
        <f t="shared" si="39"/>
        <v/>
      </c>
      <c r="BU21" s="158" t="str">
        <f t="shared" si="40"/>
        <v/>
      </c>
      <c r="BV21" s="158" t="str">
        <f t="shared" si="41"/>
        <v/>
      </c>
      <c r="BW21" s="3" t="str">
        <f t="shared" si="42"/>
        <v/>
      </c>
      <c r="BX21" s="137" t="str">
        <f t="shared" si="43"/>
        <v/>
      </c>
      <c r="BY21" s="95" t="str">
        <f t="shared" si="44"/>
        <v/>
      </c>
      <c r="CD21" s="176"/>
      <c r="CE21" s="130" t="str">
        <f t="shared" si="45"/>
        <v/>
      </c>
      <c r="CF21" s="39" t="str">
        <f t="shared" si="46"/>
        <v/>
      </c>
      <c r="CG21" s="39" t="str">
        <f t="shared" si="47"/>
        <v/>
      </c>
      <c r="CH21" s="39" t="str">
        <f t="shared" si="48"/>
        <v/>
      </c>
      <c r="CI21" s="39" t="str">
        <f t="shared" si="49"/>
        <v/>
      </c>
      <c r="CJ21" s="39" t="str">
        <f t="shared" si="50"/>
        <v/>
      </c>
      <c r="CK21" s="95" t="str">
        <f t="shared" si="51"/>
        <v/>
      </c>
      <c r="CP21" s="176"/>
      <c r="CQ21" s="99" t="str">
        <f t="shared" si="52"/>
        <v/>
      </c>
      <c r="CS21" s="2" t="s">
        <v>43</v>
      </c>
      <c r="CT21" s="3">
        <f>IF(Weighting_method="Inverse variance",IF(Model_effect_size_measure="Risk Difference",CICES_LL,IF(OR(Model_effect_size_measure="Odds Ratio",Model_effect_size_measure="Risk Ratio"),CT19-CT20*ABS(TINV((1-Confidence_level),k_-1)),"")),"")</f>
        <v>1.3936694890525972E-2</v>
      </c>
      <c r="CU21" s="3">
        <f>IF(Model_effect_size_measure="Odds Ratio",CU19-CU20*ABS(TINV((1-Confidence_level),k_-1)),"")</f>
        <v>1.3837584706454346E-2</v>
      </c>
      <c r="CV21" s="3" t="str">
        <f>IF(Model_effect_size_measure="Peto Odds Ratio",CV19-CV20*ABS(TINV((1-Confidence_level),k_-1)),"")</f>
        <v/>
      </c>
      <c r="CX21" s="196"/>
      <c r="CY21" s="89" t="e">
        <f t="shared" si="53"/>
        <v>#N/A</v>
      </c>
      <c r="CZ21" s="136" t="str">
        <f t="shared" si="54"/>
        <v/>
      </c>
      <c r="DA21" s="140" t="str">
        <f t="shared" si="55"/>
        <v/>
      </c>
      <c r="DB21" s="39" t="str">
        <f t="shared" si="56"/>
        <v/>
      </c>
      <c r="DC21" s="39" t="str">
        <f t="shared" si="57"/>
        <v/>
      </c>
      <c r="DD21" s="39" t="str">
        <f t="shared" si="58"/>
        <v/>
      </c>
      <c r="DE21" s="39" t="str">
        <f t="shared" si="59"/>
        <v/>
      </c>
      <c r="DF21" s="141" t="str">
        <f t="shared" si="60"/>
        <v/>
      </c>
      <c r="DG21" s="39" t="str">
        <f t="shared" si="61"/>
        <v/>
      </c>
      <c r="DH21" s="39" t="str">
        <f t="shared" si="62"/>
        <v/>
      </c>
      <c r="DI21" s="39" t="str">
        <f t="shared" si="63"/>
        <v/>
      </c>
      <c r="DJ21" s="74" t="str">
        <f t="shared" si="64"/>
        <v/>
      </c>
      <c r="DL21" s="84" t="e">
        <f t="shared" si="65"/>
        <v>#N/A</v>
      </c>
      <c r="DM21" s="39" t="e">
        <f t="shared" si="100"/>
        <v>#N/A</v>
      </c>
      <c r="DN21" s="74" t="e">
        <f t="shared" si="101"/>
        <v>#N/A</v>
      </c>
      <c r="DP21" s="89" t="str">
        <f t="shared" si="102"/>
        <v/>
      </c>
      <c r="DQ21" s="26" t="str">
        <f>IF(AND(Sufficient_data="Yes",Subgroup&lt;&gt;""),IF(COUNTIFS(Input!J$2:J20,"="&amp;"Yes",Input!C$2:C20,"="&amp;"Yes",Input!K$2:K20,"="&amp;Subgroup)&gt;0,"",Subgroup),"")</f>
        <v/>
      </c>
      <c r="DR21" s="7" t="str">
        <f t="shared" si="103"/>
        <v/>
      </c>
      <c r="DS21" s="7" t="str">
        <f t="shared" si="66"/>
        <v/>
      </c>
      <c r="DT21" s="19" t="str">
        <f t="shared" si="67"/>
        <v/>
      </c>
      <c r="DU21" s="12" t="str">
        <f t="shared" si="104"/>
        <v/>
      </c>
      <c r="DV21" s="11" t="str">
        <f t="shared" si="105"/>
        <v/>
      </c>
      <c r="DW21" s="12" t="str">
        <f t="shared" si="68"/>
        <v/>
      </c>
      <c r="DX21" s="19" t="str">
        <f t="shared" si="69"/>
        <v/>
      </c>
      <c r="DY21" s="19" t="str">
        <f t="shared" si="106"/>
        <v/>
      </c>
      <c r="DZ21" s="19" t="str">
        <f t="shared" si="70"/>
        <v/>
      </c>
      <c r="EA21" s="19" t="str">
        <f t="shared" si="71"/>
        <v/>
      </c>
      <c r="EB21" s="7" t="str">
        <f t="shared" si="72"/>
        <v/>
      </c>
      <c r="EC21" s="19" t="str">
        <f t="shared" si="107"/>
        <v/>
      </c>
      <c r="ED21" s="19" t="str">
        <f t="shared" si="108"/>
        <v/>
      </c>
      <c r="EE21" s="19" t="str">
        <f t="shared" si="109"/>
        <v/>
      </c>
      <c r="EF21" s="19" t="str">
        <f t="shared" si="110"/>
        <v/>
      </c>
      <c r="EG21" s="19" t="str">
        <f t="shared" si="111"/>
        <v/>
      </c>
      <c r="EH21" s="19" t="str">
        <f t="shared" si="112"/>
        <v/>
      </c>
      <c r="EI21" s="19" t="str">
        <f t="shared" si="113"/>
        <v/>
      </c>
      <c r="EJ21" s="19" t="str">
        <f t="shared" si="114"/>
        <v/>
      </c>
      <c r="EK21" s="19" t="str">
        <f t="shared" si="73"/>
        <v/>
      </c>
      <c r="EL21" s="19" t="str">
        <f t="shared" si="115"/>
        <v/>
      </c>
      <c r="EM21" s="19" t="str">
        <f t="shared" si="116"/>
        <v/>
      </c>
      <c r="EN21" s="19" t="str">
        <f t="shared" si="117"/>
        <v/>
      </c>
      <c r="EO21" s="19" t="str">
        <f t="shared" si="118"/>
        <v/>
      </c>
      <c r="EP21" s="19" t="str">
        <f t="shared" si="74"/>
        <v/>
      </c>
      <c r="EQ21" s="19" t="e">
        <f t="shared" si="119"/>
        <v>#N/A</v>
      </c>
      <c r="ER21" s="11" t="str">
        <f t="shared" si="120"/>
        <v/>
      </c>
      <c r="ES21" s="19" t="str">
        <f t="shared" si="121"/>
        <v/>
      </c>
      <c r="ET21" s="156" t="str">
        <f t="shared" si="122"/>
        <v/>
      </c>
      <c r="EU21" s="39" t="str">
        <f t="shared" si="75"/>
        <v/>
      </c>
      <c r="EV21" s="74" t="str">
        <f t="shared" si="76"/>
        <v/>
      </c>
      <c r="EX21" s="2" t="s">
        <v>7</v>
      </c>
      <c r="EY21" s="3">
        <f>SQRT(EY20)</f>
        <v>0.16543468380292767</v>
      </c>
      <c r="FA21" s="196"/>
      <c r="FB21" s="84" t="e">
        <f>IF(AND(Include_study?="Yes",Sufficient_data="Yes",Moderator&lt;&gt;""),'Moderator Analysis'!E21,NA())</f>
        <v>#N/A</v>
      </c>
      <c r="FC21" s="39" t="e">
        <f>IF(AND(Include_study?="Yes",Sufficient_data="Yes",Moderator&lt;&gt;""),'Moderator Analysis'!F21,NA())</f>
        <v>#N/A</v>
      </c>
      <c r="FD21" s="39" t="str">
        <f t="shared" si="77"/>
        <v/>
      </c>
      <c r="FE21" s="39" t="str">
        <f t="shared" si="78"/>
        <v/>
      </c>
      <c r="FF21" s="39" t="str">
        <f>IF(AND(Include_study?="Yes",Sufficient_data="Yes",Moderator&lt;&gt;""),'Moderator Analysis'!F:F-FP$2,"")</f>
        <v/>
      </c>
      <c r="FG21" s="39" t="str">
        <f>IF(AND(Include_study?="Yes",Sufficient_data="Yes",Moderator&lt;&gt;""),'Moderator Analysis'!E:E-FP$3,"")</f>
        <v/>
      </c>
      <c r="FH21" s="74" t="str">
        <f>IF(AND(Include_study?="Yes",Sufficient_data="Yes",Moderator&lt;&gt;""),FE:FE*('Moderator Analysis'!F:F-FP$5-FP$4*'Moderator Analysis'!E:E)^2,"")</f>
        <v/>
      </c>
      <c r="FI21" s="128"/>
      <c r="FJ21" s="92" t="str">
        <f t="shared" si="79"/>
        <v/>
      </c>
      <c r="FK21" s="137" t="str">
        <f>IF(AND(Include_study?="Yes",Sufficient_data="Yes",Moderator&lt;&gt;""),'Moderator Analysis'!F:F-'Moderator Analysis'!J$37,"")</f>
        <v/>
      </c>
      <c r="FL21" s="137" t="str">
        <f>IF(AND(Include_study?="Yes",Sufficient_data="Yes",Moderator&lt;&gt;""),'Moderator Analysis'!E:E-SUMPRODUCT('Moderator Analysis'!E:E,FJ:FJ)/SUM(FJ:FJ),"")</f>
        <v/>
      </c>
      <c r="FM21" s="95" t="str">
        <f>IF(AND(Include_study?="Yes",Sufficient_data="Yes",Moderator&lt;&gt;""),FJ:FJ*('Moderator Analysis'!F:F-'Moderator Analysis'!J$29-'Moderator Analysis'!J$30*'Moderator Analysis'!E:E)^2,"")</f>
        <v/>
      </c>
      <c r="FN21" s="21"/>
      <c r="FR21" s="196"/>
      <c r="FS21" s="182"/>
      <c r="FT2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1" s="39" t="str">
        <f>IF(AND(Include_study?="Yes",Sufficient_data="Yes"),1/('Publication Bias Analysis'!F:F^2+IF(Additional_model="Fixed effect",0,Calculations!GH$12)),"")</f>
        <v/>
      </c>
      <c r="FV21" s="39" t="str">
        <f>IF(AND(Include_study?="Yes",Sufficient_data="Yes"),1/('Publication Bias Analysis'!F:F^2+IF(Additional_model="Fixed effect",0,'Publication Bias Analysis'!L$32)),"")</f>
        <v/>
      </c>
      <c r="FW21" s="39" t="str">
        <f>IF(AND(Include_study?="Yes",Sufficient_data="Yes"),'Publication Bias Analysis'!E:E-'Publication Bias Analysis'!I$37,"")</f>
        <v/>
      </c>
      <c r="FX21" s="39" t="str">
        <f>IF(AND(Include_study?="Yes",Sufficient_data="Yes"),IF(Additional_model="Fixed effect",1/'Publication Bias Analysis'!F:F,1/SQRT('Publication Bias Analysis'!F:F^2+GH$12)),"")</f>
        <v/>
      </c>
      <c r="FY2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1" s="136" t="str">
        <f t="shared" si="80"/>
        <v/>
      </c>
      <c r="GA21" s="144" t="str">
        <f>IF(AND(Include_study?="Yes",Sufficient_data="Yes"),FZ:FZ+IF(GL:GL&lt;0,-1,1)*COUNTIF(FZ$2:FZ20,FZ:FZ),"")</f>
        <v/>
      </c>
      <c r="GB21" s="144" t="str">
        <f>IF(AND(Include_study?="Yes",Sufficient_data="Yes"),RANK(GP:GP,GP:GP,1)*IF(GO:GO&lt;0,-1,1)+IF(GO:GO&lt;0,-1,1)*COUNTIF(FZ$2:FZ20,FZ:FZ),"")</f>
        <v/>
      </c>
      <c r="GC21" s="144" t="str">
        <f>IF(AND(Include_study?="Yes",Sufficient_data="Yes"),RANK(GS:GS,GS:GS,1)*IF(GR:GR&lt;0,-1,1)+IF(GR:GR&lt;0,-1,1)*COUNTIF(FZ$2:FZ20,FZ:FZ),"")</f>
        <v/>
      </c>
      <c r="GD21" s="39" t="e">
        <f>IF(AND(Include_study?="Yes",Sufficient_data="Yes"),'Publication Bias Analysis'!E21,NA())</f>
        <v>#N/A</v>
      </c>
      <c r="GE21" s="74" t="e">
        <f>IF(AND(Include_study?="Yes",Sufficient_data="Yes"),'Publication Bias Analysis'!F21,NA())</f>
        <v>#N/A</v>
      </c>
      <c r="GG21" s="48" t="s">
        <v>206</v>
      </c>
      <c r="GH21" s="49">
        <f>IF(AND(Trim_and_fill="On",Additional_valid_options="Yes"),'Publication Bias Analysis'!I37-'Publication Bias Analysis'!I41,NA())</f>
        <v>0.47553791340576224</v>
      </c>
      <c r="GK21" s="176"/>
      <c r="GL2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1" s="39" t="str">
        <f t="shared" si="81"/>
        <v/>
      </c>
      <c r="GN2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1" s="39" t="str">
        <f>IF(AND(Include_study?="Yes",Sufficient_data="Yes"),IF('Publication Bias Analysis'!L$38="Left",'Publication Bias Analysis'!E:E-GW$3,GW$3-'Publication Bias Analysis'!E:E),"")</f>
        <v/>
      </c>
      <c r="GP21" s="39" t="str">
        <f t="shared" si="82"/>
        <v/>
      </c>
      <c r="GQ2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1" s="39" t="str">
        <f>IF(AND(Include_study?="Yes",Sufficient_data="Yes"),IF('Publication Bias Analysis'!L$38="Left",'Publication Bias Analysis'!E:E-GW$10,GW$10-'Publication Bias Analysis'!E:E),"")</f>
        <v/>
      </c>
      <c r="GS21" s="39" t="str">
        <f t="shared" si="83"/>
        <v/>
      </c>
      <c r="GT2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1" s="75" t="s">
        <v>185</v>
      </c>
      <c r="GW21" s="76">
        <f>IF('Publication Bias Analysis'!L37="Leftmost Run/Rightmost Run",MAX(COUNTIF(GC:GC,"&gt;"&amp;ABS(MIN(GC:GC)))-1,0),ROUND(MAX(0,((4*SUMIF(GR:GR,"&gt;"&amp;0,GC:GC)-k_*(k_+1))/(2*k_-1))),0))</f>
        <v>0</v>
      </c>
      <c r="GY21" s="89">
        <v>20</v>
      </c>
      <c r="GZ21" s="7" t="str">
        <f>IF(Trim_and_fill="On",IF(GW$21&gt;(COUNT(GZ$2:GZ20)),IF(COUNTIF(GA:GA,-1*(MAX(GA:GA)-GY21+1))=1,"",MAX(GA:GA)-GY21+1),""),"")</f>
        <v/>
      </c>
      <c r="HA21" s="60" t="str">
        <f t="shared" si="84"/>
        <v/>
      </c>
      <c r="HB21" s="65" t="str">
        <f t="shared" si="85"/>
        <v/>
      </c>
      <c r="HC21" s="3" t="str">
        <f t="shared" si="86"/>
        <v/>
      </c>
      <c r="HD21" s="39" t="str">
        <f>IF(GZ21&lt;&gt;"",1/(HB21^2+'Publication Bias Analysis'!L$32),"")</f>
        <v/>
      </c>
      <c r="HE21" s="74" t="str">
        <f>IF(GZ21&lt;&gt;"",HA:HA-'Publication Bias Analysis'!I$37,"")</f>
        <v/>
      </c>
      <c r="HG21" s="89">
        <v>20</v>
      </c>
      <c r="HH21" s="3" t="e">
        <f t="shared" si="87"/>
        <v>#N/A</v>
      </c>
      <c r="HI21" s="74" t="e">
        <f t="shared" si="88"/>
        <v>#N/A</v>
      </c>
      <c r="HK21" s="176"/>
      <c r="HL21" s="66" t="str">
        <f t="shared" si="89"/>
        <v/>
      </c>
      <c r="HM21" s="74" t="str">
        <f>IF(AND(Include_study?="Yes",Sufficient_data="Yes"),Z_score-('Publication Bias Analysis'!P$3+'Publication Bias Analysis'!P$4*Inverse_standard_error),"")</f>
        <v/>
      </c>
      <c r="HO21" s="176"/>
      <c r="HP21" s="64" t="str">
        <f>IF(AND(Include_study?="Yes",Sufficient_data="Yes"),(GD:GD-SUMPRODUCT(Calculations!FT:FT,'Publication Bias Analysis'!E:E)/SUM(Calculations!FT:FT))/SQRT(Calculations!HQ:HQ),"")</f>
        <v/>
      </c>
      <c r="HQ21" s="64" t="str">
        <f>IF(AND(Include_study?="Yes",Sufficient_data="Yes"),GE:GE^2-1/SUM(Calculations!FT:FT),"")</f>
        <v/>
      </c>
      <c r="HR21" s="7" t="str">
        <f t="shared" si="90"/>
        <v/>
      </c>
      <c r="HS21" s="7" t="str">
        <f t="shared" si="91"/>
        <v/>
      </c>
      <c r="HT21" s="7" t="str">
        <f>IF(AND(Include_study?="Yes",Sufficient_data="Yes"),COUNTIFS(HR$2:HR20,"&lt;"&amp;HR21,HS$2:HS20,"&lt;"&amp;HS21)+COUNTIFS(HR22:HR$201,"&lt;"&amp;HR21,HS22:HS$201,"&lt;"&amp;HS21)+COUNTIFS(HR$2:HR20,"&gt;"&amp;HR21,HS$2:HS20,"&gt;"&amp;HS21)+COUNTIFS(HR22:HR$201,"&gt;"&amp;HR21,HS22:HS$201,"&gt;"&amp;HS21),"")</f>
        <v/>
      </c>
      <c r="HU21" s="104" t="str">
        <f>IF(AND(Include_study?="Yes",Sufficient_data="Yes"),COUNTIFS(HR$2:HR20,"&lt;"&amp;HR21,HS$2:HS20,"&gt;"&amp;HS21)+COUNTIFS(HR22:HR$201,"&lt;"&amp;HR21,HS22:HS$201,"&gt;"&amp;HS21)+COUNTIFS(HR$2:HR20,"&gt;"&amp;HR21,HS$2:HS20,"&lt;"&amp;HS21)+COUNTIFS(HR22:HR$201,"&gt;"&amp;HR21,HS22:HS$201,"&lt;"&amp;HS21),"")</f>
        <v/>
      </c>
      <c r="HW21" s="176"/>
      <c r="IB21" s="176"/>
      <c r="IC21" s="146" t="e">
        <f t="shared" si="92"/>
        <v>#N/A</v>
      </c>
      <c r="ID21" s="137" t="e">
        <f t="shared" si="93"/>
        <v>#N/A</v>
      </c>
      <c r="IE21" s="137" t="str">
        <f t="shared" si="94"/>
        <v/>
      </c>
      <c r="IF21" s="95" t="str">
        <f t="shared" si="95"/>
        <v/>
      </c>
      <c r="IK21" s="176"/>
      <c r="IL21" s="3" t="e">
        <f>IF(AND(Include_study?="Yes",Sufficient_data="Yes"),'Publication Bias Analysis'!AV:AV,NA())</f>
        <v>#N/A</v>
      </c>
      <c r="IM21" s="158" t="e">
        <f>IF(AND(Sufficient_data="Yes",Include_study?="Yes"),'Publication Bias Analysis'!AU:AU,NA())</f>
        <v>#N/A</v>
      </c>
      <c r="IN21" s="62" t="str">
        <f t="shared" si="96"/>
        <v/>
      </c>
      <c r="IO21" s="74" t="str">
        <f>IF(AND(Include_study?="Yes",Sufficient_data="Yes"),Z_score-('Publication Bias Analysis'!AY$30+'Publication Bias Analysis'!AY$31*Inverse_standard_error),"")</f>
        <v/>
      </c>
      <c r="IU21" s="176"/>
      <c r="IV21" s="7" t="str">
        <f>IF('Publication Bias Analysis'!BG:BG&lt;&gt;"",RANK('Publication Bias Analysis'!BG:BG,'Publication Bias Analysis'!BG:BG,1)+COUNTIF('Publication Bias Analysis'!BG$2:BG20,'Publication Bias Analysis'!BG21),"")</f>
        <v/>
      </c>
      <c r="IW21" s="124" t="str">
        <f t="shared" si="97"/>
        <v/>
      </c>
      <c r="IX21" s="125" t="e">
        <f>IF('Publication Bias Analysis'!BF21&lt;&gt;"",'Publication Bias Analysis'!BF21,NA())</f>
        <v>#N/A</v>
      </c>
      <c r="IY21" s="125" t="e">
        <f>IF('Publication Bias Analysis'!BG21&lt;&gt;"",'Publication Bias Analysis'!BG21,NA())</f>
        <v>#N/A</v>
      </c>
      <c r="IZ21" s="62" t="str">
        <f>IF(AND(Include_study?="Yes",Sufficient_data="Yes"),'Publication Bias Analysis'!BF:BF-AVERAGE('Publication Bias Analysis'!BF:BF),"")</f>
        <v/>
      </c>
      <c r="JA21" s="74" t="str">
        <f>IF(AND(Include_study?="Yes",Sufficient_data="Yes"),'Publication Bias Analysis'!BG:BG-('Publication Bias Analysis'!BJ$30+'Publication Bias Analysis'!BJ$31*'Publication Bias Analysis'!BF:BF),"")</f>
        <v/>
      </c>
      <c r="JG21" s="176"/>
      <c r="JH21" s="39" t="str">
        <f t="shared" si="98"/>
        <v/>
      </c>
      <c r="JI21" s="148" t="str">
        <f t="shared" si="124"/>
        <v/>
      </c>
      <c r="JJ21" s="74" t="str">
        <f t="shared" si="125"/>
        <v/>
      </c>
    </row>
    <row r="22" spans="1:270" ht="12" customHeight="1" x14ac:dyDescent="0.2">
      <c r="A22" s="2" t="str">
        <f t="shared" si="0"/>
        <v/>
      </c>
      <c r="B22" s="7" t="str">
        <f>IF(AND(Include_study?="Yes",Sufficient_data="Yes"),IF(Input!a_&lt;&gt;"",Input!a_,Input!n1_-Input!b_),"")</f>
        <v/>
      </c>
      <c r="C22" s="7" t="str">
        <f>IF(AND(Include_study?="Yes",Sufficient_data="Yes"),IF(Input!b_&lt;&gt;"",Input!b_,Input!n1_-Input!a_),"")</f>
        <v/>
      </c>
      <c r="D22" s="7" t="str">
        <f>IF(AND(Include_study?="Yes",Sufficient_data="Yes"),IF(Input!c_&lt;&gt;"",Input!c_,Input!n2_-Input!d_),"")</f>
        <v/>
      </c>
      <c r="E22" s="7" t="str">
        <f>IF(AND(Include_study?="Yes",Sufficient_data="Yes"),IF(Input!d_&lt;&gt;"",Input!d_,Input!n2_-Input!c_),"")</f>
        <v/>
      </c>
      <c r="F22" s="74" t="str">
        <f t="shared" si="1"/>
        <v/>
      </c>
      <c r="H22" s="196"/>
      <c r="I22" s="182"/>
      <c r="J22" s="146" t="str">
        <f t="shared" si="2"/>
        <v/>
      </c>
      <c r="K22" s="39" t="str">
        <f t="shared" si="3"/>
        <v/>
      </c>
      <c r="L22" s="39" t="str">
        <f t="shared" si="4"/>
        <v/>
      </c>
      <c r="M22" s="39" t="str">
        <f t="shared" si="5"/>
        <v/>
      </c>
      <c r="N22" s="74" t="str">
        <f t="shared" si="6"/>
        <v/>
      </c>
      <c r="P22" s="176"/>
      <c r="Q22" s="130" t="str">
        <f t="shared" si="7"/>
        <v/>
      </c>
      <c r="R22" s="39" t="str">
        <f t="shared" si="8"/>
        <v/>
      </c>
      <c r="S22" s="39" t="str">
        <f t="shared" si="9"/>
        <v/>
      </c>
      <c r="T22" s="74" t="str">
        <f t="shared" si="10"/>
        <v/>
      </c>
      <c r="V22" s="176"/>
      <c r="W22" s="130" t="str">
        <f t="shared" si="11"/>
        <v/>
      </c>
      <c r="X22" s="39" t="str">
        <f t="shared" si="12"/>
        <v/>
      </c>
      <c r="Y22" s="39" t="str">
        <f t="shared" si="13"/>
        <v/>
      </c>
      <c r="Z22" s="74" t="str">
        <f t="shared" si="14"/>
        <v/>
      </c>
      <c r="AB22" s="176"/>
      <c r="AC22" s="130" t="str">
        <f t="shared" si="15"/>
        <v/>
      </c>
      <c r="AD22" s="39" t="str">
        <f t="shared" si="16"/>
        <v/>
      </c>
      <c r="AE22" s="39" t="str">
        <f t="shared" si="17"/>
        <v/>
      </c>
      <c r="AF22" s="39" t="str">
        <f t="shared" si="18"/>
        <v/>
      </c>
      <c r="AG22" s="74" t="str">
        <f t="shared" si="19"/>
        <v/>
      </c>
      <c r="AI22" s="196"/>
      <c r="AJ2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2" s="136" t="str">
        <f>IF(AJ22&lt;&gt;"",IF(AJ22=0,COUNTIF(AJ$2:AJ21,0)+1,COUNTIF(AJ$2:AJ21,AJ22)+AJ22+COUNTIF(AJ:AJ,0)),"")</f>
        <v/>
      </c>
      <c r="AL22" s="136" t="str">
        <f t="shared" si="20"/>
        <v/>
      </c>
      <c r="AM22" s="155" t="str">
        <f>IF(AND(Include_study?="Yes",Sufficient_data="Yes",Input!Study_name&lt;&gt;""),Input!Study_name,"")</f>
        <v/>
      </c>
      <c r="AN22" s="136" t="str">
        <f t="shared" si="21"/>
        <v/>
      </c>
      <c r="AO22" s="19" t="str">
        <f t="shared" si="22"/>
        <v/>
      </c>
      <c r="AP22" s="158" t="str">
        <f t="shared" si="23"/>
        <v/>
      </c>
      <c r="AQ22" s="158" t="str">
        <f t="shared" si="24"/>
        <v/>
      </c>
      <c r="AR22" s="39" t="str">
        <f t="shared" si="25"/>
        <v/>
      </c>
      <c r="AS22" s="158" t="str">
        <f t="shared" si="26"/>
        <v/>
      </c>
      <c r="AT22" s="39" t="str">
        <f t="shared" si="27"/>
        <v/>
      </c>
      <c r="AU22" s="172" t="str">
        <f t="shared" si="28"/>
        <v/>
      </c>
      <c r="AW22" s="84" t="e">
        <f t="shared" si="29"/>
        <v>#N/A</v>
      </c>
      <c r="AX22" s="3" t="e">
        <f t="shared" si="30"/>
        <v>#N/A</v>
      </c>
      <c r="AY22" s="74" t="e">
        <f t="shared" si="31"/>
        <v>#N/A</v>
      </c>
      <c r="BD22" s="196"/>
      <c r="BE22" s="182"/>
      <c r="BF22" s="3" t="str">
        <f t="shared" si="32"/>
        <v/>
      </c>
      <c r="BG22" s="3" t="str">
        <f t="shared" si="33"/>
        <v/>
      </c>
      <c r="BH22" s="3" t="str">
        <f t="shared" si="34"/>
        <v/>
      </c>
      <c r="BI22" s="39" t="str">
        <f t="shared" si="99"/>
        <v/>
      </c>
      <c r="BJ22" s="95" t="str">
        <f t="shared" si="35"/>
        <v/>
      </c>
      <c r="BO22" s="176"/>
      <c r="BP22" s="158" t="str">
        <f t="shared" si="36"/>
        <v/>
      </c>
      <c r="BQ22" s="158" t="str">
        <f t="shared" si="37"/>
        <v/>
      </c>
      <c r="BR22" s="158" t="str">
        <f t="shared" si="38"/>
        <v/>
      </c>
      <c r="BS22" s="158" t="str">
        <f>IF(AND(Sufficient_data="Yes",Include_study?="Yes"),IF(Add_0_5="Yes",(a_+d_+1)*(ab_+0.5)*(c_+0.5)/(Number_of_subjects+2)^2,(a_+d_)*b_*c_/Number_of_subjects^2),"")</f>
        <v/>
      </c>
      <c r="BT22" s="158" t="str">
        <f t="shared" si="39"/>
        <v/>
      </c>
      <c r="BU22" s="158" t="str">
        <f t="shared" si="40"/>
        <v/>
      </c>
      <c r="BV22" s="158" t="str">
        <f t="shared" si="41"/>
        <v/>
      </c>
      <c r="BW22" s="3" t="str">
        <f t="shared" si="42"/>
        <v/>
      </c>
      <c r="BX22" s="137" t="str">
        <f t="shared" si="43"/>
        <v/>
      </c>
      <c r="BY22" s="95" t="str">
        <f t="shared" si="44"/>
        <v/>
      </c>
      <c r="CD22" s="176"/>
      <c r="CE22" s="130" t="str">
        <f t="shared" si="45"/>
        <v/>
      </c>
      <c r="CF22" s="39" t="str">
        <f t="shared" si="46"/>
        <v/>
      </c>
      <c r="CG22" s="39" t="str">
        <f t="shared" si="47"/>
        <v/>
      </c>
      <c r="CH22" s="39" t="str">
        <f t="shared" si="48"/>
        <v/>
      </c>
      <c r="CI22" s="39" t="str">
        <f t="shared" si="49"/>
        <v/>
      </c>
      <c r="CJ22" s="39" t="str">
        <f t="shared" si="50"/>
        <v/>
      </c>
      <c r="CK22" s="95" t="str">
        <f t="shared" si="51"/>
        <v/>
      </c>
      <c r="CP22" s="176"/>
      <c r="CQ22" s="99" t="str">
        <f t="shared" si="52"/>
        <v/>
      </c>
      <c r="CS22" s="2" t="s">
        <v>44</v>
      </c>
      <c r="CT22" s="3">
        <f>IF(Weighting_method="Inverse variance",IF(Model_effect_size_measure="Risk Difference",CICES_UL,IF(OR(Model_effect_size_measure="Odds Ratio",Model_effect_size_measure="Risk Ratio"),CT19+CT20*ABS(TINV((1-Confidence_level),k_-1)),"")),"")</f>
        <v>0.11023712706038301</v>
      </c>
      <c r="CU22" s="3">
        <f>IF(Model_effect_size_measure="Odds Ratio",CU19+CU20*ABS(TINV((1-Confidence_level),k_-1)),"")</f>
        <v>0.11031402336717655</v>
      </c>
      <c r="CV22" s="3" t="str">
        <f>IF(Model_effect_size_measure="Peto Odds Ratio",CV19+CV20*ABS(TINV((1-Confidence_level),k_-1)),"")</f>
        <v/>
      </c>
      <c r="CX22" s="196"/>
      <c r="CY22" s="89" t="e">
        <f t="shared" si="53"/>
        <v>#N/A</v>
      </c>
      <c r="CZ22" s="136" t="str">
        <f t="shared" si="54"/>
        <v/>
      </c>
      <c r="DA22" s="140" t="str">
        <f t="shared" si="55"/>
        <v/>
      </c>
      <c r="DB22" s="39" t="str">
        <f t="shared" si="56"/>
        <v/>
      </c>
      <c r="DC22" s="39" t="str">
        <f t="shared" si="57"/>
        <v/>
      </c>
      <c r="DD22" s="39" t="str">
        <f t="shared" si="58"/>
        <v/>
      </c>
      <c r="DE22" s="39" t="str">
        <f t="shared" si="59"/>
        <v/>
      </c>
      <c r="DF22" s="141" t="str">
        <f t="shared" si="60"/>
        <v/>
      </c>
      <c r="DG22" s="39" t="str">
        <f t="shared" si="61"/>
        <v/>
      </c>
      <c r="DH22" s="39" t="str">
        <f t="shared" si="62"/>
        <v/>
      </c>
      <c r="DI22" s="39" t="str">
        <f t="shared" si="63"/>
        <v/>
      </c>
      <c r="DJ22" s="74" t="str">
        <f t="shared" si="64"/>
        <v/>
      </c>
      <c r="DL22" s="84" t="e">
        <f t="shared" si="65"/>
        <v>#N/A</v>
      </c>
      <c r="DM22" s="39" t="e">
        <f t="shared" si="100"/>
        <v>#N/A</v>
      </c>
      <c r="DN22" s="74" t="e">
        <f t="shared" si="101"/>
        <v>#N/A</v>
      </c>
      <c r="DP22" s="89" t="str">
        <f t="shared" si="102"/>
        <v/>
      </c>
      <c r="DQ22" s="26" t="str">
        <f>IF(AND(Sufficient_data="Yes",Subgroup&lt;&gt;""),IF(COUNTIFS(Input!J$2:J21,"="&amp;"Yes",Input!C$2:C21,"="&amp;"Yes",Input!K$2:K21,"="&amp;Subgroup)&gt;0,"",Subgroup),"")</f>
        <v/>
      </c>
      <c r="DR22" s="7" t="str">
        <f t="shared" si="103"/>
        <v/>
      </c>
      <c r="DS22" s="7" t="str">
        <f t="shared" si="66"/>
        <v/>
      </c>
      <c r="DT22" s="19" t="str">
        <f t="shared" si="67"/>
        <v/>
      </c>
      <c r="DU22" s="12" t="str">
        <f t="shared" si="104"/>
        <v/>
      </c>
      <c r="DV22" s="11" t="str">
        <f t="shared" si="105"/>
        <v/>
      </c>
      <c r="DW22" s="12" t="str">
        <f t="shared" si="68"/>
        <v/>
      </c>
      <c r="DX22" s="19" t="str">
        <f t="shared" si="69"/>
        <v/>
      </c>
      <c r="DY22" s="19" t="str">
        <f t="shared" si="106"/>
        <v/>
      </c>
      <c r="DZ22" s="19" t="str">
        <f t="shared" si="70"/>
        <v/>
      </c>
      <c r="EA22" s="19" t="str">
        <f t="shared" si="71"/>
        <v/>
      </c>
      <c r="EB22" s="7" t="str">
        <f t="shared" si="72"/>
        <v/>
      </c>
      <c r="EC22" s="19" t="str">
        <f t="shared" si="107"/>
        <v/>
      </c>
      <c r="ED22" s="19" t="str">
        <f t="shared" si="108"/>
        <v/>
      </c>
      <c r="EE22" s="19" t="str">
        <f t="shared" si="109"/>
        <v/>
      </c>
      <c r="EF22" s="19" t="str">
        <f t="shared" si="110"/>
        <v/>
      </c>
      <c r="EG22" s="19" t="str">
        <f t="shared" si="111"/>
        <v/>
      </c>
      <c r="EH22" s="19" t="str">
        <f t="shared" si="112"/>
        <v/>
      </c>
      <c r="EI22" s="19" t="str">
        <f t="shared" si="113"/>
        <v/>
      </c>
      <c r="EJ22" s="19" t="str">
        <f t="shared" si="114"/>
        <v/>
      </c>
      <c r="EK22" s="19" t="str">
        <f t="shared" si="73"/>
        <v/>
      </c>
      <c r="EL22" s="19" t="str">
        <f t="shared" si="115"/>
        <v/>
      </c>
      <c r="EM22" s="19" t="str">
        <f t="shared" si="116"/>
        <v/>
      </c>
      <c r="EN22" s="19" t="str">
        <f t="shared" si="117"/>
        <v/>
      </c>
      <c r="EO22" s="19" t="str">
        <f t="shared" si="118"/>
        <v/>
      </c>
      <c r="EP22" s="19" t="str">
        <f t="shared" si="74"/>
        <v/>
      </c>
      <c r="EQ22" s="19" t="e">
        <f t="shared" si="119"/>
        <v>#N/A</v>
      </c>
      <c r="ER22" s="11" t="str">
        <f t="shared" si="120"/>
        <v/>
      </c>
      <c r="ES22" s="19" t="str">
        <f t="shared" si="121"/>
        <v/>
      </c>
      <c r="ET22" s="156" t="str">
        <f t="shared" si="122"/>
        <v/>
      </c>
      <c r="EU22" s="39" t="str">
        <f t="shared" si="75"/>
        <v/>
      </c>
      <c r="EV22" s="74" t="str">
        <f t="shared" si="76"/>
        <v/>
      </c>
      <c r="FA22" s="196"/>
      <c r="FB22" s="84" t="e">
        <f>IF(AND(Include_study?="Yes",Sufficient_data="Yes",Moderator&lt;&gt;""),'Moderator Analysis'!E22,NA())</f>
        <v>#N/A</v>
      </c>
      <c r="FC22" s="39" t="e">
        <f>IF(AND(Include_study?="Yes",Sufficient_data="Yes",Moderator&lt;&gt;""),'Moderator Analysis'!F22,NA())</f>
        <v>#N/A</v>
      </c>
      <c r="FD22" s="39" t="str">
        <f t="shared" si="77"/>
        <v/>
      </c>
      <c r="FE22" s="39" t="str">
        <f t="shared" si="78"/>
        <v/>
      </c>
      <c r="FF22" s="39" t="str">
        <f>IF(AND(Include_study?="Yes",Sufficient_data="Yes",Moderator&lt;&gt;""),'Moderator Analysis'!F:F-FP$2,"")</f>
        <v/>
      </c>
      <c r="FG22" s="39" t="str">
        <f>IF(AND(Include_study?="Yes",Sufficient_data="Yes",Moderator&lt;&gt;""),'Moderator Analysis'!E:E-FP$3,"")</f>
        <v/>
      </c>
      <c r="FH22" s="74" t="str">
        <f>IF(AND(Include_study?="Yes",Sufficient_data="Yes",Moderator&lt;&gt;""),FE:FE*('Moderator Analysis'!F:F-FP$5-FP$4*'Moderator Analysis'!E:E)^2,"")</f>
        <v/>
      </c>
      <c r="FI22" s="128"/>
      <c r="FJ22" s="92" t="str">
        <f t="shared" si="79"/>
        <v/>
      </c>
      <c r="FK22" s="137" t="str">
        <f>IF(AND(Include_study?="Yes",Sufficient_data="Yes",Moderator&lt;&gt;""),'Moderator Analysis'!F:F-'Moderator Analysis'!J$37,"")</f>
        <v/>
      </c>
      <c r="FL22" s="137" t="str">
        <f>IF(AND(Include_study?="Yes",Sufficient_data="Yes",Moderator&lt;&gt;""),'Moderator Analysis'!E:E-SUMPRODUCT('Moderator Analysis'!E:E,FJ:FJ)/SUM(FJ:FJ),"")</f>
        <v/>
      </c>
      <c r="FM22" s="95" t="str">
        <f>IF(AND(Include_study?="Yes",Sufficient_data="Yes",Moderator&lt;&gt;""),FJ:FJ*('Moderator Analysis'!F:F-'Moderator Analysis'!J$29-'Moderator Analysis'!J$30*'Moderator Analysis'!E:E)^2,"")</f>
        <v/>
      </c>
      <c r="FN22" s="21"/>
      <c r="FR22" s="196"/>
      <c r="FS22" s="182"/>
      <c r="FT2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2" s="39" t="str">
        <f>IF(AND(Include_study?="Yes",Sufficient_data="Yes"),1/('Publication Bias Analysis'!F:F^2+IF(Additional_model="Fixed effect",0,Calculations!GH$12)),"")</f>
        <v/>
      </c>
      <c r="FV22" s="39" t="str">
        <f>IF(AND(Include_study?="Yes",Sufficient_data="Yes"),1/('Publication Bias Analysis'!F:F^2+IF(Additional_model="Fixed effect",0,'Publication Bias Analysis'!L$32)),"")</f>
        <v/>
      </c>
      <c r="FW22" s="39" t="str">
        <f>IF(AND(Include_study?="Yes",Sufficient_data="Yes"),'Publication Bias Analysis'!E:E-'Publication Bias Analysis'!I$37,"")</f>
        <v/>
      </c>
      <c r="FX22" s="39" t="str">
        <f>IF(AND(Include_study?="Yes",Sufficient_data="Yes"),IF(Additional_model="Fixed effect",1/'Publication Bias Analysis'!F:F,1/SQRT('Publication Bias Analysis'!F:F^2+GH$12)),"")</f>
        <v/>
      </c>
      <c r="FY2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2" s="136" t="str">
        <f t="shared" si="80"/>
        <v/>
      </c>
      <c r="GA22" s="144" t="str">
        <f>IF(AND(Include_study?="Yes",Sufficient_data="Yes"),FZ:FZ+IF(GL:GL&lt;0,-1,1)*COUNTIF(FZ$2:FZ21,FZ:FZ),"")</f>
        <v/>
      </c>
      <c r="GB22" s="144" t="str">
        <f>IF(AND(Include_study?="Yes",Sufficient_data="Yes"),RANK(GP:GP,GP:GP,1)*IF(GO:GO&lt;0,-1,1)+IF(GO:GO&lt;0,-1,1)*COUNTIF(FZ$2:FZ21,FZ:FZ),"")</f>
        <v/>
      </c>
      <c r="GC22" s="144" t="str">
        <f>IF(AND(Include_study?="Yes",Sufficient_data="Yes"),RANK(GS:GS,GS:GS,1)*IF(GR:GR&lt;0,-1,1)+IF(GR:GR&lt;0,-1,1)*COUNTIF(FZ$2:FZ21,FZ:FZ),"")</f>
        <v/>
      </c>
      <c r="GD22" s="39" t="e">
        <f>IF(AND(Include_study?="Yes",Sufficient_data="Yes"),'Publication Bias Analysis'!E22,NA())</f>
        <v>#N/A</v>
      </c>
      <c r="GE22" s="74" t="e">
        <f>IF(AND(Include_study?="Yes",Sufficient_data="Yes"),'Publication Bias Analysis'!F22,NA())</f>
        <v>#N/A</v>
      </c>
      <c r="GG22" s="47" t="s">
        <v>208</v>
      </c>
      <c r="GH22" s="46">
        <f>IF(AND(Trim_and_fill="On",Additional_valid_options="Yes"),MAX('Publication Bias Analysis'!F:F)*1.2,NA())</f>
        <v>0.85389862228654345</v>
      </c>
      <c r="GK22" s="176"/>
      <c r="GL2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2" s="39" t="str">
        <f t="shared" si="81"/>
        <v/>
      </c>
      <c r="GN2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2" s="39" t="str">
        <f>IF(AND(Include_study?="Yes",Sufficient_data="Yes"),IF('Publication Bias Analysis'!L$38="Left",'Publication Bias Analysis'!E:E-GW$3,GW$3-'Publication Bias Analysis'!E:E),"")</f>
        <v/>
      </c>
      <c r="GP22" s="39" t="str">
        <f t="shared" si="82"/>
        <v/>
      </c>
      <c r="GQ2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2" s="39" t="str">
        <f>IF(AND(Include_study?="Yes",Sufficient_data="Yes"),IF('Publication Bias Analysis'!L$38="Left",'Publication Bias Analysis'!E:E-GW$10,GW$10-'Publication Bias Analysis'!E:E),"")</f>
        <v/>
      </c>
      <c r="GS22" s="39" t="str">
        <f t="shared" si="83"/>
        <v/>
      </c>
      <c r="GT2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Y22" s="89">
        <v>21</v>
      </c>
      <c r="GZ22" s="7" t="str">
        <f>IF(Trim_and_fill="On",IF(GW$21&gt;(COUNT(GZ$2:GZ21)),IF(COUNTIF(GA:GA,-1*(MAX(GA:GA)-GY22+1))=1,"",MAX(GA:GA)-GY22+1),""),"")</f>
        <v/>
      </c>
      <c r="HA22" s="69" t="str">
        <f t="shared" si="84"/>
        <v/>
      </c>
      <c r="HB22" s="69" t="str">
        <f t="shared" si="85"/>
        <v/>
      </c>
      <c r="HC22" s="69" t="str">
        <f t="shared" si="86"/>
        <v/>
      </c>
      <c r="HD22" s="39" t="str">
        <f>IF(GZ22&lt;&gt;"",1/(HB22^2+'Publication Bias Analysis'!L$32),"")</f>
        <v/>
      </c>
      <c r="HE22" s="74" t="str">
        <f>IF(GZ22&lt;&gt;"",HA:HA-'Publication Bias Analysis'!I$37,"")</f>
        <v/>
      </c>
      <c r="HF22" s="45"/>
      <c r="HG22" s="89">
        <v>21</v>
      </c>
      <c r="HH22" s="69" t="e">
        <f t="shared" si="87"/>
        <v>#N/A</v>
      </c>
      <c r="HI22" s="74" t="e">
        <f t="shared" si="88"/>
        <v>#N/A</v>
      </c>
      <c r="HK22" s="176"/>
      <c r="HL22" s="66" t="str">
        <f t="shared" si="89"/>
        <v/>
      </c>
      <c r="HM22" s="74" t="str">
        <f>IF(AND(Include_study?="Yes",Sufficient_data="Yes"),Z_score-('Publication Bias Analysis'!P$3+'Publication Bias Analysis'!P$4*Inverse_standard_error),"")</f>
        <v/>
      </c>
      <c r="HO22" s="176"/>
      <c r="HP22" s="64" t="str">
        <f>IF(AND(Include_study?="Yes",Sufficient_data="Yes"),(GD:GD-SUMPRODUCT(Calculations!FT:FT,'Publication Bias Analysis'!E:E)/SUM(Calculations!FT:FT))/SQRT(Calculations!HQ:HQ),"")</f>
        <v/>
      </c>
      <c r="HQ22" s="64" t="str">
        <f>IF(AND(Include_study?="Yes",Sufficient_data="Yes"),GE:GE^2-1/SUM(Calculations!FT:FT),"")</f>
        <v/>
      </c>
      <c r="HR22" s="7" t="str">
        <f t="shared" si="90"/>
        <v/>
      </c>
      <c r="HS22" s="7" t="str">
        <f t="shared" si="91"/>
        <v/>
      </c>
      <c r="HT22" s="7" t="str">
        <f>IF(AND(Include_study?="Yes",Sufficient_data="Yes"),COUNTIFS(HR$2:HR21,"&lt;"&amp;HR22,HS$2:HS21,"&lt;"&amp;HS22)+COUNTIFS(HR23:HR$201,"&lt;"&amp;HR22,HS23:HS$201,"&lt;"&amp;HS22)+COUNTIFS(HR$2:HR21,"&gt;"&amp;HR22,HS$2:HS21,"&gt;"&amp;HS22)+COUNTIFS(HR23:HR$201,"&gt;"&amp;HR22,HS23:HS$201,"&gt;"&amp;HS22),"")</f>
        <v/>
      </c>
      <c r="HU22" s="104" t="str">
        <f>IF(AND(Include_study?="Yes",Sufficient_data="Yes"),COUNTIFS(HR$2:HR21,"&lt;"&amp;HR22,HS$2:HS21,"&gt;"&amp;HS22)+COUNTIFS(HR23:HR$201,"&lt;"&amp;HR22,HS23:HS$201,"&gt;"&amp;HS22)+COUNTIFS(HR$2:HR21,"&gt;"&amp;HR22,HS$2:HS21,"&lt;"&amp;HS22)+COUNTIFS(HR23:HR$201,"&gt;"&amp;HR22,HS23:HS$201,"&lt;"&amp;HS22),"")</f>
        <v/>
      </c>
      <c r="HW22" s="176"/>
      <c r="IB22" s="176"/>
      <c r="IC22" s="146" t="e">
        <f t="shared" si="92"/>
        <v>#N/A</v>
      </c>
      <c r="ID22" s="137" t="e">
        <f t="shared" si="93"/>
        <v>#N/A</v>
      </c>
      <c r="IE22" s="137" t="str">
        <f t="shared" si="94"/>
        <v/>
      </c>
      <c r="IF22" s="95" t="str">
        <f t="shared" si="95"/>
        <v/>
      </c>
      <c r="IK22" s="176"/>
      <c r="IL22" s="3" t="e">
        <f>IF(AND(Include_study?="Yes",Sufficient_data="Yes"),'Publication Bias Analysis'!AV:AV,NA())</f>
        <v>#N/A</v>
      </c>
      <c r="IM22" s="158" t="e">
        <f>IF(AND(Sufficient_data="Yes",Include_study?="Yes"),'Publication Bias Analysis'!AU:AU,NA())</f>
        <v>#N/A</v>
      </c>
      <c r="IN22" s="62" t="str">
        <f t="shared" si="96"/>
        <v/>
      </c>
      <c r="IO22" s="74" t="str">
        <f>IF(AND(Include_study?="Yes",Sufficient_data="Yes"),Z_score-('Publication Bias Analysis'!AY$30+'Publication Bias Analysis'!AY$31*Inverse_standard_error),"")</f>
        <v/>
      </c>
      <c r="IU22" s="176"/>
      <c r="IV22" s="7" t="str">
        <f>IF('Publication Bias Analysis'!BG:BG&lt;&gt;"",RANK('Publication Bias Analysis'!BG:BG,'Publication Bias Analysis'!BG:BG,1)+COUNTIF('Publication Bias Analysis'!BG$2:BG21,'Publication Bias Analysis'!BG22),"")</f>
        <v/>
      </c>
      <c r="IW22" s="124" t="str">
        <f t="shared" si="97"/>
        <v/>
      </c>
      <c r="IX22" s="125" t="e">
        <f>IF('Publication Bias Analysis'!BF22&lt;&gt;"",'Publication Bias Analysis'!BF22,NA())</f>
        <v>#N/A</v>
      </c>
      <c r="IY22" s="125" t="e">
        <f>IF('Publication Bias Analysis'!BG22&lt;&gt;"",'Publication Bias Analysis'!BG22,NA())</f>
        <v>#N/A</v>
      </c>
      <c r="IZ22" s="62" t="str">
        <f>IF(AND(Include_study?="Yes",Sufficient_data="Yes"),'Publication Bias Analysis'!BF:BF-AVERAGE('Publication Bias Analysis'!BF:BF),"")</f>
        <v/>
      </c>
      <c r="JA22" s="74" t="str">
        <f>IF(AND(Include_study?="Yes",Sufficient_data="Yes"),'Publication Bias Analysis'!BG:BG-('Publication Bias Analysis'!BJ$30+'Publication Bias Analysis'!BJ$31*'Publication Bias Analysis'!BF:BF),"")</f>
        <v/>
      </c>
      <c r="JG22" s="176"/>
      <c r="JH22" s="39" t="str">
        <f t="shared" si="98"/>
        <v/>
      </c>
      <c r="JI22" s="148" t="str">
        <f t="shared" si="124"/>
        <v/>
      </c>
      <c r="JJ22" s="74" t="str">
        <f t="shared" si="125"/>
        <v/>
      </c>
    </row>
    <row r="23" spans="1:270" ht="12" customHeight="1" x14ac:dyDescent="0.2">
      <c r="A23" s="2" t="str">
        <f t="shared" si="0"/>
        <v/>
      </c>
      <c r="B23" s="7" t="str">
        <f>IF(AND(Include_study?="Yes",Sufficient_data="Yes"),IF(Input!a_&lt;&gt;"",Input!a_,Input!n1_-Input!b_),"")</f>
        <v/>
      </c>
      <c r="C23" s="7" t="str">
        <f>IF(AND(Include_study?="Yes",Sufficient_data="Yes"),IF(Input!b_&lt;&gt;"",Input!b_,Input!n1_-Input!a_),"")</f>
        <v/>
      </c>
      <c r="D23" s="7" t="str">
        <f>IF(AND(Include_study?="Yes",Sufficient_data="Yes"),IF(Input!c_&lt;&gt;"",Input!c_,Input!n2_-Input!d_),"")</f>
        <v/>
      </c>
      <c r="E23" s="7" t="str">
        <f>IF(AND(Include_study?="Yes",Sufficient_data="Yes"),IF(Input!d_&lt;&gt;"",Input!d_,Input!n2_-Input!c_),"")</f>
        <v/>
      </c>
      <c r="F23" s="74" t="str">
        <f t="shared" si="1"/>
        <v/>
      </c>
      <c r="H23" s="196"/>
      <c r="I23" s="182"/>
      <c r="J23" s="146" t="str">
        <f t="shared" si="2"/>
        <v/>
      </c>
      <c r="K23" s="39" t="str">
        <f t="shared" si="3"/>
        <v/>
      </c>
      <c r="L23" s="39" t="str">
        <f t="shared" si="4"/>
        <v/>
      </c>
      <c r="M23" s="39" t="str">
        <f t="shared" si="5"/>
        <v/>
      </c>
      <c r="N23" s="74" t="str">
        <f t="shared" si="6"/>
        <v/>
      </c>
      <c r="P23" s="176"/>
      <c r="Q23" s="130" t="str">
        <f t="shared" si="7"/>
        <v/>
      </c>
      <c r="R23" s="39" t="str">
        <f t="shared" si="8"/>
        <v/>
      </c>
      <c r="S23" s="39" t="str">
        <f t="shared" si="9"/>
        <v/>
      </c>
      <c r="T23" s="74" t="str">
        <f t="shared" si="10"/>
        <v/>
      </c>
      <c r="V23" s="176"/>
      <c r="W23" s="130" t="str">
        <f t="shared" si="11"/>
        <v/>
      </c>
      <c r="X23" s="39" t="str">
        <f t="shared" si="12"/>
        <v/>
      </c>
      <c r="Y23" s="39" t="str">
        <f t="shared" si="13"/>
        <v/>
      </c>
      <c r="Z23" s="74" t="str">
        <f t="shared" si="14"/>
        <v/>
      </c>
      <c r="AB23" s="176"/>
      <c r="AC23" s="130" t="str">
        <f t="shared" si="15"/>
        <v/>
      </c>
      <c r="AD23" s="39" t="str">
        <f t="shared" si="16"/>
        <v/>
      </c>
      <c r="AE23" s="39" t="str">
        <f t="shared" si="17"/>
        <v/>
      </c>
      <c r="AF23" s="39" t="str">
        <f t="shared" si="18"/>
        <v/>
      </c>
      <c r="AG23" s="74" t="str">
        <f t="shared" si="19"/>
        <v/>
      </c>
      <c r="AI23" s="196"/>
      <c r="AJ2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3" s="136" t="str">
        <f>IF(AJ23&lt;&gt;"",IF(AJ23=0,COUNTIF(AJ$2:AJ22,0)+1,COUNTIF(AJ$2:AJ22,AJ23)+AJ23+COUNTIF(AJ:AJ,0)),"")</f>
        <v/>
      </c>
      <c r="AL23" s="136" t="str">
        <f t="shared" si="20"/>
        <v/>
      </c>
      <c r="AM23" s="155" t="str">
        <f>IF(AND(Include_study?="Yes",Sufficient_data="Yes",Input!Study_name&lt;&gt;""),Input!Study_name,"")</f>
        <v/>
      </c>
      <c r="AN23" s="136" t="str">
        <f t="shared" si="21"/>
        <v/>
      </c>
      <c r="AO23" s="19" t="str">
        <f t="shared" si="22"/>
        <v/>
      </c>
      <c r="AP23" s="158" t="str">
        <f t="shared" si="23"/>
        <v/>
      </c>
      <c r="AQ23" s="158" t="str">
        <f t="shared" si="24"/>
        <v/>
      </c>
      <c r="AR23" s="39" t="str">
        <f t="shared" si="25"/>
        <v/>
      </c>
      <c r="AS23" s="158" t="str">
        <f t="shared" si="26"/>
        <v/>
      </c>
      <c r="AT23" s="39" t="str">
        <f t="shared" si="27"/>
        <v/>
      </c>
      <c r="AU23" s="172" t="str">
        <f t="shared" si="28"/>
        <v/>
      </c>
      <c r="AW23" s="84" t="e">
        <f t="shared" si="29"/>
        <v>#N/A</v>
      </c>
      <c r="AX23" s="3" t="e">
        <f t="shared" si="30"/>
        <v>#N/A</v>
      </c>
      <c r="AY23" s="74" t="e">
        <f t="shared" si="31"/>
        <v>#N/A</v>
      </c>
      <c r="BD23" s="196"/>
      <c r="BE23" s="182"/>
      <c r="BF23" s="3" t="str">
        <f t="shared" si="32"/>
        <v/>
      </c>
      <c r="BG23" s="3" t="str">
        <f t="shared" si="33"/>
        <v/>
      </c>
      <c r="BH23" s="3" t="str">
        <f t="shared" si="34"/>
        <v/>
      </c>
      <c r="BI23" s="39" t="str">
        <f t="shared" si="99"/>
        <v/>
      </c>
      <c r="BJ23" s="95" t="str">
        <f t="shared" si="35"/>
        <v/>
      </c>
      <c r="BL23" s="21"/>
      <c r="BO23" s="176"/>
      <c r="BP23" s="158" t="str">
        <f t="shared" si="36"/>
        <v/>
      </c>
      <c r="BQ23" s="158" t="str">
        <f t="shared" si="37"/>
        <v/>
      </c>
      <c r="BR23" s="158" t="str">
        <f t="shared" si="38"/>
        <v/>
      </c>
      <c r="BS23" s="158" t="str">
        <f>IF(AND(Sufficient_data="Yes",Include_study?="Yes"),IF(Add_0_5="Yes",(a_+d_+1)*(ab_+0.5)*(c_+0.5)/(Number_of_subjects+2)^2,(a_+d_)*b_*c_/Number_of_subjects^2),"")</f>
        <v/>
      </c>
      <c r="BT23" s="158" t="str">
        <f t="shared" si="39"/>
        <v/>
      </c>
      <c r="BU23" s="158" t="str">
        <f t="shared" si="40"/>
        <v/>
      </c>
      <c r="BV23" s="158" t="str">
        <f t="shared" si="41"/>
        <v/>
      </c>
      <c r="BW23" s="3" t="str">
        <f t="shared" si="42"/>
        <v/>
      </c>
      <c r="BX23" s="137" t="str">
        <f t="shared" si="43"/>
        <v/>
      </c>
      <c r="BY23" s="95" t="str">
        <f t="shared" si="44"/>
        <v/>
      </c>
      <c r="CD23" s="176"/>
      <c r="CE23" s="130" t="str">
        <f t="shared" si="45"/>
        <v/>
      </c>
      <c r="CF23" s="39" t="str">
        <f t="shared" si="46"/>
        <v/>
      </c>
      <c r="CG23" s="39" t="str">
        <f t="shared" si="47"/>
        <v/>
      </c>
      <c r="CH23" s="39" t="str">
        <f t="shared" si="48"/>
        <v/>
      </c>
      <c r="CI23" s="39" t="str">
        <f t="shared" si="49"/>
        <v/>
      </c>
      <c r="CJ23" s="39" t="str">
        <f t="shared" si="50"/>
        <v/>
      </c>
      <c r="CK23" s="95" t="str">
        <f t="shared" si="51"/>
        <v/>
      </c>
      <c r="CP23" s="176"/>
      <c r="CQ23" s="99" t="str">
        <f t="shared" si="52"/>
        <v/>
      </c>
      <c r="CS23" s="2" t="s">
        <v>45</v>
      </c>
      <c r="CT23" s="3">
        <f>IF(Weighting_method="Inverse variance",IF(Model_effect_size_measure="Risk Difference",PICES_LL,IF(OR(Model_effect_size_measure="Odds Ratio",Model_effect_size_measure="Risk Ratio"),CT19-((lnCES_IV-PIlnCES_LL)/SElnCES)*CT20,"")),"")</f>
        <v>-9.9232923751447905E-3</v>
      </c>
      <c r="CU23" s="3">
        <f>IF(Model_effect_size_measure="Odds Ratio",CU19-((lnCES_OddsRatio_MH-PIlnCES_LL_MH)/SElnCES_MH)*CU20,"")</f>
        <v>-1.349656769060445E-2</v>
      </c>
      <c r="CV23" s="3" t="str">
        <f>IF(Model_effect_size_measure="Peto Odds Ratio",CV19-((lnCES_PetoOddsRatio-PIlnCES_LL_Peto)/SElnCES_Peto)*CV20,"")</f>
        <v/>
      </c>
      <c r="CX23" s="196"/>
      <c r="CY23" s="89" t="e">
        <f t="shared" si="53"/>
        <v>#N/A</v>
      </c>
      <c r="CZ23" s="136" t="str">
        <f t="shared" si="54"/>
        <v/>
      </c>
      <c r="DA23" s="140" t="str">
        <f t="shared" si="55"/>
        <v/>
      </c>
      <c r="DB23" s="39" t="str">
        <f t="shared" si="56"/>
        <v/>
      </c>
      <c r="DC23" s="39" t="str">
        <f t="shared" si="57"/>
        <v/>
      </c>
      <c r="DD23" s="39" t="str">
        <f t="shared" si="58"/>
        <v/>
      </c>
      <c r="DE23" s="39" t="str">
        <f t="shared" si="59"/>
        <v/>
      </c>
      <c r="DF23" s="141" t="str">
        <f t="shared" si="60"/>
        <v/>
      </c>
      <c r="DG23" s="39" t="str">
        <f t="shared" si="61"/>
        <v/>
      </c>
      <c r="DH23" s="39" t="str">
        <f t="shared" si="62"/>
        <v/>
      </c>
      <c r="DI23" s="39" t="str">
        <f t="shared" si="63"/>
        <v/>
      </c>
      <c r="DJ23" s="74" t="str">
        <f t="shared" si="64"/>
        <v/>
      </c>
      <c r="DL23" s="84" t="e">
        <f t="shared" si="65"/>
        <v>#N/A</v>
      </c>
      <c r="DM23" s="39" t="e">
        <f t="shared" si="100"/>
        <v>#N/A</v>
      </c>
      <c r="DN23" s="74" t="e">
        <f t="shared" si="101"/>
        <v>#N/A</v>
      </c>
      <c r="DP23" s="89" t="str">
        <f t="shared" si="102"/>
        <v/>
      </c>
      <c r="DQ23" s="26" t="str">
        <f>IF(AND(Sufficient_data="Yes",Subgroup&lt;&gt;""),IF(COUNTIFS(Input!J$2:J22,"="&amp;"Yes",Input!C$2:C22,"="&amp;"Yes",Input!K$2:K22,"="&amp;Subgroup)&gt;0,"",Subgroup),"")</f>
        <v/>
      </c>
      <c r="DR23" s="7" t="str">
        <f t="shared" si="103"/>
        <v/>
      </c>
      <c r="DS23" s="7" t="str">
        <f t="shared" si="66"/>
        <v/>
      </c>
      <c r="DT23" s="19" t="str">
        <f t="shared" si="67"/>
        <v/>
      </c>
      <c r="DU23" s="12" t="str">
        <f t="shared" si="104"/>
        <v/>
      </c>
      <c r="DV23" s="11" t="str">
        <f t="shared" si="105"/>
        <v/>
      </c>
      <c r="DW23" s="12" t="str">
        <f t="shared" si="68"/>
        <v/>
      </c>
      <c r="DX23" s="19" t="str">
        <f t="shared" si="69"/>
        <v/>
      </c>
      <c r="DY23" s="19" t="str">
        <f t="shared" si="106"/>
        <v/>
      </c>
      <c r="DZ23" s="19" t="str">
        <f t="shared" si="70"/>
        <v/>
      </c>
      <c r="EA23" s="19" t="str">
        <f t="shared" si="71"/>
        <v/>
      </c>
      <c r="EB23" s="7" t="str">
        <f t="shared" si="72"/>
        <v/>
      </c>
      <c r="EC23" s="19" t="str">
        <f t="shared" si="107"/>
        <v/>
      </c>
      <c r="ED23" s="19" t="str">
        <f t="shared" si="108"/>
        <v/>
      </c>
      <c r="EE23" s="19" t="str">
        <f t="shared" si="109"/>
        <v/>
      </c>
      <c r="EF23" s="19" t="str">
        <f t="shared" si="110"/>
        <v/>
      </c>
      <c r="EG23" s="19" t="str">
        <f t="shared" si="111"/>
        <v/>
      </c>
      <c r="EH23" s="19" t="str">
        <f t="shared" si="112"/>
        <v/>
      </c>
      <c r="EI23" s="19" t="str">
        <f t="shared" si="113"/>
        <v/>
      </c>
      <c r="EJ23" s="19" t="str">
        <f t="shared" si="114"/>
        <v/>
      </c>
      <c r="EK23" s="19" t="str">
        <f t="shared" si="73"/>
        <v/>
      </c>
      <c r="EL23" s="19" t="str">
        <f t="shared" si="115"/>
        <v/>
      </c>
      <c r="EM23" s="19" t="str">
        <f t="shared" si="116"/>
        <v/>
      </c>
      <c r="EN23" s="19" t="str">
        <f t="shared" si="117"/>
        <v/>
      </c>
      <c r="EO23" s="19" t="str">
        <f t="shared" si="118"/>
        <v/>
      </c>
      <c r="EP23" s="19" t="str">
        <f t="shared" si="74"/>
        <v/>
      </c>
      <c r="EQ23" s="19" t="e">
        <f t="shared" si="119"/>
        <v>#N/A</v>
      </c>
      <c r="ER23" s="11" t="str">
        <f t="shared" si="120"/>
        <v/>
      </c>
      <c r="ES23" s="19" t="str">
        <f t="shared" si="121"/>
        <v/>
      </c>
      <c r="ET23" s="156" t="str">
        <f t="shared" si="122"/>
        <v/>
      </c>
      <c r="EU23" s="39" t="str">
        <f t="shared" si="75"/>
        <v/>
      </c>
      <c r="EV23" s="74" t="str">
        <f t="shared" si="76"/>
        <v/>
      </c>
      <c r="EX23" s="178" t="s">
        <v>125</v>
      </c>
      <c r="EY23" s="178"/>
      <c r="FA23" s="196"/>
      <c r="FB23" s="84" t="e">
        <f>IF(AND(Include_study?="Yes",Sufficient_data="Yes",Moderator&lt;&gt;""),'Moderator Analysis'!E23,NA())</f>
        <v>#N/A</v>
      </c>
      <c r="FC23" s="39" t="e">
        <f>IF(AND(Include_study?="Yes",Sufficient_data="Yes",Moderator&lt;&gt;""),'Moderator Analysis'!F23,NA())</f>
        <v>#N/A</v>
      </c>
      <c r="FD23" s="39" t="str">
        <f t="shared" si="77"/>
        <v/>
      </c>
      <c r="FE23" s="39" t="str">
        <f t="shared" si="78"/>
        <v/>
      </c>
      <c r="FF23" s="39" t="str">
        <f>IF(AND(Include_study?="Yes",Sufficient_data="Yes",Moderator&lt;&gt;""),'Moderator Analysis'!F:F-FP$2,"")</f>
        <v/>
      </c>
      <c r="FG23" s="39" t="str">
        <f>IF(AND(Include_study?="Yes",Sufficient_data="Yes",Moderator&lt;&gt;""),'Moderator Analysis'!E:E-FP$3,"")</f>
        <v/>
      </c>
      <c r="FH23" s="74" t="str">
        <f>IF(AND(Include_study?="Yes",Sufficient_data="Yes",Moderator&lt;&gt;""),FE:FE*('Moderator Analysis'!F:F-FP$5-FP$4*'Moderator Analysis'!E:E)^2,"")</f>
        <v/>
      </c>
      <c r="FI23" s="128"/>
      <c r="FJ23" s="92" t="str">
        <f t="shared" si="79"/>
        <v/>
      </c>
      <c r="FK23" s="137" t="str">
        <f>IF(AND(Include_study?="Yes",Sufficient_data="Yes",Moderator&lt;&gt;""),'Moderator Analysis'!F:F-'Moderator Analysis'!J$37,"")</f>
        <v/>
      </c>
      <c r="FL23" s="137" t="str">
        <f>IF(AND(Include_study?="Yes",Sufficient_data="Yes",Moderator&lt;&gt;""),'Moderator Analysis'!E:E-SUMPRODUCT('Moderator Analysis'!E:E,FJ:FJ)/SUM(FJ:FJ),"")</f>
        <v/>
      </c>
      <c r="FM23" s="95" t="str">
        <f>IF(AND(Include_study?="Yes",Sufficient_data="Yes",Moderator&lt;&gt;""),FJ:FJ*('Moderator Analysis'!F:F-'Moderator Analysis'!J$29-'Moderator Analysis'!J$30*'Moderator Analysis'!E:E)^2,"")</f>
        <v/>
      </c>
      <c r="FN23" s="21"/>
      <c r="FR23" s="196"/>
      <c r="FS23" s="182"/>
      <c r="FT2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3" s="39" t="str">
        <f>IF(AND(Include_study?="Yes",Sufficient_data="Yes"),1/('Publication Bias Analysis'!F:F^2+IF(Additional_model="Fixed effect",0,Calculations!GH$12)),"")</f>
        <v/>
      </c>
      <c r="FV23" s="39" t="str">
        <f>IF(AND(Include_study?="Yes",Sufficient_data="Yes"),1/('Publication Bias Analysis'!F:F^2+IF(Additional_model="Fixed effect",0,'Publication Bias Analysis'!L$32)),"")</f>
        <v/>
      </c>
      <c r="FW23" s="39" t="str">
        <f>IF(AND(Include_study?="Yes",Sufficient_data="Yes"),'Publication Bias Analysis'!E:E-'Publication Bias Analysis'!I$37,"")</f>
        <v/>
      </c>
      <c r="FX23" s="39" t="str">
        <f>IF(AND(Include_study?="Yes",Sufficient_data="Yes"),IF(Additional_model="Fixed effect",1/'Publication Bias Analysis'!F:F,1/SQRT('Publication Bias Analysis'!F:F^2+GH$12)),"")</f>
        <v/>
      </c>
      <c r="FY2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3" s="136" t="str">
        <f t="shared" si="80"/>
        <v/>
      </c>
      <c r="GA23" s="144" t="str">
        <f>IF(AND(Include_study?="Yes",Sufficient_data="Yes"),FZ:FZ+IF(GL:GL&lt;0,-1,1)*COUNTIF(FZ$2:FZ22,FZ:FZ),"")</f>
        <v/>
      </c>
      <c r="GB23" s="144" t="str">
        <f>IF(AND(Include_study?="Yes",Sufficient_data="Yes"),RANK(GP:GP,GP:GP,1)*IF(GO:GO&lt;0,-1,1)+IF(GO:GO&lt;0,-1,1)*COUNTIF(FZ$2:FZ22,FZ:FZ),"")</f>
        <v/>
      </c>
      <c r="GC23" s="144" t="str">
        <f>IF(AND(Include_study?="Yes",Sufficient_data="Yes"),RANK(GS:GS,GS:GS,1)*IF(GR:GR&lt;0,-1,1)+IF(GR:GR&lt;0,-1,1)*COUNTIF(FZ$2:FZ22,FZ:FZ),"")</f>
        <v/>
      </c>
      <c r="GD23" s="39" t="e">
        <f>IF(AND(Include_study?="Yes",Sufficient_data="Yes"),'Publication Bias Analysis'!E23,NA())</f>
        <v>#N/A</v>
      </c>
      <c r="GE23" s="74" t="e">
        <f>IF(AND(Include_study?="Yes",Sufficient_data="Yes"),'Publication Bias Analysis'!F23,NA())</f>
        <v>#N/A</v>
      </c>
      <c r="GK23" s="176"/>
      <c r="GL2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3" s="39" t="str">
        <f t="shared" si="81"/>
        <v/>
      </c>
      <c r="GN2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3" s="39" t="str">
        <f>IF(AND(Include_study?="Yes",Sufficient_data="Yes"),IF('Publication Bias Analysis'!L$38="Left",'Publication Bias Analysis'!E:E-GW$3,GW$3-'Publication Bias Analysis'!E:E),"")</f>
        <v/>
      </c>
      <c r="GP23" s="39" t="str">
        <f t="shared" si="82"/>
        <v/>
      </c>
      <c r="GQ2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3" s="39" t="str">
        <f>IF(AND(Include_study?="Yes",Sufficient_data="Yes"),IF('Publication Bias Analysis'!L$38="Left",'Publication Bias Analysis'!E:E-GW$10,GW$10-'Publication Bias Analysis'!E:E),"")</f>
        <v/>
      </c>
      <c r="GS23" s="39" t="str">
        <f t="shared" si="83"/>
        <v/>
      </c>
      <c r="GT2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3"/>
      <c r="GW23"/>
      <c r="GY23" s="89">
        <v>22</v>
      </c>
      <c r="GZ23" s="7" t="str">
        <f>IF(Trim_and_fill="On",IF(GW$21&gt;(COUNT(GZ$2:GZ22)),IF(COUNTIF(GA:GA,-1*(MAX(GA:GA)-GY23+1))=1,"",MAX(GA:GA)-GY23+1),""),"")</f>
        <v/>
      </c>
      <c r="HA23" s="69" t="str">
        <f t="shared" si="84"/>
        <v/>
      </c>
      <c r="HB23" s="69" t="str">
        <f t="shared" si="85"/>
        <v/>
      </c>
      <c r="HC23" s="69" t="str">
        <f t="shared" si="86"/>
        <v/>
      </c>
      <c r="HD23" s="39" t="str">
        <f>IF(GZ23&lt;&gt;"",1/(HB23^2+'Publication Bias Analysis'!L$32),"")</f>
        <v/>
      </c>
      <c r="HE23" s="74" t="str">
        <f>IF(GZ23&lt;&gt;"",HA:HA-'Publication Bias Analysis'!I$37,"")</f>
        <v/>
      </c>
      <c r="HF23" s="45"/>
      <c r="HG23" s="89">
        <v>22</v>
      </c>
      <c r="HH23" s="69" t="e">
        <f t="shared" si="87"/>
        <v>#N/A</v>
      </c>
      <c r="HI23" s="74" t="e">
        <f t="shared" si="88"/>
        <v>#N/A</v>
      </c>
      <c r="HK23" s="176"/>
      <c r="HL23" s="66" t="str">
        <f t="shared" si="89"/>
        <v/>
      </c>
      <c r="HM23" s="74" t="str">
        <f>IF(AND(Include_study?="Yes",Sufficient_data="Yes"),Z_score-('Publication Bias Analysis'!P$3+'Publication Bias Analysis'!P$4*Inverse_standard_error),"")</f>
        <v/>
      </c>
      <c r="HO23" s="176"/>
      <c r="HP23" s="64" t="str">
        <f>IF(AND(Include_study?="Yes",Sufficient_data="Yes"),(GD:GD-SUMPRODUCT(Calculations!FT:FT,'Publication Bias Analysis'!E:E)/SUM(Calculations!FT:FT))/SQRT(Calculations!HQ:HQ),"")</f>
        <v/>
      </c>
      <c r="HQ23" s="64" t="str">
        <f>IF(AND(Include_study?="Yes",Sufficient_data="Yes"),GE:GE^2-1/SUM(Calculations!FT:FT),"")</f>
        <v/>
      </c>
      <c r="HR23" s="7" t="str">
        <f t="shared" si="90"/>
        <v/>
      </c>
      <c r="HS23" s="7" t="str">
        <f t="shared" si="91"/>
        <v/>
      </c>
      <c r="HT23" s="7" t="str">
        <f>IF(AND(Include_study?="Yes",Sufficient_data="Yes"),COUNTIFS(HR$2:HR22,"&lt;"&amp;HR23,HS$2:HS22,"&lt;"&amp;HS23)+COUNTIFS(HR24:HR$201,"&lt;"&amp;HR23,HS24:HS$201,"&lt;"&amp;HS23)+COUNTIFS(HR$2:HR22,"&gt;"&amp;HR23,HS$2:HS22,"&gt;"&amp;HS23)+COUNTIFS(HR24:HR$201,"&gt;"&amp;HR23,HS24:HS$201,"&gt;"&amp;HS23),"")</f>
        <v/>
      </c>
      <c r="HU23" s="104" t="str">
        <f>IF(AND(Include_study?="Yes",Sufficient_data="Yes"),COUNTIFS(HR$2:HR22,"&lt;"&amp;HR23,HS$2:HS22,"&gt;"&amp;HS23)+COUNTIFS(HR24:HR$201,"&lt;"&amp;HR23,HS24:HS$201,"&gt;"&amp;HS23)+COUNTIFS(HR$2:HR22,"&gt;"&amp;HR23,HS$2:HS22,"&lt;"&amp;HS23)+COUNTIFS(HR24:HR$201,"&gt;"&amp;HR23,HS24:HS$201,"&lt;"&amp;HS23),"")</f>
        <v/>
      </c>
      <c r="HW23" s="176"/>
      <c r="IB23" s="176"/>
      <c r="IC23" s="146" t="e">
        <f t="shared" si="92"/>
        <v>#N/A</v>
      </c>
      <c r="ID23" s="137" t="e">
        <f t="shared" si="93"/>
        <v>#N/A</v>
      </c>
      <c r="IE23" s="137" t="str">
        <f t="shared" si="94"/>
        <v/>
      </c>
      <c r="IF23" s="95" t="str">
        <f t="shared" si="95"/>
        <v/>
      </c>
      <c r="IK23" s="176"/>
      <c r="IL23" s="3" t="e">
        <f>IF(AND(Include_study?="Yes",Sufficient_data="Yes"),'Publication Bias Analysis'!AV:AV,NA())</f>
        <v>#N/A</v>
      </c>
      <c r="IM23" s="158" t="e">
        <f>IF(AND(Sufficient_data="Yes",Include_study?="Yes"),'Publication Bias Analysis'!AU:AU,NA())</f>
        <v>#N/A</v>
      </c>
      <c r="IN23" s="62" t="str">
        <f t="shared" si="96"/>
        <v/>
      </c>
      <c r="IO23" s="74" t="str">
        <f>IF(AND(Include_study?="Yes",Sufficient_data="Yes"),Z_score-('Publication Bias Analysis'!AY$30+'Publication Bias Analysis'!AY$31*Inverse_standard_error),"")</f>
        <v/>
      </c>
      <c r="IU23" s="176"/>
      <c r="IV23" s="7" t="str">
        <f>IF('Publication Bias Analysis'!BG:BG&lt;&gt;"",RANK('Publication Bias Analysis'!BG:BG,'Publication Bias Analysis'!BG:BG,1)+COUNTIF('Publication Bias Analysis'!BG$2:BG22,'Publication Bias Analysis'!BG23),"")</f>
        <v/>
      </c>
      <c r="IW23" s="124" t="str">
        <f t="shared" si="97"/>
        <v/>
      </c>
      <c r="IX23" s="125" t="e">
        <f>IF('Publication Bias Analysis'!BF23&lt;&gt;"",'Publication Bias Analysis'!BF23,NA())</f>
        <v>#N/A</v>
      </c>
      <c r="IY23" s="125" t="e">
        <f>IF('Publication Bias Analysis'!BG23&lt;&gt;"",'Publication Bias Analysis'!BG23,NA())</f>
        <v>#N/A</v>
      </c>
      <c r="IZ23" s="62" t="str">
        <f>IF(AND(Include_study?="Yes",Sufficient_data="Yes"),'Publication Bias Analysis'!BF:BF-AVERAGE('Publication Bias Analysis'!BF:BF),"")</f>
        <v/>
      </c>
      <c r="JA23" s="74" t="str">
        <f>IF(AND(Include_study?="Yes",Sufficient_data="Yes"),'Publication Bias Analysis'!BG:BG-('Publication Bias Analysis'!BJ$30+'Publication Bias Analysis'!BJ$31*'Publication Bias Analysis'!BF:BF),"")</f>
        <v/>
      </c>
      <c r="JG23" s="176"/>
      <c r="JH23" s="39" t="str">
        <f t="shared" si="98"/>
        <v/>
      </c>
      <c r="JI23" s="148" t="str">
        <f t="shared" si="124"/>
        <v/>
      </c>
      <c r="JJ23" s="74" t="str">
        <f t="shared" si="125"/>
        <v/>
      </c>
    </row>
    <row r="24" spans="1:270" ht="12" customHeight="1" x14ac:dyDescent="0.2">
      <c r="A24" s="2" t="str">
        <f t="shared" si="0"/>
        <v/>
      </c>
      <c r="B24" s="7" t="str">
        <f>IF(AND(Include_study?="Yes",Sufficient_data="Yes"),IF(Input!a_&lt;&gt;"",Input!a_,Input!n1_-Input!b_),"")</f>
        <v/>
      </c>
      <c r="C24" s="7" t="str">
        <f>IF(AND(Include_study?="Yes",Sufficient_data="Yes"),IF(Input!b_&lt;&gt;"",Input!b_,Input!n1_-Input!a_),"")</f>
        <v/>
      </c>
      <c r="D24" s="7" t="str">
        <f>IF(AND(Include_study?="Yes",Sufficient_data="Yes"),IF(Input!c_&lt;&gt;"",Input!c_,Input!n2_-Input!d_),"")</f>
        <v/>
      </c>
      <c r="E24" s="7" t="str">
        <f>IF(AND(Include_study?="Yes",Sufficient_data="Yes"),IF(Input!d_&lt;&gt;"",Input!d_,Input!n2_-Input!c_),"")</f>
        <v/>
      </c>
      <c r="F24" s="74" t="str">
        <f t="shared" si="1"/>
        <v/>
      </c>
      <c r="H24" s="196"/>
      <c r="I24" s="182"/>
      <c r="J24" s="146" t="str">
        <f t="shared" si="2"/>
        <v/>
      </c>
      <c r="K24" s="39" t="str">
        <f t="shared" si="3"/>
        <v/>
      </c>
      <c r="L24" s="39" t="str">
        <f t="shared" si="4"/>
        <v/>
      </c>
      <c r="M24" s="39" t="str">
        <f t="shared" si="5"/>
        <v/>
      </c>
      <c r="N24" s="74" t="str">
        <f t="shared" si="6"/>
        <v/>
      </c>
      <c r="P24" s="176"/>
      <c r="Q24" s="130" t="str">
        <f t="shared" si="7"/>
        <v/>
      </c>
      <c r="R24" s="39" t="str">
        <f t="shared" si="8"/>
        <v/>
      </c>
      <c r="S24" s="39" t="str">
        <f t="shared" si="9"/>
        <v/>
      </c>
      <c r="T24" s="74" t="str">
        <f t="shared" si="10"/>
        <v/>
      </c>
      <c r="V24" s="176"/>
      <c r="W24" s="130" t="str">
        <f t="shared" si="11"/>
        <v/>
      </c>
      <c r="X24" s="39" t="str">
        <f t="shared" si="12"/>
        <v/>
      </c>
      <c r="Y24" s="39" t="str">
        <f t="shared" si="13"/>
        <v/>
      </c>
      <c r="Z24" s="74" t="str">
        <f t="shared" si="14"/>
        <v/>
      </c>
      <c r="AB24" s="176"/>
      <c r="AC24" s="130" t="str">
        <f t="shared" si="15"/>
        <v/>
      </c>
      <c r="AD24" s="39" t="str">
        <f t="shared" si="16"/>
        <v/>
      </c>
      <c r="AE24" s="39" t="str">
        <f t="shared" si="17"/>
        <v/>
      </c>
      <c r="AF24" s="39" t="str">
        <f t="shared" si="18"/>
        <v/>
      </c>
      <c r="AG24" s="74" t="str">
        <f t="shared" si="19"/>
        <v/>
      </c>
      <c r="AI24" s="196"/>
      <c r="AJ2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4" s="136" t="str">
        <f>IF(AJ24&lt;&gt;"",IF(AJ24=0,COUNTIF(AJ$2:AJ23,0)+1,COUNTIF(AJ$2:AJ23,AJ24)+AJ24+COUNTIF(AJ:AJ,0)),"")</f>
        <v/>
      </c>
      <c r="AL24" s="136" t="str">
        <f t="shared" si="20"/>
        <v/>
      </c>
      <c r="AM24" s="155" t="str">
        <f>IF(AND(Include_study?="Yes",Sufficient_data="Yes",Input!Study_name&lt;&gt;""),Input!Study_name,"")</f>
        <v/>
      </c>
      <c r="AN24" s="136" t="str">
        <f t="shared" si="21"/>
        <v/>
      </c>
      <c r="AO24" s="19" t="str">
        <f t="shared" si="22"/>
        <v/>
      </c>
      <c r="AP24" s="158" t="str">
        <f t="shared" si="23"/>
        <v/>
      </c>
      <c r="AQ24" s="158" t="str">
        <f t="shared" si="24"/>
        <v/>
      </c>
      <c r="AR24" s="39" t="str">
        <f t="shared" si="25"/>
        <v/>
      </c>
      <c r="AS24" s="158" t="str">
        <f t="shared" si="26"/>
        <v/>
      </c>
      <c r="AT24" s="39" t="str">
        <f t="shared" si="27"/>
        <v/>
      </c>
      <c r="AU24" s="172" t="str">
        <f t="shared" si="28"/>
        <v/>
      </c>
      <c r="AW24" s="84" t="e">
        <f t="shared" si="29"/>
        <v>#N/A</v>
      </c>
      <c r="AX24" s="3" t="e">
        <f t="shared" si="30"/>
        <v>#N/A</v>
      </c>
      <c r="AY24" s="74" t="e">
        <f t="shared" si="31"/>
        <v>#N/A</v>
      </c>
      <c r="BD24" s="196"/>
      <c r="BE24" s="182"/>
      <c r="BF24" s="3" t="str">
        <f t="shared" si="32"/>
        <v/>
      </c>
      <c r="BG24" s="3" t="str">
        <f t="shared" si="33"/>
        <v/>
      </c>
      <c r="BH24" s="3" t="str">
        <f t="shared" si="34"/>
        <v/>
      </c>
      <c r="BI24" s="39" t="str">
        <f t="shared" si="99"/>
        <v/>
      </c>
      <c r="BJ24" s="95" t="str">
        <f t="shared" si="35"/>
        <v/>
      </c>
      <c r="BL24" s="22"/>
      <c r="BO24" s="176"/>
      <c r="BP24" s="158" t="str">
        <f t="shared" si="36"/>
        <v/>
      </c>
      <c r="BQ24" s="158" t="str">
        <f t="shared" si="37"/>
        <v/>
      </c>
      <c r="BR24" s="158" t="str">
        <f t="shared" si="38"/>
        <v/>
      </c>
      <c r="BS24" s="158" t="str">
        <f>IF(AND(Sufficient_data="Yes",Include_study?="Yes"),IF(Add_0_5="Yes",(a_+d_+1)*(ab_+0.5)*(c_+0.5)/(Number_of_subjects+2)^2,(a_+d_)*b_*c_/Number_of_subjects^2),"")</f>
        <v/>
      </c>
      <c r="BT24" s="158" t="str">
        <f t="shared" si="39"/>
        <v/>
      </c>
      <c r="BU24" s="158" t="str">
        <f t="shared" si="40"/>
        <v/>
      </c>
      <c r="BV24" s="158" t="str">
        <f t="shared" si="41"/>
        <v/>
      </c>
      <c r="BW24" s="3" t="str">
        <f t="shared" si="42"/>
        <v/>
      </c>
      <c r="BX24" s="137" t="str">
        <f t="shared" si="43"/>
        <v/>
      </c>
      <c r="BY24" s="95" t="str">
        <f t="shared" si="44"/>
        <v/>
      </c>
      <c r="CD24" s="176"/>
      <c r="CE24" s="130" t="str">
        <f t="shared" si="45"/>
        <v/>
      </c>
      <c r="CF24" s="39" t="str">
        <f t="shared" si="46"/>
        <v/>
      </c>
      <c r="CG24" s="39" t="str">
        <f t="shared" si="47"/>
        <v/>
      </c>
      <c r="CH24" s="39" t="str">
        <f t="shared" si="48"/>
        <v/>
      </c>
      <c r="CI24" s="39" t="str">
        <f t="shared" si="49"/>
        <v/>
      </c>
      <c r="CJ24" s="39" t="str">
        <f t="shared" si="50"/>
        <v/>
      </c>
      <c r="CK24" s="95" t="str">
        <f t="shared" si="51"/>
        <v/>
      </c>
      <c r="CP24" s="176"/>
      <c r="CQ24" s="99" t="str">
        <f t="shared" si="52"/>
        <v/>
      </c>
      <c r="CS24" s="2" t="s">
        <v>46</v>
      </c>
      <c r="CT24" s="3">
        <f>IF(Weighting_method="Inverse variance",IF(Model_effect_size_measure="Risk Difference",PICES_UL,IF(OR(Model_effect_size_measure="Odds Ratio",Model_effect_size_measure="Risk Ratio"),CT19+((lnCES_IV-PIlnCES_LL)/SElnCES)*CT20,"")),"")</f>
        <v>0.13409711432605376</v>
      </c>
      <c r="CU24" s="3">
        <f>IF(Model_effect_size_measure="Odds Ratio",CU19+((lnCES_OddsRatio_MH-PIlnCES_LL_MH)/SElnCES_MH)*CU20,"")</f>
        <v>0.13764817576423535</v>
      </c>
      <c r="CV24" s="3" t="str">
        <f>IF(Model_effect_size_measure="Peto Odds Ratio",CV19+((lnCES_PetoOddsRatio-PIlnCES_LL_Peto)/SElnCES_Peto)*CV20,"")</f>
        <v/>
      </c>
      <c r="CW24" s="6"/>
      <c r="CX24" s="196"/>
      <c r="CY24" s="89" t="e">
        <f t="shared" si="53"/>
        <v>#N/A</v>
      </c>
      <c r="CZ24" s="136" t="str">
        <f t="shared" si="54"/>
        <v/>
      </c>
      <c r="DA24" s="140" t="str">
        <f t="shared" si="55"/>
        <v/>
      </c>
      <c r="DB24" s="39" t="str">
        <f t="shared" si="56"/>
        <v/>
      </c>
      <c r="DC24" s="39" t="str">
        <f t="shared" si="57"/>
        <v/>
      </c>
      <c r="DD24" s="39" t="str">
        <f t="shared" si="58"/>
        <v/>
      </c>
      <c r="DE24" s="39" t="str">
        <f t="shared" si="59"/>
        <v/>
      </c>
      <c r="DF24" s="141" t="str">
        <f t="shared" si="60"/>
        <v/>
      </c>
      <c r="DG24" s="39" t="str">
        <f t="shared" si="61"/>
        <v/>
      </c>
      <c r="DH24" s="39" t="str">
        <f t="shared" si="62"/>
        <v/>
      </c>
      <c r="DI24" s="39" t="str">
        <f t="shared" si="63"/>
        <v/>
      </c>
      <c r="DJ24" s="74" t="str">
        <f t="shared" si="64"/>
        <v/>
      </c>
      <c r="DL24" s="84" t="e">
        <f t="shared" si="65"/>
        <v>#N/A</v>
      </c>
      <c r="DM24" s="39" t="e">
        <f t="shared" si="100"/>
        <v>#N/A</v>
      </c>
      <c r="DN24" s="74" t="e">
        <f t="shared" si="101"/>
        <v>#N/A</v>
      </c>
      <c r="DP24" s="89" t="str">
        <f t="shared" si="102"/>
        <v/>
      </c>
      <c r="DQ24" s="26" t="str">
        <f>IF(AND(Sufficient_data="Yes",Subgroup&lt;&gt;""),IF(COUNTIFS(Input!J$2:J23,"="&amp;"Yes",Input!C$2:C23,"="&amp;"Yes",Input!K$2:K23,"="&amp;Subgroup)&gt;0,"",Subgroup),"")</f>
        <v/>
      </c>
      <c r="DR24" s="7" t="str">
        <f t="shared" si="103"/>
        <v/>
      </c>
      <c r="DS24" s="7" t="str">
        <f t="shared" si="66"/>
        <v/>
      </c>
      <c r="DT24" s="19" t="str">
        <f t="shared" si="67"/>
        <v/>
      </c>
      <c r="DU24" s="12" t="str">
        <f t="shared" si="104"/>
        <v/>
      </c>
      <c r="DV24" s="11" t="str">
        <f t="shared" si="105"/>
        <v/>
      </c>
      <c r="DW24" s="12" t="str">
        <f t="shared" si="68"/>
        <v/>
      </c>
      <c r="DX24" s="19" t="str">
        <f t="shared" si="69"/>
        <v/>
      </c>
      <c r="DY24" s="19" t="str">
        <f t="shared" si="106"/>
        <v/>
      </c>
      <c r="DZ24" s="19" t="str">
        <f t="shared" si="70"/>
        <v/>
      </c>
      <c r="EA24" s="19" t="str">
        <f t="shared" si="71"/>
        <v/>
      </c>
      <c r="EB24" s="7" t="str">
        <f t="shared" si="72"/>
        <v/>
      </c>
      <c r="EC24" s="19" t="str">
        <f t="shared" si="107"/>
        <v/>
      </c>
      <c r="ED24" s="19" t="str">
        <f t="shared" si="108"/>
        <v/>
      </c>
      <c r="EE24" s="19" t="str">
        <f t="shared" si="109"/>
        <v/>
      </c>
      <c r="EF24" s="19" t="str">
        <f t="shared" si="110"/>
        <v/>
      </c>
      <c r="EG24" s="19" t="str">
        <f t="shared" si="111"/>
        <v/>
      </c>
      <c r="EH24" s="19" t="str">
        <f t="shared" si="112"/>
        <v/>
      </c>
      <c r="EI24" s="19" t="str">
        <f t="shared" si="113"/>
        <v/>
      </c>
      <c r="EJ24" s="19" t="str">
        <f t="shared" si="114"/>
        <v/>
      </c>
      <c r="EK24" s="19" t="str">
        <f t="shared" si="73"/>
        <v/>
      </c>
      <c r="EL24" s="19" t="str">
        <f t="shared" si="115"/>
        <v/>
      </c>
      <c r="EM24" s="19" t="str">
        <f t="shared" si="116"/>
        <v/>
      </c>
      <c r="EN24" s="19" t="str">
        <f t="shared" si="117"/>
        <v/>
      </c>
      <c r="EO24" s="19" t="str">
        <f t="shared" si="118"/>
        <v/>
      </c>
      <c r="EP24" s="19" t="str">
        <f t="shared" si="74"/>
        <v/>
      </c>
      <c r="EQ24" s="19" t="e">
        <f t="shared" si="119"/>
        <v>#N/A</v>
      </c>
      <c r="ER24" s="11" t="str">
        <f t="shared" si="120"/>
        <v/>
      </c>
      <c r="ES24" s="19" t="str">
        <f t="shared" si="121"/>
        <v/>
      </c>
      <c r="ET24" s="156" t="str">
        <f t="shared" si="122"/>
        <v/>
      </c>
      <c r="EU24" s="39" t="str">
        <f t="shared" si="75"/>
        <v/>
      </c>
      <c r="EV24" s="74" t="str">
        <f t="shared" si="76"/>
        <v/>
      </c>
      <c r="EX24" s="54" t="s">
        <v>234</v>
      </c>
      <c r="EY24" s="53">
        <f>EY9</f>
        <v>1.5264499646244674</v>
      </c>
      <c r="FA24" s="196"/>
      <c r="FB24" s="84" t="e">
        <f>IF(AND(Include_study?="Yes",Sufficient_data="Yes",Moderator&lt;&gt;""),'Moderator Analysis'!E24,NA())</f>
        <v>#N/A</v>
      </c>
      <c r="FC24" s="39" t="e">
        <f>IF(AND(Include_study?="Yes",Sufficient_data="Yes",Moderator&lt;&gt;""),'Moderator Analysis'!F24,NA())</f>
        <v>#N/A</v>
      </c>
      <c r="FD24" s="39" t="str">
        <f t="shared" si="77"/>
        <v/>
      </c>
      <c r="FE24" s="39" t="str">
        <f t="shared" si="78"/>
        <v/>
      </c>
      <c r="FF24" s="39" t="str">
        <f>IF(AND(Include_study?="Yes",Sufficient_data="Yes",Moderator&lt;&gt;""),'Moderator Analysis'!F:F-FP$2,"")</f>
        <v/>
      </c>
      <c r="FG24" s="39" t="str">
        <f>IF(AND(Include_study?="Yes",Sufficient_data="Yes",Moderator&lt;&gt;""),'Moderator Analysis'!E:E-FP$3,"")</f>
        <v/>
      </c>
      <c r="FH24" s="74" t="str">
        <f>IF(AND(Include_study?="Yes",Sufficient_data="Yes",Moderator&lt;&gt;""),FE:FE*('Moderator Analysis'!F:F-FP$5-FP$4*'Moderator Analysis'!E:E)^2,"")</f>
        <v/>
      </c>
      <c r="FI24" s="128"/>
      <c r="FJ24" s="92" t="str">
        <f t="shared" si="79"/>
        <v/>
      </c>
      <c r="FK24" s="137" t="str">
        <f>IF(AND(Include_study?="Yes",Sufficient_data="Yes",Moderator&lt;&gt;""),'Moderator Analysis'!F:F-'Moderator Analysis'!J$37,"")</f>
        <v/>
      </c>
      <c r="FL24" s="137" t="str">
        <f>IF(AND(Include_study?="Yes",Sufficient_data="Yes",Moderator&lt;&gt;""),'Moderator Analysis'!E:E-SUMPRODUCT('Moderator Analysis'!E:E,FJ:FJ)/SUM(FJ:FJ),"")</f>
        <v/>
      </c>
      <c r="FM24" s="95" t="str">
        <f>IF(AND(Include_study?="Yes",Sufficient_data="Yes",Moderator&lt;&gt;""),FJ:FJ*('Moderator Analysis'!F:F-'Moderator Analysis'!J$29-'Moderator Analysis'!J$30*'Moderator Analysis'!E:E)^2,"")</f>
        <v/>
      </c>
      <c r="FN24" s="21"/>
      <c r="FR24" s="196"/>
      <c r="FS24" s="182"/>
      <c r="FT2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4" s="39" t="str">
        <f>IF(AND(Include_study?="Yes",Sufficient_data="Yes"),1/('Publication Bias Analysis'!F:F^2+IF(Additional_model="Fixed effect",0,Calculations!GH$12)),"")</f>
        <v/>
      </c>
      <c r="FV24" s="39" t="str">
        <f>IF(AND(Include_study?="Yes",Sufficient_data="Yes"),1/('Publication Bias Analysis'!F:F^2+IF(Additional_model="Fixed effect",0,'Publication Bias Analysis'!L$32)),"")</f>
        <v/>
      </c>
      <c r="FW24" s="39" t="str">
        <f>IF(AND(Include_study?="Yes",Sufficient_data="Yes"),'Publication Bias Analysis'!E:E-'Publication Bias Analysis'!I$37,"")</f>
        <v/>
      </c>
      <c r="FX24" s="39" t="str">
        <f>IF(AND(Include_study?="Yes",Sufficient_data="Yes"),IF(Additional_model="Fixed effect",1/'Publication Bias Analysis'!F:F,1/SQRT('Publication Bias Analysis'!F:F^2+GH$12)),"")</f>
        <v/>
      </c>
      <c r="FY2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4" s="136" t="str">
        <f t="shared" si="80"/>
        <v/>
      </c>
      <c r="GA24" s="144" t="str">
        <f>IF(AND(Include_study?="Yes",Sufficient_data="Yes"),FZ:FZ+IF(GL:GL&lt;0,-1,1)*COUNTIF(FZ$2:FZ23,FZ:FZ),"")</f>
        <v/>
      </c>
      <c r="GB24" s="144" t="str">
        <f>IF(AND(Include_study?="Yes",Sufficient_data="Yes"),RANK(GP:GP,GP:GP,1)*IF(GO:GO&lt;0,-1,1)+IF(GO:GO&lt;0,-1,1)*COUNTIF(FZ$2:FZ23,FZ:FZ),"")</f>
        <v/>
      </c>
      <c r="GC24" s="144" t="str">
        <f>IF(AND(Include_study?="Yes",Sufficient_data="Yes"),RANK(GS:GS,GS:GS,1)*IF(GR:GR&lt;0,-1,1)+IF(GR:GR&lt;0,-1,1)*COUNTIF(FZ$2:FZ23,FZ:FZ),"")</f>
        <v/>
      </c>
      <c r="GD24" s="39" t="e">
        <f>IF(AND(Include_study?="Yes",Sufficient_data="Yes"),'Publication Bias Analysis'!E24,NA())</f>
        <v>#N/A</v>
      </c>
      <c r="GE24" s="74" t="e">
        <f>IF(AND(Include_study?="Yes",Sufficient_data="Yes"),'Publication Bias Analysis'!F24,NA())</f>
        <v>#N/A</v>
      </c>
      <c r="GK24" s="176"/>
      <c r="GL2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4" s="39" t="str">
        <f t="shared" si="81"/>
        <v/>
      </c>
      <c r="GN2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4" s="39" t="str">
        <f>IF(AND(Include_study?="Yes",Sufficient_data="Yes"),IF('Publication Bias Analysis'!L$38="Left",'Publication Bias Analysis'!E:E-GW$3,GW$3-'Publication Bias Analysis'!E:E),"")</f>
        <v/>
      </c>
      <c r="GP24" s="39" t="str">
        <f t="shared" si="82"/>
        <v/>
      </c>
      <c r="GQ2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4" s="39" t="str">
        <f>IF(AND(Include_study?="Yes",Sufficient_data="Yes"),IF('Publication Bias Analysis'!L$38="Left",'Publication Bias Analysis'!E:E-GW$10,GW$10-'Publication Bias Analysis'!E:E),"")</f>
        <v/>
      </c>
      <c r="GS24" s="39" t="str">
        <f t="shared" si="83"/>
        <v/>
      </c>
      <c r="GT2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4"/>
      <c r="GW24"/>
      <c r="GY24" s="89">
        <v>23</v>
      </c>
      <c r="GZ24" s="7" t="str">
        <f>IF(Trim_and_fill="On",IF(GW$21&gt;(COUNT(GZ$2:GZ23)),IF(COUNTIF(GA:GA,-1*(MAX(GA:GA)-GY24+1))=1,"",MAX(GA:GA)-GY24+1),""),"")</f>
        <v/>
      </c>
      <c r="HA24" s="69" t="str">
        <f t="shared" si="84"/>
        <v/>
      </c>
      <c r="HB24" s="69" t="str">
        <f t="shared" si="85"/>
        <v/>
      </c>
      <c r="HC24" s="69" t="str">
        <f t="shared" si="86"/>
        <v/>
      </c>
      <c r="HD24" s="39" t="str">
        <f>IF(GZ24&lt;&gt;"",1/(HB24^2+'Publication Bias Analysis'!L$32),"")</f>
        <v/>
      </c>
      <c r="HE24" s="74" t="str">
        <f>IF(GZ24&lt;&gt;"",HA:HA-'Publication Bias Analysis'!I$37,"")</f>
        <v/>
      </c>
      <c r="HF24" s="45"/>
      <c r="HG24" s="89">
        <v>23</v>
      </c>
      <c r="HH24" s="69" t="e">
        <f t="shared" si="87"/>
        <v>#N/A</v>
      </c>
      <c r="HI24" s="74" t="e">
        <f t="shared" si="88"/>
        <v>#N/A</v>
      </c>
      <c r="HK24" s="176"/>
      <c r="HL24" s="66" t="str">
        <f t="shared" si="89"/>
        <v/>
      </c>
      <c r="HM24" s="74" t="str">
        <f>IF(AND(Include_study?="Yes",Sufficient_data="Yes"),Z_score-('Publication Bias Analysis'!P$3+'Publication Bias Analysis'!P$4*Inverse_standard_error),"")</f>
        <v/>
      </c>
      <c r="HO24" s="176"/>
      <c r="HP24" s="64" t="str">
        <f>IF(AND(Include_study?="Yes",Sufficient_data="Yes"),(GD:GD-SUMPRODUCT(Calculations!FT:FT,'Publication Bias Analysis'!E:E)/SUM(Calculations!FT:FT))/SQRT(Calculations!HQ:HQ),"")</f>
        <v/>
      </c>
      <c r="HQ24" s="64" t="str">
        <f>IF(AND(Include_study?="Yes",Sufficient_data="Yes"),GE:GE^2-1/SUM(Calculations!FT:FT),"")</f>
        <v/>
      </c>
      <c r="HR24" s="7" t="str">
        <f t="shared" si="90"/>
        <v/>
      </c>
      <c r="HS24" s="7" t="str">
        <f t="shared" si="91"/>
        <v/>
      </c>
      <c r="HT24" s="7" t="str">
        <f>IF(AND(Include_study?="Yes",Sufficient_data="Yes"),COUNTIFS(HR$2:HR23,"&lt;"&amp;HR24,HS$2:HS23,"&lt;"&amp;HS24)+COUNTIFS(HR25:HR$201,"&lt;"&amp;HR24,HS25:HS$201,"&lt;"&amp;HS24)+COUNTIFS(HR$2:HR23,"&gt;"&amp;HR24,HS$2:HS23,"&gt;"&amp;HS24)+COUNTIFS(HR25:HR$201,"&gt;"&amp;HR24,HS25:HS$201,"&gt;"&amp;HS24),"")</f>
        <v/>
      </c>
      <c r="HU24" s="104" t="str">
        <f>IF(AND(Include_study?="Yes",Sufficient_data="Yes"),COUNTIFS(HR$2:HR23,"&lt;"&amp;HR24,HS$2:HS23,"&gt;"&amp;HS24)+COUNTIFS(HR25:HR$201,"&lt;"&amp;HR24,HS25:HS$201,"&gt;"&amp;HS24)+COUNTIFS(HR$2:HR23,"&gt;"&amp;HR24,HS$2:HS23,"&lt;"&amp;HS24)+COUNTIFS(HR25:HR$201,"&gt;"&amp;HR24,HS25:HS$201,"&lt;"&amp;HS24),"")</f>
        <v/>
      </c>
      <c r="HW24" s="176"/>
      <c r="IB24" s="176"/>
      <c r="IC24" s="146" t="e">
        <f t="shared" si="92"/>
        <v>#N/A</v>
      </c>
      <c r="ID24" s="137" t="e">
        <f t="shared" si="93"/>
        <v>#N/A</v>
      </c>
      <c r="IE24" s="137" t="str">
        <f t="shared" si="94"/>
        <v/>
      </c>
      <c r="IF24" s="95" t="str">
        <f t="shared" si="95"/>
        <v/>
      </c>
      <c r="IK24" s="176"/>
      <c r="IL24" s="3" t="e">
        <f>IF(AND(Include_study?="Yes",Sufficient_data="Yes"),'Publication Bias Analysis'!AV:AV,NA())</f>
        <v>#N/A</v>
      </c>
      <c r="IM24" s="158" t="e">
        <f>IF(AND(Sufficient_data="Yes",Include_study?="Yes"),'Publication Bias Analysis'!AU:AU,NA())</f>
        <v>#N/A</v>
      </c>
      <c r="IN24" s="62" t="str">
        <f t="shared" si="96"/>
        <v/>
      </c>
      <c r="IO24" s="74" t="str">
        <f>IF(AND(Include_study?="Yes",Sufficient_data="Yes"),Z_score-('Publication Bias Analysis'!AY$30+'Publication Bias Analysis'!AY$31*Inverse_standard_error),"")</f>
        <v/>
      </c>
      <c r="IU24" s="176"/>
      <c r="IV24" s="7" t="str">
        <f>IF('Publication Bias Analysis'!BG:BG&lt;&gt;"",RANK('Publication Bias Analysis'!BG:BG,'Publication Bias Analysis'!BG:BG,1)+COUNTIF('Publication Bias Analysis'!BG$2:BG23,'Publication Bias Analysis'!BG24),"")</f>
        <v/>
      </c>
      <c r="IW24" s="124" t="str">
        <f t="shared" si="97"/>
        <v/>
      </c>
      <c r="IX24" s="125" t="e">
        <f>IF('Publication Bias Analysis'!BF24&lt;&gt;"",'Publication Bias Analysis'!BF24,NA())</f>
        <v>#N/A</v>
      </c>
      <c r="IY24" s="125" t="e">
        <f>IF('Publication Bias Analysis'!BG24&lt;&gt;"",'Publication Bias Analysis'!BG24,NA())</f>
        <v>#N/A</v>
      </c>
      <c r="IZ24" s="62" t="str">
        <f>IF(AND(Include_study?="Yes",Sufficient_data="Yes"),'Publication Bias Analysis'!BF:BF-AVERAGE('Publication Bias Analysis'!BF:BF),"")</f>
        <v/>
      </c>
      <c r="JA24" s="74" t="str">
        <f>IF(AND(Include_study?="Yes",Sufficient_data="Yes"),'Publication Bias Analysis'!BG:BG-('Publication Bias Analysis'!BJ$30+'Publication Bias Analysis'!BJ$31*'Publication Bias Analysis'!BF:BF),"")</f>
        <v/>
      </c>
      <c r="JG24" s="176"/>
      <c r="JH24" s="39" t="str">
        <f t="shared" si="98"/>
        <v/>
      </c>
      <c r="JI24" s="148" t="str">
        <f t="shared" si="124"/>
        <v/>
      </c>
      <c r="JJ24" s="74" t="str">
        <f t="shared" si="125"/>
        <v/>
      </c>
    </row>
    <row r="25" spans="1:270" x14ac:dyDescent="0.2">
      <c r="A25" s="2" t="str">
        <f t="shared" si="0"/>
        <v/>
      </c>
      <c r="B25" s="7" t="str">
        <f>IF(AND(Include_study?="Yes",Sufficient_data="Yes"),IF(Input!a_&lt;&gt;"",Input!a_,Input!n1_-Input!b_),"")</f>
        <v/>
      </c>
      <c r="C25" s="7" t="str">
        <f>IF(AND(Include_study?="Yes",Sufficient_data="Yes"),IF(Input!b_&lt;&gt;"",Input!b_,Input!n1_-Input!a_),"")</f>
        <v/>
      </c>
      <c r="D25" s="7" t="str">
        <f>IF(AND(Include_study?="Yes",Sufficient_data="Yes"),IF(Input!c_&lt;&gt;"",Input!c_,Input!n2_-Input!d_),"")</f>
        <v/>
      </c>
      <c r="E25" s="7" t="str">
        <f>IF(AND(Include_study?="Yes",Sufficient_data="Yes"),IF(Input!d_&lt;&gt;"",Input!d_,Input!n2_-Input!c_),"")</f>
        <v/>
      </c>
      <c r="F25" s="74" t="str">
        <f t="shared" si="1"/>
        <v/>
      </c>
      <c r="H25" s="196"/>
      <c r="I25" s="182"/>
      <c r="J25" s="146" t="str">
        <f t="shared" si="2"/>
        <v/>
      </c>
      <c r="K25" s="39" t="str">
        <f t="shared" si="3"/>
        <v/>
      </c>
      <c r="L25" s="39" t="str">
        <f t="shared" si="4"/>
        <v/>
      </c>
      <c r="M25" s="39" t="str">
        <f t="shared" si="5"/>
        <v/>
      </c>
      <c r="N25" s="74" t="str">
        <f t="shared" si="6"/>
        <v/>
      </c>
      <c r="P25" s="176"/>
      <c r="Q25" s="130" t="str">
        <f t="shared" si="7"/>
        <v/>
      </c>
      <c r="R25" s="39" t="str">
        <f t="shared" si="8"/>
        <v/>
      </c>
      <c r="S25" s="39" t="str">
        <f t="shared" si="9"/>
        <v/>
      </c>
      <c r="T25" s="74" t="str">
        <f t="shared" si="10"/>
        <v/>
      </c>
      <c r="V25" s="176"/>
      <c r="W25" s="130" t="str">
        <f t="shared" si="11"/>
        <v/>
      </c>
      <c r="X25" s="39" t="str">
        <f t="shared" si="12"/>
        <v/>
      </c>
      <c r="Y25" s="39" t="str">
        <f t="shared" si="13"/>
        <v/>
      </c>
      <c r="Z25" s="74" t="str">
        <f t="shared" si="14"/>
        <v/>
      </c>
      <c r="AB25" s="176"/>
      <c r="AC25" s="130" t="str">
        <f t="shared" si="15"/>
        <v/>
      </c>
      <c r="AD25" s="39" t="str">
        <f t="shared" si="16"/>
        <v/>
      </c>
      <c r="AE25" s="39" t="str">
        <f t="shared" si="17"/>
        <v/>
      </c>
      <c r="AF25" s="39" t="str">
        <f t="shared" si="18"/>
        <v/>
      </c>
      <c r="AG25" s="74" t="str">
        <f t="shared" si="19"/>
        <v/>
      </c>
      <c r="AI25" s="196"/>
      <c r="AJ2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5" s="136" t="str">
        <f>IF(AJ25&lt;&gt;"",IF(AJ25=0,COUNTIF(AJ$2:AJ24,0)+1,COUNTIF(AJ$2:AJ24,AJ25)+AJ25+COUNTIF(AJ:AJ,0)),"")</f>
        <v/>
      </c>
      <c r="AL25" s="136" t="str">
        <f t="shared" si="20"/>
        <v/>
      </c>
      <c r="AM25" s="155" t="str">
        <f>IF(AND(Include_study?="Yes",Sufficient_data="Yes",Input!Study_name&lt;&gt;""),Input!Study_name,"")</f>
        <v/>
      </c>
      <c r="AN25" s="136" t="str">
        <f t="shared" si="21"/>
        <v/>
      </c>
      <c r="AO25" s="19" t="str">
        <f t="shared" si="22"/>
        <v/>
      </c>
      <c r="AP25" s="158" t="str">
        <f t="shared" si="23"/>
        <v/>
      </c>
      <c r="AQ25" s="158" t="str">
        <f t="shared" si="24"/>
        <v/>
      </c>
      <c r="AR25" s="39" t="str">
        <f t="shared" si="25"/>
        <v/>
      </c>
      <c r="AS25" s="158" t="str">
        <f t="shared" si="26"/>
        <v/>
      </c>
      <c r="AT25" s="39" t="str">
        <f t="shared" si="27"/>
        <v/>
      </c>
      <c r="AU25" s="172" t="str">
        <f t="shared" si="28"/>
        <v/>
      </c>
      <c r="AW25" s="84" t="e">
        <f t="shared" si="29"/>
        <v>#N/A</v>
      </c>
      <c r="AX25" s="3" t="e">
        <f t="shared" si="30"/>
        <v>#N/A</v>
      </c>
      <c r="AY25" s="74" t="e">
        <f t="shared" si="31"/>
        <v>#N/A</v>
      </c>
      <c r="BD25" s="196"/>
      <c r="BE25" s="182"/>
      <c r="BF25" s="3" t="str">
        <f t="shared" si="32"/>
        <v/>
      </c>
      <c r="BG25" s="3" t="str">
        <f t="shared" si="33"/>
        <v/>
      </c>
      <c r="BH25" s="3" t="str">
        <f t="shared" si="34"/>
        <v/>
      </c>
      <c r="BI25" s="39" t="str">
        <f t="shared" si="99"/>
        <v/>
      </c>
      <c r="BJ25" s="95" t="str">
        <f t="shared" si="35"/>
        <v/>
      </c>
      <c r="BL25" s="22"/>
      <c r="BO25" s="176"/>
      <c r="BP25" s="158" t="str">
        <f t="shared" si="36"/>
        <v/>
      </c>
      <c r="BQ25" s="158" t="str">
        <f t="shared" si="37"/>
        <v/>
      </c>
      <c r="BR25" s="158" t="str">
        <f t="shared" si="38"/>
        <v/>
      </c>
      <c r="BS25" s="158" t="str">
        <f>IF(AND(Sufficient_data="Yes",Include_study?="Yes"),IF(Add_0_5="Yes",(a_+d_+1)*(ab_+0.5)*(c_+0.5)/(Number_of_subjects+2)^2,(a_+d_)*b_*c_/Number_of_subjects^2),"")</f>
        <v/>
      </c>
      <c r="BT25" s="158" t="str">
        <f t="shared" si="39"/>
        <v/>
      </c>
      <c r="BU25" s="158" t="str">
        <f t="shared" si="40"/>
        <v/>
      </c>
      <c r="BV25" s="158" t="str">
        <f t="shared" si="41"/>
        <v/>
      </c>
      <c r="BW25" s="3" t="str">
        <f t="shared" si="42"/>
        <v/>
      </c>
      <c r="BX25" s="137" t="str">
        <f t="shared" si="43"/>
        <v/>
      </c>
      <c r="BY25" s="95" t="str">
        <f t="shared" si="44"/>
        <v/>
      </c>
      <c r="CD25" s="176"/>
      <c r="CE25" s="130" t="str">
        <f t="shared" si="45"/>
        <v/>
      </c>
      <c r="CF25" s="39" t="str">
        <f t="shared" si="46"/>
        <v/>
      </c>
      <c r="CG25" s="39" t="str">
        <f t="shared" si="47"/>
        <v/>
      </c>
      <c r="CH25" s="39" t="str">
        <f t="shared" si="48"/>
        <v/>
      </c>
      <c r="CI25" s="39" t="str">
        <f t="shared" si="49"/>
        <v/>
      </c>
      <c r="CJ25" s="39" t="str">
        <f t="shared" si="50"/>
        <v/>
      </c>
      <c r="CK25" s="95" t="str">
        <f t="shared" si="51"/>
        <v/>
      </c>
      <c r="CP25" s="176"/>
      <c r="CQ25" s="99" t="str">
        <f t="shared" si="52"/>
        <v/>
      </c>
      <c r="CX25" s="196"/>
      <c r="CY25" s="89" t="e">
        <f t="shared" si="53"/>
        <v>#N/A</v>
      </c>
      <c r="CZ25" s="136" t="str">
        <f t="shared" si="54"/>
        <v/>
      </c>
      <c r="DA25" s="140" t="str">
        <f t="shared" si="55"/>
        <v/>
      </c>
      <c r="DB25" s="39" t="str">
        <f t="shared" si="56"/>
        <v/>
      </c>
      <c r="DC25" s="39" t="str">
        <f t="shared" si="57"/>
        <v/>
      </c>
      <c r="DD25" s="39" t="str">
        <f t="shared" si="58"/>
        <v/>
      </c>
      <c r="DE25" s="39" t="str">
        <f t="shared" si="59"/>
        <v/>
      </c>
      <c r="DF25" s="141" t="str">
        <f t="shared" si="60"/>
        <v/>
      </c>
      <c r="DG25" s="39" t="str">
        <f t="shared" si="61"/>
        <v/>
      </c>
      <c r="DH25" s="39" t="str">
        <f t="shared" si="62"/>
        <v/>
      </c>
      <c r="DI25" s="39" t="str">
        <f t="shared" si="63"/>
        <v/>
      </c>
      <c r="DJ25" s="74" t="str">
        <f t="shared" si="64"/>
        <v/>
      </c>
      <c r="DL25" s="84" t="e">
        <f t="shared" si="65"/>
        <v>#N/A</v>
      </c>
      <c r="DM25" s="39" t="e">
        <f t="shared" si="100"/>
        <v>#N/A</v>
      </c>
      <c r="DN25" s="74" t="e">
        <f t="shared" si="101"/>
        <v>#N/A</v>
      </c>
      <c r="DP25" s="89" t="str">
        <f t="shared" si="102"/>
        <v/>
      </c>
      <c r="DQ25" s="26" t="str">
        <f>IF(AND(Sufficient_data="Yes",Subgroup&lt;&gt;""),IF(COUNTIFS(Input!J$2:J24,"="&amp;"Yes",Input!C$2:C24,"="&amp;"Yes",Input!K$2:K24,"="&amp;Subgroup)&gt;0,"",Subgroup),"")</f>
        <v/>
      </c>
      <c r="DR25" s="7" t="str">
        <f t="shared" si="103"/>
        <v/>
      </c>
      <c r="DS25" s="7" t="str">
        <f t="shared" si="66"/>
        <v/>
      </c>
      <c r="DT25" s="19" t="str">
        <f t="shared" si="67"/>
        <v/>
      </c>
      <c r="DU25" s="12" t="str">
        <f t="shared" si="104"/>
        <v/>
      </c>
      <c r="DV25" s="11" t="str">
        <f t="shared" si="105"/>
        <v/>
      </c>
      <c r="DW25" s="12" t="str">
        <f t="shared" si="68"/>
        <v/>
      </c>
      <c r="DX25" s="19" t="str">
        <f t="shared" si="69"/>
        <v/>
      </c>
      <c r="DY25" s="19" t="str">
        <f t="shared" si="106"/>
        <v/>
      </c>
      <c r="DZ25" s="19" t="str">
        <f t="shared" si="70"/>
        <v/>
      </c>
      <c r="EA25" s="19" t="str">
        <f t="shared" si="71"/>
        <v/>
      </c>
      <c r="EB25" s="7" t="str">
        <f t="shared" si="72"/>
        <v/>
      </c>
      <c r="EC25" s="19" t="str">
        <f t="shared" si="107"/>
        <v/>
      </c>
      <c r="ED25" s="19" t="str">
        <f t="shared" si="108"/>
        <v/>
      </c>
      <c r="EE25" s="19" t="str">
        <f t="shared" si="109"/>
        <v/>
      </c>
      <c r="EF25" s="19" t="str">
        <f t="shared" si="110"/>
        <v/>
      </c>
      <c r="EG25" s="19" t="str">
        <f t="shared" si="111"/>
        <v/>
      </c>
      <c r="EH25" s="19" t="str">
        <f t="shared" si="112"/>
        <v/>
      </c>
      <c r="EI25" s="19" t="str">
        <f t="shared" si="113"/>
        <v/>
      </c>
      <c r="EJ25" s="19" t="str">
        <f t="shared" si="114"/>
        <v/>
      </c>
      <c r="EK25" s="19" t="str">
        <f t="shared" si="73"/>
        <v/>
      </c>
      <c r="EL25" s="19" t="str">
        <f t="shared" si="115"/>
        <v/>
      </c>
      <c r="EM25" s="19" t="str">
        <f t="shared" si="116"/>
        <v/>
      </c>
      <c r="EN25" s="19" t="str">
        <f t="shared" si="117"/>
        <v/>
      </c>
      <c r="EO25" s="19" t="str">
        <f t="shared" si="118"/>
        <v/>
      </c>
      <c r="EP25" s="19" t="str">
        <f t="shared" si="74"/>
        <v/>
      </c>
      <c r="EQ25" s="19" t="e">
        <f t="shared" si="119"/>
        <v>#N/A</v>
      </c>
      <c r="ER25" s="11" t="str">
        <f t="shared" si="120"/>
        <v/>
      </c>
      <c r="ES25" s="19" t="str">
        <f t="shared" si="121"/>
        <v/>
      </c>
      <c r="ET25" s="156" t="str">
        <f t="shared" si="122"/>
        <v/>
      </c>
      <c r="EU25" s="39" t="str">
        <f t="shared" si="75"/>
        <v/>
      </c>
      <c r="EV25" s="74" t="str">
        <f t="shared" si="76"/>
        <v/>
      </c>
      <c r="EX25" s="56" t="s">
        <v>126</v>
      </c>
      <c r="EY25" s="7">
        <f>IF(Subgroup_valid_options="Yes",MAX(DP:DP)+1,"")</f>
        <v>15</v>
      </c>
      <c r="FA25" s="196"/>
      <c r="FB25" s="84" t="e">
        <f>IF(AND(Include_study?="Yes",Sufficient_data="Yes",Moderator&lt;&gt;""),'Moderator Analysis'!E25,NA())</f>
        <v>#N/A</v>
      </c>
      <c r="FC25" s="39" t="e">
        <f>IF(AND(Include_study?="Yes",Sufficient_data="Yes",Moderator&lt;&gt;""),'Moderator Analysis'!F25,NA())</f>
        <v>#N/A</v>
      </c>
      <c r="FD25" s="39" t="str">
        <f t="shared" si="77"/>
        <v/>
      </c>
      <c r="FE25" s="39" t="str">
        <f t="shared" si="78"/>
        <v/>
      </c>
      <c r="FF25" s="39" t="str">
        <f>IF(AND(Include_study?="Yes",Sufficient_data="Yes",Moderator&lt;&gt;""),'Moderator Analysis'!F:F-FP$2,"")</f>
        <v/>
      </c>
      <c r="FG25" s="39" t="str">
        <f>IF(AND(Include_study?="Yes",Sufficient_data="Yes",Moderator&lt;&gt;""),'Moderator Analysis'!E:E-FP$3,"")</f>
        <v/>
      </c>
      <c r="FH25" s="74" t="str">
        <f>IF(AND(Include_study?="Yes",Sufficient_data="Yes",Moderator&lt;&gt;""),FE:FE*('Moderator Analysis'!F:F-FP$5-FP$4*'Moderator Analysis'!E:E)^2,"")</f>
        <v/>
      </c>
      <c r="FI25" s="128"/>
      <c r="FJ25" s="92" t="str">
        <f t="shared" si="79"/>
        <v/>
      </c>
      <c r="FK25" s="137" t="str">
        <f>IF(AND(Include_study?="Yes",Sufficient_data="Yes",Moderator&lt;&gt;""),'Moderator Analysis'!F:F-'Moderator Analysis'!J$37,"")</f>
        <v/>
      </c>
      <c r="FL25" s="137" t="str">
        <f>IF(AND(Include_study?="Yes",Sufficient_data="Yes",Moderator&lt;&gt;""),'Moderator Analysis'!E:E-SUMPRODUCT('Moderator Analysis'!E:E,FJ:FJ)/SUM(FJ:FJ),"")</f>
        <v/>
      </c>
      <c r="FM25" s="95" t="str">
        <f>IF(AND(Include_study?="Yes",Sufficient_data="Yes",Moderator&lt;&gt;""),FJ:FJ*('Moderator Analysis'!F:F-'Moderator Analysis'!J$29-'Moderator Analysis'!J$30*'Moderator Analysis'!E:E)^2,"")</f>
        <v/>
      </c>
      <c r="FN25" s="21"/>
      <c r="FR25" s="196"/>
      <c r="FS25" s="182"/>
      <c r="FT2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5" s="39" t="str">
        <f>IF(AND(Include_study?="Yes",Sufficient_data="Yes"),1/('Publication Bias Analysis'!F:F^2+IF(Additional_model="Fixed effect",0,Calculations!GH$12)),"")</f>
        <v/>
      </c>
      <c r="FV25" s="39" t="str">
        <f>IF(AND(Include_study?="Yes",Sufficient_data="Yes"),1/('Publication Bias Analysis'!F:F^2+IF(Additional_model="Fixed effect",0,'Publication Bias Analysis'!L$32)),"")</f>
        <v/>
      </c>
      <c r="FW25" s="39" t="str">
        <f>IF(AND(Include_study?="Yes",Sufficient_data="Yes"),'Publication Bias Analysis'!E:E-'Publication Bias Analysis'!I$37,"")</f>
        <v/>
      </c>
      <c r="FX25" s="39" t="str">
        <f>IF(AND(Include_study?="Yes",Sufficient_data="Yes"),IF(Additional_model="Fixed effect",1/'Publication Bias Analysis'!F:F,1/SQRT('Publication Bias Analysis'!F:F^2+GH$12)),"")</f>
        <v/>
      </c>
      <c r="FY2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5" s="136" t="str">
        <f t="shared" si="80"/>
        <v/>
      </c>
      <c r="GA25" s="144" t="str">
        <f>IF(AND(Include_study?="Yes",Sufficient_data="Yes"),FZ:FZ+IF(GL:GL&lt;0,-1,1)*COUNTIF(FZ$2:FZ24,FZ:FZ),"")</f>
        <v/>
      </c>
      <c r="GB25" s="144" t="str">
        <f>IF(AND(Include_study?="Yes",Sufficient_data="Yes"),RANK(GP:GP,GP:GP,1)*IF(GO:GO&lt;0,-1,1)+IF(GO:GO&lt;0,-1,1)*COUNTIF(FZ$2:FZ24,FZ:FZ),"")</f>
        <v/>
      </c>
      <c r="GC25" s="144" t="str">
        <f>IF(AND(Include_study?="Yes",Sufficient_data="Yes"),RANK(GS:GS,GS:GS,1)*IF(GR:GR&lt;0,-1,1)+IF(GR:GR&lt;0,-1,1)*COUNTIF(FZ$2:FZ24,FZ:FZ),"")</f>
        <v/>
      </c>
      <c r="GD25" s="39" t="e">
        <f>IF(AND(Include_study?="Yes",Sufficient_data="Yes"),'Publication Bias Analysis'!E25,NA())</f>
        <v>#N/A</v>
      </c>
      <c r="GE25" s="74" t="e">
        <f>IF(AND(Include_study?="Yes",Sufficient_data="Yes"),'Publication Bias Analysis'!F25,NA())</f>
        <v>#N/A</v>
      </c>
      <c r="GK25" s="176"/>
      <c r="GL2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5" s="39" t="str">
        <f t="shared" si="81"/>
        <v/>
      </c>
      <c r="GN2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5" s="39" t="str">
        <f>IF(AND(Include_study?="Yes",Sufficient_data="Yes"),IF('Publication Bias Analysis'!L$38="Left",'Publication Bias Analysis'!E:E-GW$3,GW$3-'Publication Bias Analysis'!E:E),"")</f>
        <v/>
      </c>
      <c r="GP25" s="39" t="str">
        <f t="shared" si="82"/>
        <v/>
      </c>
      <c r="GQ2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5" s="39" t="str">
        <f>IF(AND(Include_study?="Yes",Sufficient_data="Yes"),IF('Publication Bias Analysis'!L$38="Left",'Publication Bias Analysis'!E:E-GW$10,GW$10-'Publication Bias Analysis'!E:E),"")</f>
        <v/>
      </c>
      <c r="GS25" s="39" t="str">
        <f t="shared" si="83"/>
        <v/>
      </c>
      <c r="GT2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5"/>
      <c r="GW25"/>
      <c r="GY25" s="89">
        <v>24</v>
      </c>
      <c r="GZ25" s="7" t="str">
        <f>IF(Trim_and_fill="On",IF(GW$21&gt;(COUNT(GZ$2:GZ24)),IF(COUNTIF(GA:GA,-1*(MAX(GA:GA)-GY25+1))=1,"",MAX(GA:GA)-GY25+1),""),"")</f>
        <v/>
      </c>
      <c r="HA25" s="69" t="str">
        <f t="shared" si="84"/>
        <v/>
      </c>
      <c r="HB25" s="69" t="str">
        <f t="shared" si="85"/>
        <v/>
      </c>
      <c r="HC25" s="69" t="str">
        <f t="shared" si="86"/>
        <v/>
      </c>
      <c r="HD25" s="39" t="str">
        <f>IF(GZ25&lt;&gt;"",1/(HB25^2+'Publication Bias Analysis'!L$32),"")</f>
        <v/>
      </c>
      <c r="HE25" s="74" t="str">
        <f>IF(GZ25&lt;&gt;"",HA:HA-'Publication Bias Analysis'!I$37,"")</f>
        <v/>
      </c>
      <c r="HF25" s="45"/>
      <c r="HG25" s="89">
        <v>24</v>
      </c>
      <c r="HH25" s="69" t="e">
        <f t="shared" si="87"/>
        <v>#N/A</v>
      </c>
      <c r="HI25" s="74" t="e">
        <f t="shared" si="88"/>
        <v>#N/A</v>
      </c>
      <c r="HK25" s="176"/>
      <c r="HL25" s="66" t="str">
        <f t="shared" si="89"/>
        <v/>
      </c>
      <c r="HM25" s="74" t="str">
        <f>IF(AND(Include_study?="Yes",Sufficient_data="Yes"),Z_score-('Publication Bias Analysis'!P$3+'Publication Bias Analysis'!P$4*Inverse_standard_error),"")</f>
        <v/>
      </c>
      <c r="HO25" s="176"/>
      <c r="HP25" s="64" t="str">
        <f>IF(AND(Include_study?="Yes",Sufficient_data="Yes"),(GD:GD-SUMPRODUCT(Calculations!FT:FT,'Publication Bias Analysis'!E:E)/SUM(Calculations!FT:FT))/SQRT(Calculations!HQ:HQ),"")</f>
        <v/>
      </c>
      <c r="HQ25" s="64" t="str">
        <f>IF(AND(Include_study?="Yes",Sufficient_data="Yes"),GE:GE^2-1/SUM(Calculations!FT:FT),"")</f>
        <v/>
      </c>
      <c r="HR25" s="7" t="str">
        <f t="shared" si="90"/>
        <v/>
      </c>
      <c r="HS25" s="7" t="str">
        <f t="shared" si="91"/>
        <v/>
      </c>
      <c r="HT25" s="7" t="str">
        <f>IF(AND(Include_study?="Yes",Sufficient_data="Yes"),COUNTIFS(HR$2:HR24,"&lt;"&amp;HR25,HS$2:HS24,"&lt;"&amp;HS25)+COUNTIFS(HR26:HR$201,"&lt;"&amp;HR25,HS26:HS$201,"&lt;"&amp;HS25)+COUNTIFS(HR$2:HR24,"&gt;"&amp;HR25,HS$2:HS24,"&gt;"&amp;HS25)+COUNTIFS(HR26:HR$201,"&gt;"&amp;HR25,HS26:HS$201,"&gt;"&amp;HS25),"")</f>
        <v/>
      </c>
      <c r="HU25" s="104" t="str">
        <f>IF(AND(Include_study?="Yes",Sufficient_data="Yes"),COUNTIFS(HR$2:HR24,"&lt;"&amp;HR25,HS$2:HS24,"&gt;"&amp;HS25)+COUNTIFS(HR26:HR$201,"&lt;"&amp;HR25,HS26:HS$201,"&gt;"&amp;HS25)+COUNTIFS(HR$2:HR24,"&gt;"&amp;HR25,HS$2:HS24,"&lt;"&amp;HS25)+COUNTIFS(HR26:HR$201,"&gt;"&amp;HR25,HS26:HS$201,"&lt;"&amp;HS25),"")</f>
        <v/>
      </c>
      <c r="HW25" s="176"/>
      <c r="IB25" s="176"/>
      <c r="IC25" s="146" t="e">
        <f t="shared" si="92"/>
        <v>#N/A</v>
      </c>
      <c r="ID25" s="137" t="e">
        <f t="shared" si="93"/>
        <v>#N/A</v>
      </c>
      <c r="IE25" s="137" t="str">
        <f t="shared" si="94"/>
        <v/>
      </c>
      <c r="IF25" s="95" t="str">
        <f t="shared" si="95"/>
        <v/>
      </c>
      <c r="IK25" s="176"/>
      <c r="IL25" s="3" t="e">
        <f>IF(AND(Include_study?="Yes",Sufficient_data="Yes"),'Publication Bias Analysis'!AV:AV,NA())</f>
        <v>#N/A</v>
      </c>
      <c r="IM25" s="158" t="e">
        <f>IF(AND(Sufficient_data="Yes",Include_study?="Yes"),'Publication Bias Analysis'!AU:AU,NA())</f>
        <v>#N/A</v>
      </c>
      <c r="IN25" s="62" t="str">
        <f t="shared" si="96"/>
        <v/>
      </c>
      <c r="IO25" s="74" t="str">
        <f>IF(AND(Include_study?="Yes",Sufficient_data="Yes"),Z_score-('Publication Bias Analysis'!AY$30+'Publication Bias Analysis'!AY$31*Inverse_standard_error),"")</f>
        <v/>
      </c>
      <c r="IU25" s="176"/>
      <c r="IV25" s="7" t="str">
        <f>IF('Publication Bias Analysis'!BG:BG&lt;&gt;"",RANK('Publication Bias Analysis'!BG:BG,'Publication Bias Analysis'!BG:BG,1)+COUNTIF('Publication Bias Analysis'!BG$2:BG24,'Publication Bias Analysis'!BG25),"")</f>
        <v/>
      </c>
      <c r="IW25" s="124" t="str">
        <f t="shared" si="97"/>
        <v/>
      </c>
      <c r="IX25" s="125" t="e">
        <f>IF('Publication Bias Analysis'!BF25&lt;&gt;"",'Publication Bias Analysis'!BF25,NA())</f>
        <v>#N/A</v>
      </c>
      <c r="IY25" s="125" t="e">
        <f>IF('Publication Bias Analysis'!BG25&lt;&gt;"",'Publication Bias Analysis'!BG25,NA())</f>
        <v>#N/A</v>
      </c>
      <c r="IZ25" s="62" t="str">
        <f>IF(AND(Include_study?="Yes",Sufficient_data="Yes"),'Publication Bias Analysis'!BF:BF-AVERAGE('Publication Bias Analysis'!BF:BF),"")</f>
        <v/>
      </c>
      <c r="JA25" s="74" t="str">
        <f>IF(AND(Include_study?="Yes",Sufficient_data="Yes"),'Publication Bias Analysis'!BG:BG-('Publication Bias Analysis'!BJ$30+'Publication Bias Analysis'!BJ$31*'Publication Bias Analysis'!BF:BF),"")</f>
        <v/>
      </c>
      <c r="JG25" s="176"/>
      <c r="JH25" s="39" t="str">
        <f t="shared" si="98"/>
        <v/>
      </c>
      <c r="JI25" s="148" t="str">
        <f t="shared" si="124"/>
        <v/>
      </c>
      <c r="JJ25" s="74" t="str">
        <f t="shared" si="125"/>
        <v/>
      </c>
    </row>
    <row r="26" spans="1:270" x14ac:dyDescent="0.2">
      <c r="A26" s="2" t="str">
        <f t="shared" si="0"/>
        <v/>
      </c>
      <c r="B26" s="7" t="str">
        <f>IF(AND(Include_study?="Yes",Sufficient_data="Yes"),IF(Input!a_&lt;&gt;"",Input!a_,Input!n1_-Input!b_),"")</f>
        <v/>
      </c>
      <c r="C26" s="7" t="str">
        <f>IF(AND(Include_study?="Yes",Sufficient_data="Yes"),IF(Input!b_&lt;&gt;"",Input!b_,Input!n1_-Input!a_),"")</f>
        <v/>
      </c>
      <c r="D26" s="7" t="str">
        <f>IF(AND(Include_study?="Yes",Sufficient_data="Yes"),IF(Input!c_&lt;&gt;"",Input!c_,Input!n2_-Input!d_),"")</f>
        <v/>
      </c>
      <c r="E26" s="7" t="str">
        <f>IF(AND(Include_study?="Yes",Sufficient_data="Yes"),IF(Input!d_&lt;&gt;"",Input!d_,Input!n2_-Input!c_),"")</f>
        <v/>
      </c>
      <c r="F26" s="74" t="str">
        <f t="shared" si="1"/>
        <v/>
      </c>
      <c r="H26" s="196"/>
      <c r="I26" s="182"/>
      <c r="J26" s="146" t="str">
        <f t="shared" si="2"/>
        <v/>
      </c>
      <c r="K26" s="39" t="str">
        <f t="shared" si="3"/>
        <v/>
      </c>
      <c r="L26" s="39" t="str">
        <f t="shared" si="4"/>
        <v/>
      </c>
      <c r="M26" s="39" t="str">
        <f t="shared" si="5"/>
        <v/>
      </c>
      <c r="N26" s="74" t="str">
        <f t="shared" si="6"/>
        <v/>
      </c>
      <c r="P26" s="176"/>
      <c r="Q26" s="130" t="str">
        <f t="shared" si="7"/>
        <v/>
      </c>
      <c r="R26" s="39" t="str">
        <f t="shared" si="8"/>
        <v/>
      </c>
      <c r="S26" s="39" t="str">
        <f t="shared" si="9"/>
        <v/>
      </c>
      <c r="T26" s="74" t="str">
        <f t="shared" si="10"/>
        <v/>
      </c>
      <c r="V26" s="176"/>
      <c r="W26" s="130" t="str">
        <f t="shared" si="11"/>
        <v/>
      </c>
      <c r="X26" s="39" t="str">
        <f t="shared" si="12"/>
        <v/>
      </c>
      <c r="Y26" s="39" t="str">
        <f t="shared" si="13"/>
        <v/>
      </c>
      <c r="Z26" s="74" t="str">
        <f t="shared" si="14"/>
        <v/>
      </c>
      <c r="AB26" s="176"/>
      <c r="AC26" s="130" t="str">
        <f t="shared" si="15"/>
        <v/>
      </c>
      <c r="AD26" s="39" t="str">
        <f t="shared" si="16"/>
        <v/>
      </c>
      <c r="AE26" s="39" t="str">
        <f t="shared" si="17"/>
        <v/>
      </c>
      <c r="AF26" s="39" t="str">
        <f t="shared" si="18"/>
        <v/>
      </c>
      <c r="AG26" s="74" t="str">
        <f t="shared" si="19"/>
        <v/>
      </c>
      <c r="AI26" s="196"/>
      <c r="AJ2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6" s="136" t="str">
        <f>IF(AJ26&lt;&gt;"",IF(AJ26=0,COUNTIF(AJ$2:AJ25,0)+1,COUNTIF(AJ$2:AJ25,AJ26)+AJ26+COUNTIF(AJ:AJ,0)),"")</f>
        <v/>
      </c>
      <c r="AL26" s="136" t="str">
        <f t="shared" si="20"/>
        <v/>
      </c>
      <c r="AM26" s="155" t="str">
        <f>IF(AND(Include_study?="Yes",Sufficient_data="Yes",Input!Study_name&lt;&gt;""),Input!Study_name,"")</f>
        <v/>
      </c>
      <c r="AN26" s="136" t="str">
        <f t="shared" si="21"/>
        <v/>
      </c>
      <c r="AO26" s="19" t="str">
        <f t="shared" si="22"/>
        <v/>
      </c>
      <c r="AP26" s="158" t="str">
        <f t="shared" si="23"/>
        <v/>
      </c>
      <c r="AQ26" s="158" t="str">
        <f t="shared" si="24"/>
        <v/>
      </c>
      <c r="AR26" s="39" t="str">
        <f t="shared" si="25"/>
        <v/>
      </c>
      <c r="AS26" s="158" t="str">
        <f t="shared" si="26"/>
        <v/>
      </c>
      <c r="AT26" s="39" t="str">
        <f t="shared" si="27"/>
        <v/>
      </c>
      <c r="AU26" s="172" t="str">
        <f t="shared" si="28"/>
        <v/>
      </c>
      <c r="AW26" s="84" t="e">
        <f t="shared" si="29"/>
        <v>#N/A</v>
      </c>
      <c r="AX26" s="3" t="e">
        <f t="shared" si="30"/>
        <v>#N/A</v>
      </c>
      <c r="AY26" s="74" t="e">
        <f t="shared" si="31"/>
        <v>#N/A</v>
      </c>
      <c r="BD26" s="196"/>
      <c r="BE26" s="182"/>
      <c r="BF26" s="3" t="str">
        <f t="shared" si="32"/>
        <v/>
      </c>
      <c r="BG26" s="3" t="str">
        <f t="shared" si="33"/>
        <v/>
      </c>
      <c r="BH26" s="3" t="str">
        <f t="shared" si="34"/>
        <v/>
      </c>
      <c r="BI26" s="39" t="str">
        <f t="shared" si="99"/>
        <v/>
      </c>
      <c r="BJ26" s="95" t="str">
        <f t="shared" si="35"/>
        <v/>
      </c>
      <c r="BL26" s="22"/>
      <c r="BO26" s="176"/>
      <c r="BP26" s="158" t="str">
        <f t="shared" si="36"/>
        <v/>
      </c>
      <c r="BQ26" s="158" t="str">
        <f t="shared" si="37"/>
        <v/>
      </c>
      <c r="BR26" s="158" t="str">
        <f t="shared" si="38"/>
        <v/>
      </c>
      <c r="BS26" s="158" t="str">
        <f>IF(AND(Sufficient_data="Yes",Include_study?="Yes"),IF(Add_0_5="Yes",(a_+d_+1)*(ab_+0.5)*(c_+0.5)/(Number_of_subjects+2)^2,(a_+d_)*b_*c_/Number_of_subjects^2),"")</f>
        <v/>
      </c>
      <c r="BT26" s="158" t="str">
        <f t="shared" si="39"/>
        <v/>
      </c>
      <c r="BU26" s="158" t="str">
        <f t="shared" si="40"/>
        <v/>
      </c>
      <c r="BV26" s="158" t="str">
        <f t="shared" si="41"/>
        <v/>
      </c>
      <c r="BW26" s="3" t="str">
        <f t="shared" si="42"/>
        <v/>
      </c>
      <c r="BX26" s="137" t="str">
        <f t="shared" si="43"/>
        <v/>
      </c>
      <c r="BY26" s="95" t="str">
        <f t="shared" si="44"/>
        <v/>
      </c>
      <c r="CD26" s="176"/>
      <c r="CE26" s="130" t="str">
        <f t="shared" si="45"/>
        <v/>
      </c>
      <c r="CF26" s="39" t="str">
        <f t="shared" si="46"/>
        <v/>
      </c>
      <c r="CG26" s="39" t="str">
        <f t="shared" si="47"/>
        <v/>
      </c>
      <c r="CH26" s="39" t="str">
        <f t="shared" si="48"/>
        <v/>
      </c>
      <c r="CI26" s="39" t="str">
        <f t="shared" si="49"/>
        <v/>
      </c>
      <c r="CJ26" s="39" t="str">
        <f t="shared" si="50"/>
        <v/>
      </c>
      <c r="CK26" s="95" t="str">
        <f t="shared" si="51"/>
        <v/>
      </c>
      <c r="CP26" s="176"/>
      <c r="CQ26" s="99" t="str">
        <f t="shared" si="52"/>
        <v/>
      </c>
      <c r="CX26" s="196"/>
      <c r="CY26" s="89" t="e">
        <f t="shared" si="53"/>
        <v>#N/A</v>
      </c>
      <c r="CZ26" s="136" t="str">
        <f t="shared" si="54"/>
        <v/>
      </c>
      <c r="DA26" s="140" t="str">
        <f t="shared" si="55"/>
        <v/>
      </c>
      <c r="DB26" s="39" t="str">
        <f t="shared" si="56"/>
        <v/>
      </c>
      <c r="DC26" s="39" t="str">
        <f t="shared" si="57"/>
        <v/>
      </c>
      <c r="DD26" s="39" t="str">
        <f t="shared" si="58"/>
        <v/>
      </c>
      <c r="DE26" s="39" t="str">
        <f t="shared" si="59"/>
        <v/>
      </c>
      <c r="DF26" s="141" t="str">
        <f t="shared" si="60"/>
        <v/>
      </c>
      <c r="DG26" s="39" t="str">
        <f t="shared" si="61"/>
        <v/>
      </c>
      <c r="DH26" s="39" t="str">
        <f t="shared" si="62"/>
        <v/>
      </c>
      <c r="DI26" s="39" t="str">
        <f t="shared" si="63"/>
        <v/>
      </c>
      <c r="DJ26" s="74" t="str">
        <f t="shared" si="64"/>
        <v/>
      </c>
      <c r="DL26" s="84" t="e">
        <f t="shared" si="65"/>
        <v>#N/A</v>
      </c>
      <c r="DM26" s="39" t="e">
        <f t="shared" si="100"/>
        <v>#N/A</v>
      </c>
      <c r="DN26" s="74" t="e">
        <f t="shared" si="101"/>
        <v>#N/A</v>
      </c>
      <c r="DP26" s="89" t="str">
        <f t="shared" si="102"/>
        <v/>
      </c>
      <c r="DQ26" s="26" t="str">
        <f>IF(AND(Sufficient_data="Yes",Subgroup&lt;&gt;""),IF(COUNTIFS(Input!J$2:J25,"="&amp;"Yes",Input!C$2:C25,"="&amp;"Yes",Input!K$2:K25,"="&amp;Subgroup)&gt;0,"",Subgroup),"")</f>
        <v/>
      </c>
      <c r="DR26" s="7" t="str">
        <f t="shared" si="103"/>
        <v/>
      </c>
      <c r="DS26" s="7" t="str">
        <f t="shared" si="66"/>
        <v/>
      </c>
      <c r="DT26" s="19" t="str">
        <f t="shared" si="67"/>
        <v/>
      </c>
      <c r="DU26" s="12" t="str">
        <f t="shared" si="104"/>
        <v/>
      </c>
      <c r="DV26" s="11" t="str">
        <f t="shared" si="105"/>
        <v/>
      </c>
      <c r="DW26" s="12" t="str">
        <f t="shared" si="68"/>
        <v/>
      </c>
      <c r="DX26" s="19" t="str">
        <f t="shared" si="69"/>
        <v/>
      </c>
      <c r="DY26" s="19" t="str">
        <f t="shared" si="106"/>
        <v/>
      </c>
      <c r="DZ26" s="19" t="str">
        <f t="shared" si="70"/>
        <v/>
      </c>
      <c r="EA26" s="19" t="str">
        <f t="shared" si="71"/>
        <v/>
      </c>
      <c r="EB26" s="7" t="str">
        <f t="shared" si="72"/>
        <v/>
      </c>
      <c r="EC26" s="19" t="str">
        <f t="shared" si="107"/>
        <v/>
      </c>
      <c r="ED26" s="19" t="str">
        <f t="shared" si="108"/>
        <v/>
      </c>
      <c r="EE26" s="19" t="str">
        <f t="shared" si="109"/>
        <v/>
      </c>
      <c r="EF26" s="19" t="str">
        <f t="shared" si="110"/>
        <v/>
      </c>
      <c r="EG26" s="19" t="str">
        <f t="shared" si="111"/>
        <v/>
      </c>
      <c r="EH26" s="19" t="str">
        <f t="shared" si="112"/>
        <v/>
      </c>
      <c r="EI26" s="19" t="str">
        <f t="shared" si="113"/>
        <v/>
      </c>
      <c r="EJ26" s="19" t="str">
        <f t="shared" si="114"/>
        <v/>
      </c>
      <c r="EK26" s="19" t="str">
        <f t="shared" si="73"/>
        <v/>
      </c>
      <c r="EL26" s="19" t="str">
        <f t="shared" si="115"/>
        <v/>
      </c>
      <c r="EM26" s="19" t="str">
        <f t="shared" si="116"/>
        <v/>
      </c>
      <c r="EN26" s="19" t="str">
        <f t="shared" si="117"/>
        <v/>
      </c>
      <c r="EO26" s="19" t="str">
        <f t="shared" si="118"/>
        <v/>
      </c>
      <c r="EP26" s="19" t="str">
        <f t="shared" si="74"/>
        <v/>
      </c>
      <c r="EQ26" s="19" t="e">
        <f t="shared" si="119"/>
        <v>#N/A</v>
      </c>
      <c r="ER26" s="11" t="str">
        <f t="shared" si="120"/>
        <v/>
      </c>
      <c r="ES26" s="19" t="str">
        <f t="shared" si="121"/>
        <v/>
      </c>
      <c r="ET26" s="156" t="str">
        <f t="shared" si="122"/>
        <v/>
      </c>
      <c r="EU26" s="39" t="str">
        <f t="shared" si="75"/>
        <v/>
      </c>
      <c r="EV26" s="74" t="str">
        <f t="shared" si="76"/>
        <v/>
      </c>
      <c r="EX26" s="56" t="s">
        <v>246</v>
      </c>
      <c r="EY26" s="7">
        <f>IF(Subgroup_valid_options="Yes",MAX(DR:DR)+1,"")</f>
        <v>3</v>
      </c>
      <c r="FA26" s="196"/>
      <c r="FB26" s="84" t="e">
        <f>IF(AND(Include_study?="Yes",Sufficient_data="Yes",Moderator&lt;&gt;""),'Moderator Analysis'!E26,NA())</f>
        <v>#N/A</v>
      </c>
      <c r="FC26" s="39" t="e">
        <f>IF(AND(Include_study?="Yes",Sufficient_data="Yes",Moderator&lt;&gt;""),'Moderator Analysis'!F26,NA())</f>
        <v>#N/A</v>
      </c>
      <c r="FD26" s="39" t="str">
        <f t="shared" si="77"/>
        <v/>
      </c>
      <c r="FE26" s="39" t="str">
        <f t="shared" si="78"/>
        <v/>
      </c>
      <c r="FF26" s="39" t="str">
        <f>IF(AND(Include_study?="Yes",Sufficient_data="Yes",Moderator&lt;&gt;""),'Moderator Analysis'!F:F-FP$2,"")</f>
        <v/>
      </c>
      <c r="FG26" s="39" t="str">
        <f>IF(AND(Include_study?="Yes",Sufficient_data="Yes",Moderator&lt;&gt;""),'Moderator Analysis'!E:E-FP$3,"")</f>
        <v/>
      </c>
      <c r="FH26" s="74" t="str">
        <f>IF(AND(Include_study?="Yes",Sufficient_data="Yes",Moderator&lt;&gt;""),FE:FE*('Moderator Analysis'!F:F-FP$5-FP$4*'Moderator Analysis'!E:E)^2,"")</f>
        <v/>
      </c>
      <c r="FI26" s="128"/>
      <c r="FJ26" s="92" t="str">
        <f t="shared" si="79"/>
        <v/>
      </c>
      <c r="FK26" s="137" t="str">
        <f>IF(AND(Include_study?="Yes",Sufficient_data="Yes",Moderator&lt;&gt;""),'Moderator Analysis'!F:F-'Moderator Analysis'!J$37,"")</f>
        <v/>
      </c>
      <c r="FL26" s="137" t="str">
        <f>IF(AND(Include_study?="Yes",Sufficient_data="Yes",Moderator&lt;&gt;""),'Moderator Analysis'!E:E-SUMPRODUCT('Moderator Analysis'!E:E,FJ:FJ)/SUM(FJ:FJ),"")</f>
        <v/>
      </c>
      <c r="FM26" s="95" t="str">
        <f>IF(AND(Include_study?="Yes",Sufficient_data="Yes",Moderator&lt;&gt;""),FJ:FJ*('Moderator Analysis'!F:F-'Moderator Analysis'!J$29-'Moderator Analysis'!J$30*'Moderator Analysis'!E:E)^2,"")</f>
        <v/>
      </c>
      <c r="FN26" s="21"/>
      <c r="FR26" s="196"/>
      <c r="FS26" s="182"/>
      <c r="FT2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6" s="39" t="str">
        <f>IF(AND(Include_study?="Yes",Sufficient_data="Yes"),1/('Publication Bias Analysis'!F:F^2+IF(Additional_model="Fixed effect",0,Calculations!GH$12)),"")</f>
        <v/>
      </c>
      <c r="FV26" s="39" t="str">
        <f>IF(AND(Include_study?="Yes",Sufficient_data="Yes"),1/('Publication Bias Analysis'!F:F^2+IF(Additional_model="Fixed effect",0,'Publication Bias Analysis'!L$32)),"")</f>
        <v/>
      </c>
      <c r="FW26" s="39" t="str">
        <f>IF(AND(Include_study?="Yes",Sufficient_data="Yes"),'Publication Bias Analysis'!E:E-'Publication Bias Analysis'!I$37,"")</f>
        <v/>
      </c>
      <c r="FX26" s="39" t="str">
        <f>IF(AND(Include_study?="Yes",Sufficient_data="Yes"),IF(Additional_model="Fixed effect",1/'Publication Bias Analysis'!F:F,1/SQRT('Publication Bias Analysis'!F:F^2+GH$12)),"")</f>
        <v/>
      </c>
      <c r="FY2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6" s="136" t="str">
        <f t="shared" si="80"/>
        <v/>
      </c>
      <c r="GA26" s="144" t="str">
        <f>IF(AND(Include_study?="Yes",Sufficient_data="Yes"),FZ:FZ+IF(GL:GL&lt;0,-1,1)*COUNTIF(FZ$2:FZ25,FZ:FZ),"")</f>
        <v/>
      </c>
      <c r="GB26" s="144" t="str">
        <f>IF(AND(Include_study?="Yes",Sufficient_data="Yes"),RANK(GP:GP,GP:GP,1)*IF(GO:GO&lt;0,-1,1)+IF(GO:GO&lt;0,-1,1)*COUNTIF(FZ$2:FZ25,FZ:FZ),"")</f>
        <v/>
      </c>
      <c r="GC26" s="144" t="str">
        <f>IF(AND(Include_study?="Yes",Sufficient_data="Yes"),RANK(GS:GS,GS:GS,1)*IF(GR:GR&lt;0,-1,1)+IF(GR:GR&lt;0,-1,1)*COUNTIF(FZ$2:FZ25,FZ:FZ),"")</f>
        <v/>
      </c>
      <c r="GD26" s="39" t="e">
        <f>IF(AND(Include_study?="Yes",Sufficient_data="Yes"),'Publication Bias Analysis'!E26,NA())</f>
        <v>#N/A</v>
      </c>
      <c r="GE26" s="74" t="e">
        <f>IF(AND(Include_study?="Yes",Sufficient_data="Yes"),'Publication Bias Analysis'!F26,NA())</f>
        <v>#N/A</v>
      </c>
      <c r="GK26" s="176"/>
      <c r="GL2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6" s="39" t="str">
        <f t="shared" si="81"/>
        <v/>
      </c>
      <c r="GN2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6" s="39" t="str">
        <f>IF(AND(Include_study?="Yes",Sufficient_data="Yes"),IF('Publication Bias Analysis'!L$38="Left",'Publication Bias Analysis'!E:E-GW$3,GW$3-'Publication Bias Analysis'!E:E),"")</f>
        <v/>
      </c>
      <c r="GP26" s="39" t="str">
        <f t="shared" si="82"/>
        <v/>
      </c>
      <c r="GQ2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6" s="39" t="str">
        <f>IF(AND(Include_study?="Yes",Sufficient_data="Yes"),IF('Publication Bias Analysis'!L$38="Left",'Publication Bias Analysis'!E:E-GW$10,GW$10-'Publication Bias Analysis'!E:E),"")</f>
        <v/>
      </c>
      <c r="GS26" s="39" t="str">
        <f t="shared" si="83"/>
        <v/>
      </c>
      <c r="GT2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6"/>
      <c r="GW26"/>
      <c r="GY26" s="89">
        <v>25</v>
      </c>
      <c r="GZ26" s="7" t="str">
        <f>IF(Trim_and_fill="On",IF(GW$21&gt;(COUNT(GZ$2:GZ25)),IF(COUNTIF(GA:GA,-1*(MAX(GA:GA)-GY26+1))=1,"",MAX(GA:GA)-GY26+1),""),"")</f>
        <v/>
      </c>
      <c r="HA26" s="69" t="str">
        <f t="shared" si="84"/>
        <v/>
      </c>
      <c r="HB26" s="69" t="str">
        <f t="shared" si="85"/>
        <v/>
      </c>
      <c r="HC26" s="69" t="str">
        <f t="shared" si="86"/>
        <v/>
      </c>
      <c r="HD26" s="39" t="str">
        <f>IF(GZ26&lt;&gt;"",1/(HB26^2+'Publication Bias Analysis'!L$32),"")</f>
        <v/>
      </c>
      <c r="HE26" s="74" t="str">
        <f>IF(GZ26&lt;&gt;"",HA:HA-'Publication Bias Analysis'!I$37,"")</f>
        <v/>
      </c>
      <c r="HF26" s="45"/>
      <c r="HG26" s="89">
        <v>25</v>
      </c>
      <c r="HH26" s="69" t="e">
        <f t="shared" si="87"/>
        <v>#N/A</v>
      </c>
      <c r="HI26" s="74" t="e">
        <f t="shared" si="88"/>
        <v>#N/A</v>
      </c>
      <c r="HK26" s="176"/>
      <c r="HL26" s="66" t="str">
        <f t="shared" si="89"/>
        <v/>
      </c>
      <c r="HM26" s="74" t="str">
        <f>IF(AND(Include_study?="Yes",Sufficient_data="Yes"),Z_score-('Publication Bias Analysis'!P$3+'Publication Bias Analysis'!P$4*Inverse_standard_error),"")</f>
        <v/>
      </c>
      <c r="HO26" s="176"/>
      <c r="HP26" s="64" t="str">
        <f>IF(AND(Include_study?="Yes",Sufficient_data="Yes"),(GD:GD-SUMPRODUCT(Calculations!FT:FT,'Publication Bias Analysis'!E:E)/SUM(Calculations!FT:FT))/SQRT(Calculations!HQ:HQ),"")</f>
        <v/>
      </c>
      <c r="HQ26" s="64" t="str">
        <f>IF(AND(Include_study?="Yes",Sufficient_data="Yes"),GE:GE^2-1/SUM(Calculations!FT:FT),"")</f>
        <v/>
      </c>
      <c r="HR26" s="7" t="str">
        <f t="shared" si="90"/>
        <v/>
      </c>
      <c r="HS26" s="7" t="str">
        <f t="shared" si="91"/>
        <v/>
      </c>
      <c r="HT26" s="7" t="str">
        <f>IF(AND(Include_study?="Yes",Sufficient_data="Yes"),COUNTIFS(HR$2:HR25,"&lt;"&amp;HR26,HS$2:HS25,"&lt;"&amp;HS26)+COUNTIFS(HR27:HR$201,"&lt;"&amp;HR26,HS27:HS$201,"&lt;"&amp;HS26)+COUNTIFS(HR$2:HR25,"&gt;"&amp;HR26,HS$2:HS25,"&gt;"&amp;HS26)+COUNTIFS(HR27:HR$201,"&gt;"&amp;HR26,HS27:HS$201,"&gt;"&amp;HS26),"")</f>
        <v/>
      </c>
      <c r="HU26" s="104" t="str">
        <f>IF(AND(Include_study?="Yes",Sufficient_data="Yes"),COUNTIFS(HR$2:HR25,"&lt;"&amp;HR26,HS$2:HS25,"&gt;"&amp;HS26)+COUNTIFS(HR27:HR$201,"&lt;"&amp;HR26,HS27:HS$201,"&gt;"&amp;HS26)+COUNTIFS(HR$2:HR25,"&gt;"&amp;HR26,HS$2:HS25,"&lt;"&amp;HS26)+COUNTIFS(HR27:HR$201,"&gt;"&amp;HR26,HS27:HS$201,"&lt;"&amp;HS26),"")</f>
        <v/>
      </c>
      <c r="HW26" s="176"/>
      <c r="IB26" s="176"/>
      <c r="IC26" s="146" t="e">
        <f t="shared" si="92"/>
        <v>#N/A</v>
      </c>
      <c r="ID26" s="137" t="e">
        <f t="shared" si="93"/>
        <v>#N/A</v>
      </c>
      <c r="IE26" s="137" t="str">
        <f t="shared" si="94"/>
        <v/>
      </c>
      <c r="IF26" s="95" t="str">
        <f t="shared" si="95"/>
        <v/>
      </c>
      <c r="IK26" s="176"/>
      <c r="IL26" s="3" t="e">
        <f>IF(AND(Include_study?="Yes",Sufficient_data="Yes"),'Publication Bias Analysis'!AV:AV,NA())</f>
        <v>#N/A</v>
      </c>
      <c r="IM26" s="158" t="e">
        <f>IF(AND(Sufficient_data="Yes",Include_study?="Yes"),'Publication Bias Analysis'!AU:AU,NA())</f>
        <v>#N/A</v>
      </c>
      <c r="IN26" s="62" t="str">
        <f t="shared" si="96"/>
        <v/>
      </c>
      <c r="IO26" s="74" t="str">
        <f>IF(AND(Include_study?="Yes",Sufficient_data="Yes"),Z_score-('Publication Bias Analysis'!AY$30+'Publication Bias Analysis'!AY$31*Inverse_standard_error),"")</f>
        <v/>
      </c>
      <c r="IU26" s="176"/>
      <c r="IV26" s="7" t="str">
        <f>IF('Publication Bias Analysis'!BG:BG&lt;&gt;"",RANK('Publication Bias Analysis'!BG:BG,'Publication Bias Analysis'!BG:BG,1)+COUNTIF('Publication Bias Analysis'!BG$2:BG25,'Publication Bias Analysis'!BG26),"")</f>
        <v/>
      </c>
      <c r="IW26" s="124" t="str">
        <f t="shared" si="97"/>
        <v/>
      </c>
      <c r="IX26" s="125" t="e">
        <f>IF('Publication Bias Analysis'!BF26&lt;&gt;"",'Publication Bias Analysis'!BF26,NA())</f>
        <v>#N/A</v>
      </c>
      <c r="IY26" s="125" t="e">
        <f>IF('Publication Bias Analysis'!BG26&lt;&gt;"",'Publication Bias Analysis'!BG26,NA())</f>
        <v>#N/A</v>
      </c>
      <c r="IZ26" s="62" t="str">
        <f>IF(AND(Include_study?="Yes",Sufficient_data="Yes"),'Publication Bias Analysis'!BF:BF-AVERAGE('Publication Bias Analysis'!BF:BF),"")</f>
        <v/>
      </c>
      <c r="JA26" s="74" t="str">
        <f>IF(AND(Include_study?="Yes",Sufficient_data="Yes"),'Publication Bias Analysis'!BG:BG-('Publication Bias Analysis'!BJ$30+'Publication Bias Analysis'!BJ$31*'Publication Bias Analysis'!BF:BF),"")</f>
        <v/>
      </c>
      <c r="JG26" s="176"/>
      <c r="JH26" s="39" t="str">
        <f t="shared" si="98"/>
        <v/>
      </c>
      <c r="JI26" s="148" t="str">
        <f t="shared" si="124"/>
        <v/>
      </c>
      <c r="JJ26" s="74" t="str">
        <f t="shared" si="125"/>
        <v/>
      </c>
    </row>
    <row r="27" spans="1:270" x14ac:dyDescent="0.2">
      <c r="A27" s="2" t="str">
        <f t="shared" si="0"/>
        <v/>
      </c>
      <c r="B27" s="7" t="str">
        <f>IF(AND(Include_study?="Yes",Sufficient_data="Yes"),IF(Input!a_&lt;&gt;"",Input!a_,Input!n1_-Input!b_),"")</f>
        <v/>
      </c>
      <c r="C27" s="7" t="str">
        <f>IF(AND(Include_study?="Yes",Sufficient_data="Yes"),IF(Input!b_&lt;&gt;"",Input!b_,Input!n1_-Input!a_),"")</f>
        <v/>
      </c>
      <c r="D27" s="7" t="str">
        <f>IF(AND(Include_study?="Yes",Sufficient_data="Yes"),IF(Input!c_&lt;&gt;"",Input!c_,Input!n2_-Input!d_),"")</f>
        <v/>
      </c>
      <c r="E27" s="7" t="str">
        <f>IF(AND(Include_study?="Yes",Sufficient_data="Yes"),IF(Input!d_&lt;&gt;"",Input!d_,Input!n2_-Input!c_),"")</f>
        <v/>
      </c>
      <c r="F27" s="74" t="str">
        <f t="shared" si="1"/>
        <v/>
      </c>
      <c r="H27" s="196"/>
      <c r="I27" s="182"/>
      <c r="J27" s="146" t="str">
        <f t="shared" si="2"/>
        <v/>
      </c>
      <c r="K27" s="39" t="str">
        <f t="shared" si="3"/>
        <v/>
      </c>
      <c r="L27" s="39" t="str">
        <f t="shared" si="4"/>
        <v/>
      </c>
      <c r="M27" s="39" t="str">
        <f t="shared" si="5"/>
        <v/>
      </c>
      <c r="N27" s="74" t="str">
        <f t="shared" si="6"/>
        <v/>
      </c>
      <c r="P27" s="176"/>
      <c r="Q27" s="130" t="str">
        <f t="shared" si="7"/>
        <v/>
      </c>
      <c r="R27" s="39" t="str">
        <f t="shared" si="8"/>
        <v/>
      </c>
      <c r="S27" s="39" t="str">
        <f t="shared" si="9"/>
        <v/>
      </c>
      <c r="T27" s="74" t="str">
        <f t="shared" si="10"/>
        <v/>
      </c>
      <c r="V27" s="176"/>
      <c r="W27" s="130" t="str">
        <f t="shared" si="11"/>
        <v/>
      </c>
      <c r="X27" s="39" t="str">
        <f t="shared" si="12"/>
        <v/>
      </c>
      <c r="Y27" s="39" t="str">
        <f t="shared" si="13"/>
        <v/>
      </c>
      <c r="Z27" s="74" t="str">
        <f t="shared" si="14"/>
        <v/>
      </c>
      <c r="AB27" s="176"/>
      <c r="AC27" s="130" t="str">
        <f t="shared" si="15"/>
        <v/>
      </c>
      <c r="AD27" s="39" t="str">
        <f t="shared" si="16"/>
        <v/>
      </c>
      <c r="AE27" s="39" t="str">
        <f t="shared" si="17"/>
        <v/>
      </c>
      <c r="AF27" s="39" t="str">
        <f t="shared" si="18"/>
        <v/>
      </c>
      <c r="AG27" s="74" t="str">
        <f t="shared" si="19"/>
        <v/>
      </c>
      <c r="AI27" s="196"/>
      <c r="AJ2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7" s="136" t="str">
        <f>IF(AJ27&lt;&gt;"",IF(AJ27=0,COUNTIF(AJ$2:AJ26,0)+1,COUNTIF(AJ$2:AJ26,AJ27)+AJ27+COUNTIF(AJ:AJ,0)),"")</f>
        <v/>
      </c>
      <c r="AL27" s="136" t="str">
        <f t="shared" si="20"/>
        <v/>
      </c>
      <c r="AM27" s="155" t="str">
        <f>IF(AND(Include_study?="Yes",Sufficient_data="Yes",Input!Study_name&lt;&gt;""),Input!Study_name,"")</f>
        <v/>
      </c>
      <c r="AN27" s="136" t="str">
        <f t="shared" si="21"/>
        <v/>
      </c>
      <c r="AO27" s="19" t="str">
        <f t="shared" si="22"/>
        <v/>
      </c>
      <c r="AP27" s="158" t="str">
        <f t="shared" si="23"/>
        <v/>
      </c>
      <c r="AQ27" s="158" t="str">
        <f t="shared" si="24"/>
        <v/>
      </c>
      <c r="AR27" s="39" t="str">
        <f t="shared" si="25"/>
        <v/>
      </c>
      <c r="AS27" s="158" t="str">
        <f t="shared" si="26"/>
        <v/>
      </c>
      <c r="AT27" s="39" t="str">
        <f t="shared" si="27"/>
        <v/>
      </c>
      <c r="AU27" s="172" t="str">
        <f t="shared" si="28"/>
        <v/>
      </c>
      <c r="AW27" s="84" t="e">
        <f t="shared" si="29"/>
        <v>#N/A</v>
      </c>
      <c r="AX27" s="3" t="e">
        <f t="shared" si="30"/>
        <v>#N/A</v>
      </c>
      <c r="AY27" s="74" t="e">
        <f t="shared" si="31"/>
        <v>#N/A</v>
      </c>
      <c r="BD27" s="196"/>
      <c r="BE27" s="182"/>
      <c r="BF27" s="3" t="str">
        <f t="shared" si="32"/>
        <v/>
      </c>
      <c r="BG27" s="3" t="str">
        <f t="shared" si="33"/>
        <v/>
      </c>
      <c r="BH27" s="3" t="str">
        <f t="shared" si="34"/>
        <v/>
      </c>
      <c r="BI27" s="39" t="str">
        <f t="shared" si="99"/>
        <v/>
      </c>
      <c r="BJ27" s="95" t="str">
        <f t="shared" si="35"/>
        <v/>
      </c>
      <c r="BO27" s="176"/>
      <c r="BP27" s="158" t="str">
        <f t="shared" si="36"/>
        <v/>
      </c>
      <c r="BQ27" s="158" t="str">
        <f t="shared" si="37"/>
        <v/>
      </c>
      <c r="BR27" s="158" t="str">
        <f t="shared" si="38"/>
        <v/>
      </c>
      <c r="BS27" s="158" t="str">
        <f>IF(AND(Sufficient_data="Yes",Include_study?="Yes"),IF(Add_0_5="Yes",(a_+d_+1)*(ab_+0.5)*(c_+0.5)/(Number_of_subjects+2)^2,(a_+d_)*b_*c_/Number_of_subjects^2),"")</f>
        <v/>
      </c>
      <c r="BT27" s="158" t="str">
        <f t="shared" si="39"/>
        <v/>
      </c>
      <c r="BU27" s="158" t="str">
        <f t="shared" si="40"/>
        <v/>
      </c>
      <c r="BV27" s="158" t="str">
        <f t="shared" si="41"/>
        <v/>
      </c>
      <c r="BW27" s="3" t="str">
        <f t="shared" si="42"/>
        <v/>
      </c>
      <c r="BX27" s="137" t="str">
        <f t="shared" si="43"/>
        <v/>
      </c>
      <c r="BY27" s="95" t="str">
        <f t="shared" si="44"/>
        <v/>
      </c>
      <c r="CD27" s="176"/>
      <c r="CE27" s="130" t="str">
        <f t="shared" si="45"/>
        <v/>
      </c>
      <c r="CF27" s="39" t="str">
        <f t="shared" si="46"/>
        <v/>
      </c>
      <c r="CG27" s="39" t="str">
        <f t="shared" si="47"/>
        <v/>
      </c>
      <c r="CH27" s="39" t="str">
        <f t="shared" si="48"/>
        <v/>
      </c>
      <c r="CI27" s="39" t="str">
        <f t="shared" si="49"/>
        <v/>
      </c>
      <c r="CJ27" s="39" t="str">
        <f t="shared" si="50"/>
        <v/>
      </c>
      <c r="CK27" s="95" t="str">
        <f t="shared" si="51"/>
        <v/>
      </c>
      <c r="CP27" s="176"/>
      <c r="CQ27" s="99" t="str">
        <f t="shared" si="52"/>
        <v/>
      </c>
      <c r="CX27" s="196"/>
      <c r="CY27" s="89" t="e">
        <f t="shared" si="53"/>
        <v>#N/A</v>
      </c>
      <c r="CZ27" s="136" t="str">
        <f t="shared" si="54"/>
        <v/>
      </c>
      <c r="DA27" s="140" t="str">
        <f t="shared" si="55"/>
        <v/>
      </c>
      <c r="DB27" s="39" t="str">
        <f t="shared" si="56"/>
        <v/>
      </c>
      <c r="DC27" s="39" t="str">
        <f t="shared" si="57"/>
        <v/>
      </c>
      <c r="DD27" s="39" t="str">
        <f t="shared" si="58"/>
        <v/>
      </c>
      <c r="DE27" s="39" t="str">
        <f t="shared" si="59"/>
        <v/>
      </c>
      <c r="DF27" s="141" t="str">
        <f t="shared" si="60"/>
        <v/>
      </c>
      <c r="DG27" s="39" t="str">
        <f t="shared" si="61"/>
        <v/>
      </c>
      <c r="DH27" s="39" t="str">
        <f t="shared" si="62"/>
        <v/>
      </c>
      <c r="DI27" s="39" t="str">
        <f t="shared" si="63"/>
        <v/>
      </c>
      <c r="DJ27" s="74" t="str">
        <f t="shared" si="64"/>
        <v/>
      </c>
      <c r="DL27" s="84" t="e">
        <f t="shared" si="65"/>
        <v>#N/A</v>
      </c>
      <c r="DM27" s="39" t="e">
        <f t="shared" si="100"/>
        <v>#N/A</v>
      </c>
      <c r="DN27" s="74" t="e">
        <f t="shared" si="101"/>
        <v>#N/A</v>
      </c>
      <c r="DP27" s="89" t="str">
        <f t="shared" si="102"/>
        <v/>
      </c>
      <c r="DQ27" s="26" t="str">
        <f>IF(AND(Sufficient_data="Yes",Subgroup&lt;&gt;""),IF(COUNTIFS(Input!J$2:J26,"="&amp;"Yes",Input!C$2:C26,"="&amp;"Yes",Input!K$2:K26,"="&amp;Subgroup)&gt;0,"",Subgroup),"")</f>
        <v/>
      </c>
      <c r="DR27" s="7" t="str">
        <f t="shared" si="103"/>
        <v/>
      </c>
      <c r="DS27" s="7" t="str">
        <f t="shared" si="66"/>
        <v/>
      </c>
      <c r="DT27" s="19" t="str">
        <f t="shared" si="67"/>
        <v/>
      </c>
      <c r="DU27" s="12" t="str">
        <f t="shared" si="104"/>
        <v/>
      </c>
      <c r="DV27" s="11" t="str">
        <f t="shared" si="105"/>
        <v/>
      </c>
      <c r="DW27" s="12" t="str">
        <f t="shared" si="68"/>
        <v/>
      </c>
      <c r="DX27" s="19" t="str">
        <f t="shared" si="69"/>
        <v/>
      </c>
      <c r="DY27" s="19" t="str">
        <f t="shared" si="106"/>
        <v/>
      </c>
      <c r="DZ27" s="19" t="str">
        <f t="shared" si="70"/>
        <v/>
      </c>
      <c r="EA27" s="19" t="str">
        <f t="shared" si="71"/>
        <v/>
      </c>
      <c r="EB27" s="7" t="str">
        <f t="shared" si="72"/>
        <v/>
      </c>
      <c r="EC27" s="19" t="str">
        <f t="shared" si="107"/>
        <v/>
      </c>
      <c r="ED27" s="19" t="str">
        <f t="shared" si="108"/>
        <v/>
      </c>
      <c r="EE27" s="19" t="str">
        <f t="shared" si="109"/>
        <v/>
      </c>
      <c r="EF27" s="19" t="str">
        <f t="shared" si="110"/>
        <v/>
      </c>
      <c r="EG27" s="19" t="str">
        <f t="shared" si="111"/>
        <v/>
      </c>
      <c r="EH27" s="19" t="str">
        <f t="shared" si="112"/>
        <v/>
      </c>
      <c r="EI27" s="19" t="str">
        <f t="shared" si="113"/>
        <v/>
      </c>
      <c r="EJ27" s="19" t="str">
        <f t="shared" si="114"/>
        <v/>
      </c>
      <c r="EK27" s="19" t="str">
        <f t="shared" si="73"/>
        <v/>
      </c>
      <c r="EL27" s="19" t="str">
        <f t="shared" si="115"/>
        <v/>
      </c>
      <c r="EM27" s="19" t="str">
        <f t="shared" si="116"/>
        <v/>
      </c>
      <c r="EN27" s="19" t="str">
        <f t="shared" si="117"/>
        <v/>
      </c>
      <c r="EO27" s="19" t="str">
        <f t="shared" si="118"/>
        <v/>
      </c>
      <c r="EP27" s="19" t="str">
        <f t="shared" si="74"/>
        <v/>
      </c>
      <c r="EQ27" s="19" t="e">
        <f t="shared" si="119"/>
        <v>#N/A</v>
      </c>
      <c r="ER27" s="11" t="str">
        <f t="shared" si="120"/>
        <v/>
      </c>
      <c r="ES27" s="19" t="str">
        <f t="shared" si="121"/>
        <v/>
      </c>
      <c r="ET27" s="156" t="str">
        <f t="shared" si="122"/>
        <v/>
      </c>
      <c r="EU27" s="39" t="str">
        <f t="shared" si="75"/>
        <v/>
      </c>
      <c r="EV27" s="74" t="str">
        <f t="shared" si="76"/>
        <v/>
      </c>
      <c r="EX27" s="56" t="s">
        <v>99</v>
      </c>
      <c r="EY27" s="55">
        <f>IF(Subgroup_valid_options="Yes",EY9-EY11,"")</f>
        <v>0.1929352509671407</v>
      </c>
      <c r="FA27" s="196"/>
      <c r="FB27" s="84" t="e">
        <f>IF(AND(Include_study?="Yes",Sufficient_data="Yes",Moderator&lt;&gt;""),'Moderator Analysis'!E27,NA())</f>
        <v>#N/A</v>
      </c>
      <c r="FC27" s="39" t="e">
        <f>IF(AND(Include_study?="Yes",Sufficient_data="Yes",Moderator&lt;&gt;""),'Moderator Analysis'!F27,NA())</f>
        <v>#N/A</v>
      </c>
      <c r="FD27" s="39" t="str">
        <f t="shared" si="77"/>
        <v/>
      </c>
      <c r="FE27" s="39" t="str">
        <f t="shared" si="78"/>
        <v/>
      </c>
      <c r="FF27" s="39" t="str">
        <f>IF(AND(Include_study?="Yes",Sufficient_data="Yes",Moderator&lt;&gt;""),'Moderator Analysis'!F:F-FP$2,"")</f>
        <v/>
      </c>
      <c r="FG27" s="39" t="str">
        <f>IF(AND(Include_study?="Yes",Sufficient_data="Yes",Moderator&lt;&gt;""),'Moderator Analysis'!E:E-FP$3,"")</f>
        <v/>
      </c>
      <c r="FH27" s="74" t="str">
        <f>IF(AND(Include_study?="Yes",Sufficient_data="Yes",Moderator&lt;&gt;""),FE:FE*('Moderator Analysis'!F:F-FP$5-FP$4*'Moderator Analysis'!E:E)^2,"")</f>
        <v/>
      </c>
      <c r="FI27" s="128"/>
      <c r="FJ27" s="92" t="str">
        <f t="shared" si="79"/>
        <v/>
      </c>
      <c r="FK27" s="137" t="str">
        <f>IF(AND(Include_study?="Yes",Sufficient_data="Yes",Moderator&lt;&gt;""),'Moderator Analysis'!F:F-'Moderator Analysis'!J$37,"")</f>
        <v/>
      </c>
      <c r="FL27" s="137" t="str">
        <f>IF(AND(Include_study?="Yes",Sufficient_data="Yes",Moderator&lt;&gt;""),'Moderator Analysis'!E:E-SUMPRODUCT('Moderator Analysis'!E:E,FJ:FJ)/SUM(FJ:FJ),"")</f>
        <v/>
      </c>
      <c r="FM27" s="95" t="str">
        <f>IF(AND(Include_study?="Yes",Sufficient_data="Yes",Moderator&lt;&gt;""),FJ:FJ*('Moderator Analysis'!F:F-'Moderator Analysis'!J$29-'Moderator Analysis'!J$30*'Moderator Analysis'!E:E)^2,"")</f>
        <v/>
      </c>
      <c r="FN27" s="21"/>
      <c r="FR27" s="196"/>
      <c r="FS27" s="182"/>
      <c r="FT2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7" s="39" t="str">
        <f>IF(AND(Include_study?="Yes",Sufficient_data="Yes"),1/('Publication Bias Analysis'!F:F^2+IF(Additional_model="Fixed effect",0,Calculations!GH$12)),"")</f>
        <v/>
      </c>
      <c r="FV27" s="39" t="str">
        <f>IF(AND(Include_study?="Yes",Sufficient_data="Yes"),1/('Publication Bias Analysis'!F:F^2+IF(Additional_model="Fixed effect",0,'Publication Bias Analysis'!L$32)),"")</f>
        <v/>
      </c>
      <c r="FW27" s="39" t="str">
        <f>IF(AND(Include_study?="Yes",Sufficient_data="Yes"),'Publication Bias Analysis'!E:E-'Publication Bias Analysis'!I$37,"")</f>
        <v/>
      </c>
      <c r="FX27" s="39" t="str">
        <f>IF(AND(Include_study?="Yes",Sufficient_data="Yes"),IF(Additional_model="Fixed effect",1/'Publication Bias Analysis'!F:F,1/SQRT('Publication Bias Analysis'!F:F^2+GH$12)),"")</f>
        <v/>
      </c>
      <c r="FY2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7" s="136" t="str">
        <f t="shared" si="80"/>
        <v/>
      </c>
      <c r="GA27" s="144" t="str">
        <f>IF(AND(Include_study?="Yes",Sufficient_data="Yes"),FZ:FZ+IF(GL:GL&lt;0,-1,1)*COUNTIF(FZ$2:FZ26,FZ:FZ),"")</f>
        <v/>
      </c>
      <c r="GB27" s="144" t="str">
        <f>IF(AND(Include_study?="Yes",Sufficient_data="Yes"),RANK(GP:GP,GP:GP,1)*IF(GO:GO&lt;0,-1,1)+IF(GO:GO&lt;0,-1,1)*COUNTIF(FZ$2:FZ26,FZ:FZ),"")</f>
        <v/>
      </c>
      <c r="GC27" s="144" t="str">
        <f>IF(AND(Include_study?="Yes",Sufficient_data="Yes"),RANK(GS:GS,GS:GS,1)*IF(GR:GR&lt;0,-1,1)+IF(GR:GR&lt;0,-1,1)*COUNTIF(FZ$2:FZ26,FZ:FZ),"")</f>
        <v/>
      </c>
      <c r="GD27" s="39" t="e">
        <f>IF(AND(Include_study?="Yes",Sufficient_data="Yes"),'Publication Bias Analysis'!E27,NA())</f>
        <v>#N/A</v>
      </c>
      <c r="GE27" s="74" t="e">
        <f>IF(AND(Include_study?="Yes",Sufficient_data="Yes"),'Publication Bias Analysis'!F27,NA())</f>
        <v>#N/A</v>
      </c>
      <c r="GK27" s="176"/>
      <c r="GL2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7" s="39" t="str">
        <f t="shared" si="81"/>
        <v/>
      </c>
      <c r="GN2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7" s="39" t="str">
        <f>IF(AND(Include_study?="Yes",Sufficient_data="Yes"),IF('Publication Bias Analysis'!L$38="Left",'Publication Bias Analysis'!E:E-GW$3,GW$3-'Publication Bias Analysis'!E:E),"")</f>
        <v/>
      </c>
      <c r="GP27" s="39" t="str">
        <f t="shared" si="82"/>
        <v/>
      </c>
      <c r="GQ2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7" s="39" t="str">
        <f>IF(AND(Include_study?="Yes",Sufficient_data="Yes"),IF('Publication Bias Analysis'!L$38="Left",'Publication Bias Analysis'!E:E-GW$10,GW$10-'Publication Bias Analysis'!E:E),"")</f>
        <v/>
      </c>
      <c r="GS27" s="39" t="str">
        <f t="shared" si="83"/>
        <v/>
      </c>
      <c r="GT2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7"/>
      <c r="GW27"/>
      <c r="GY27" s="89">
        <v>26</v>
      </c>
      <c r="GZ27" s="7" t="str">
        <f>IF(Trim_and_fill="On",IF(GW$21&gt;(COUNT(GZ$2:GZ26)),IF(COUNTIF(GA:GA,-1*(MAX(GA:GA)-GY27+1))=1,"",MAX(GA:GA)-GY27+1),""),"")</f>
        <v/>
      </c>
      <c r="HA27" s="69" t="str">
        <f t="shared" si="84"/>
        <v/>
      </c>
      <c r="HB27" s="69" t="str">
        <f t="shared" si="85"/>
        <v/>
      </c>
      <c r="HC27" s="69" t="str">
        <f t="shared" si="86"/>
        <v/>
      </c>
      <c r="HD27" s="39" t="str">
        <f>IF(GZ27&lt;&gt;"",1/(HB27^2+'Publication Bias Analysis'!L$32),"")</f>
        <v/>
      </c>
      <c r="HE27" s="74" t="str">
        <f>IF(GZ27&lt;&gt;"",HA:HA-'Publication Bias Analysis'!I$37,"")</f>
        <v/>
      </c>
      <c r="HF27" s="45"/>
      <c r="HG27" s="89">
        <v>26</v>
      </c>
      <c r="HH27" s="69" t="e">
        <f t="shared" si="87"/>
        <v>#N/A</v>
      </c>
      <c r="HI27" s="74" t="e">
        <f t="shared" si="88"/>
        <v>#N/A</v>
      </c>
      <c r="HK27" s="176"/>
      <c r="HL27" s="66" t="str">
        <f t="shared" si="89"/>
        <v/>
      </c>
      <c r="HM27" s="74" t="str">
        <f>IF(AND(Include_study?="Yes",Sufficient_data="Yes"),Z_score-('Publication Bias Analysis'!P$3+'Publication Bias Analysis'!P$4*Inverse_standard_error),"")</f>
        <v/>
      </c>
      <c r="HO27" s="176"/>
      <c r="HP27" s="64" t="str">
        <f>IF(AND(Include_study?="Yes",Sufficient_data="Yes"),(GD:GD-SUMPRODUCT(Calculations!FT:FT,'Publication Bias Analysis'!E:E)/SUM(Calculations!FT:FT))/SQRT(Calculations!HQ:HQ),"")</f>
        <v/>
      </c>
      <c r="HQ27" s="64" t="str">
        <f>IF(AND(Include_study?="Yes",Sufficient_data="Yes"),GE:GE^2-1/SUM(Calculations!FT:FT),"")</f>
        <v/>
      </c>
      <c r="HR27" s="7" t="str">
        <f t="shared" si="90"/>
        <v/>
      </c>
      <c r="HS27" s="7" t="str">
        <f t="shared" si="91"/>
        <v/>
      </c>
      <c r="HT27" s="7" t="str">
        <f>IF(AND(Include_study?="Yes",Sufficient_data="Yes"),COUNTIFS(HR$2:HR26,"&lt;"&amp;HR27,HS$2:HS26,"&lt;"&amp;HS27)+COUNTIFS(HR28:HR$201,"&lt;"&amp;HR27,HS28:HS$201,"&lt;"&amp;HS27)+COUNTIFS(HR$2:HR26,"&gt;"&amp;HR27,HS$2:HS26,"&gt;"&amp;HS27)+COUNTIFS(HR28:HR$201,"&gt;"&amp;HR27,HS28:HS$201,"&gt;"&amp;HS27),"")</f>
        <v/>
      </c>
      <c r="HU27" s="104" t="str">
        <f>IF(AND(Include_study?="Yes",Sufficient_data="Yes"),COUNTIFS(HR$2:HR26,"&lt;"&amp;HR27,HS$2:HS26,"&gt;"&amp;HS27)+COUNTIFS(HR28:HR$201,"&lt;"&amp;HR27,HS28:HS$201,"&gt;"&amp;HS27)+COUNTIFS(HR$2:HR26,"&gt;"&amp;HR27,HS$2:HS26,"&lt;"&amp;HS27)+COUNTIFS(HR28:HR$201,"&gt;"&amp;HR27,HS28:HS$201,"&lt;"&amp;HS27),"")</f>
        <v/>
      </c>
      <c r="HW27" s="176"/>
      <c r="IB27" s="176"/>
      <c r="IC27" s="146" t="e">
        <f t="shared" si="92"/>
        <v>#N/A</v>
      </c>
      <c r="ID27" s="137" t="e">
        <f t="shared" si="93"/>
        <v>#N/A</v>
      </c>
      <c r="IE27" s="137" t="str">
        <f t="shared" si="94"/>
        <v/>
      </c>
      <c r="IF27" s="95" t="str">
        <f t="shared" si="95"/>
        <v/>
      </c>
      <c r="IK27" s="176"/>
      <c r="IL27" s="3" t="e">
        <f>IF(AND(Include_study?="Yes",Sufficient_data="Yes"),'Publication Bias Analysis'!AV:AV,NA())</f>
        <v>#N/A</v>
      </c>
      <c r="IM27" s="158" t="e">
        <f>IF(AND(Sufficient_data="Yes",Include_study?="Yes"),'Publication Bias Analysis'!AU:AU,NA())</f>
        <v>#N/A</v>
      </c>
      <c r="IN27" s="62" t="str">
        <f t="shared" si="96"/>
        <v/>
      </c>
      <c r="IO27" s="74" t="str">
        <f>IF(AND(Include_study?="Yes",Sufficient_data="Yes"),Z_score-('Publication Bias Analysis'!AY$30+'Publication Bias Analysis'!AY$31*Inverse_standard_error),"")</f>
        <v/>
      </c>
      <c r="IU27" s="176"/>
      <c r="IV27" s="7" t="str">
        <f>IF('Publication Bias Analysis'!BG:BG&lt;&gt;"",RANK('Publication Bias Analysis'!BG:BG,'Publication Bias Analysis'!BG:BG,1)+COUNTIF('Publication Bias Analysis'!BG$2:BG26,'Publication Bias Analysis'!BG27),"")</f>
        <v/>
      </c>
      <c r="IW27" s="124" t="str">
        <f t="shared" si="97"/>
        <v/>
      </c>
      <c r="IX27" s="125" t="e">
        <f>IF('Publication Bias Analysis'!BF27&lt;&gt;"",'Publication Bias Analysis'!BF27,NA())</f>
        <v>#N/A</v>
      </c>
      <c r="IY27" s="125" t="e">
        <f>IF('Publication Bias Analysis'!BG27&lt;&gt;"",'Publication Bias Analysis'!BG27,NA())</f>
        <v>#N/A</v>
      </c>
      <c r="IZ27" s="62" t="str">
        <f>IF(AND(Include_study?="Yes",Sufficient_data="Yes"),'Publication Bias Analysis'!BF:BF-AVERAGE('Publication Bias Analysis'!BF:BF),"")</f>
        <v/>
      </c>
      <c r="JA27" s="74" t="str">
        <f>IF(AND(Include_study?="Yes",Sufficient_data="Yes"),'Publication Bias Analysis'!BG:BG-('Publication Bias Analysis'!BJ$30+'Publication Bias Analysis'!BJ$31*'Publication Bias Analysis'!BF:BF),"")</f>
        <v/>
      </c>
      <c r="JG27" s="176"/>
      <c r="JH27" s="39" t="str">
        <f t="shared" si="98"/>
        <v/>
      </c>
      <c r="JI27" s="148" t="str">
        <f t="shared" si="124"/>
        <v/>
      </c>
      <c r="JJ27" s="74" t="str">
        <f t="shared" si="125"/>
        <v/>
      </c>
    </row>
    <row r="28" spans="1:270" x14ac:dyDescent="0.2">
      <c r="A28" s="2" t="str">
        <f t="shared" si="0"/>
        <v/>
      </c>
      <c r="B28" s="7" t="str">
        <f>IF(AND(Include_study?="Yes",Sufficient_data="Yes"),IF(Input!a_&lt;&gt;"",Input!a_,Input!n1_-Input!b_),"")</f>
        <v/>
      </c>
      <c r="C28" s="7" t="str">
        <f>IF(AND(Include_study?="Yes",Sufficient_data="Yes"),IF(Input!b_&lt;&gt;"",Input!b_,Input!n1_-Input!a_),"")</f>
        <v/>
      </c>
      <c r="D28" s="7" t="str">
        <f>IF(AND(Include_study?="Yes",Sufficient_data="Yes"),IF(Input!c_&lt;&gt;"",Input!c_,Input!n2_-Input!d_),"")</f>
        <v/>
      </c>
      <c r="E28" s="7" t="str">
        <f>IF(AND(Include_study?="Yes",Sufficient_data="Yes"),IF(Input!d_&lt;&gt;"",Input!d_,Input!n2_-Input!c_),"")</f>
        <v/>
      </c>
      <c r="F28" s="74" t="str">
        <f t="shared" si="1"/>
        <v/>
      </c>
      <c r="H28" s="196"/>
      <c r="I28" s="182"/>
      <c r="J28" s="146" t="str">
        <f t="shared" si="2"/>
        <v/>
      </c>
      <c r="K28" s="39" t="str">
        <f t="shared" si="3"/>
        <v/>
      </c>
      <c r="L28" s="39" t="str">
        <f t="shared" si="4"/>
        <v/>
      </c>
      <c r="M28" s="39" t="str">
        <f t="shared" si="5"/>
        <v/>
      </c>
      <c r="N28" s="74" t="str">
        <f t="shared" si="6"/>
        <v/>
      </c>
      <c r="P28" s="176"/>
      <c r="Q28" s="130" t="str">
        <f t="shared" si="7"/>
        <v/>
      </c>
      <c r="R28" s="39" t="str">
        <f t="shared" si="8"/>
        <v/>
      </c>
      <c r="S28" s="39" t="str">
        <f t="shared" si="9"/>
        <v/>
      </c>
      <c r="T28" s="74" t="str">
        <f t="shared" si="10"/>
        <v/>
      </c>
      <c r="V28" s="176"/>
      <c r="W28" s="130" t="str">
        <f t="shared" si="11"/>
        <v/>
      </c>
      <c r="X28" s="39" t="str">
        <f t="shared" si="12"/>
        <v/>
      </c>
      <c r="Y28" s="39" t="str">
        <f t="shared" si="13"/>
        <v/>
      </c>
      <c r="Z28" s="74" t="str">
        <f t="shared" si="14"/>
        <v/>
      </c>
      <c r="AB28" s="176"/>
      <c r="AC28" s="130" t="str">
        <f t="shared" si="15"/>
        <v/>
      </c>
      <c r="AD28" s="39" t="str">
        <f t="shared" si="16"/>
        <v/>
      </c>
      <c r="AE28" s="39" t="str">
        <f t="shared" si="17"/>
        <v/>
      </c>
      <c r="AF28" s="39" t="str">
        <f t="shared" si="18"/>
        <v/>
      </c>
      <c r="AG28" s="74" t="str">
        <f t="shared" si="19"/>
        <v/>
      </c>
      <c r="AI28" s="196"/>
      <c r="AJ2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8" s="136" t="str">
        <f>IF(AJ28&lt;&gt;"",IF(AJ28=0,COUNTIF(AJ$2:AJ27,0)+1,COUNTIF(AJ$2:AJ27,AJ28)+AJ28+COUNTIF(AJ:AJ,0)),"")</f>
        <v/>
      </c>
      <c r="AL28" s="136" t="str">
        <f t="shared" si="20"/>
        <v/>
      </c>
      <c r="AM28" s="155" t="str">
        <f>IF(AND(Include_study?="Yes",Sufficient_data="Yes",Input!Study_name&lt;&gt;""),Input!Study_name,"")</f>
        <v/>
      </c>
      <c r="AN28" s="136" t="str">
        <f t="shared" si="21"/>
        <v/>
      </c>
      <c r="AO28" s="19" t="str">
        <f t="shared" si="22"/>
        <v/>
      </c>
      <c r="AP28" s="158" t="str">
        <f t="shared" si="23"/>
        <v/>
      </c>
      <c r="AQ28" s="158" t="str">
        <f t="shared" si="24"/>
        <v/>
      </c>
      <c r="AR28" s="39" t="str">
        <f t="shared" si="25"/>
        <v/>
      </c>
      <c r="AS28" s="158" t="str">
        <f t="shared" si="26"/>
        <v/>
      </c>
      <c r="AT28" s="39" t="str">
        <f t="shared" si="27"/>
        <v/>
      </c>
      <c r="AU28" s="172" t="str">
        <f t="shared" si="28"/>
        <v/>
      </c>
      <c r="AW28" s="84" t="e">
        <f t="shared" si="29"/>
        <v>#N/A</v>
      </c>
      <c r="AX28" s="3" t="e">
        <f t="shared" si="30"/>
        <v>#N/A</v>
      </c>
      <c r="AY28" s="74" t="e">
        <f t="shared" si="31"/>
        <v>#N/A</v>
      </c>
      <c r="BD28" s="196"/>
      <c r="BE28" s="182"/>
      <c r="BF28" s="3" t="str">
        <f t="shared" si="32"/>
        <v/>
      </c>
      <c r="BG28" s="3" t="str">
        <f t="shared" si="33"/>
        <v/>
      </c>
      <c r="BH28" s="3" t="str">
        <f t="shared" si="34"/>
        <v/>
      </c>
      <c r="BI28" s="39" t="str">
        <f t="shared" si="99"/>
        <v/>
      </c>
      <c r="BJ28" s="95" t="str">
        <f t="shared" si="35"/>
        <v/>
      </c>
      <c r="BO28" s="176"/>
      <c r="BP28" s="158" t="str">
        <f t="shared" si="36"/>
        <v/>
      </c>
      <c r="BQ28" s="158" t="str">
        <f t="shared" si="37"/>
        <v/>
      </c>
      <c r="BR28" s="158" t="str">
        <f t="shared" si="38"/>
        <v/>
      </c>
      <c r="BS28" s="158" t="str">
        <f>IF(AND(Sufficient_data="Yes",Include_study?="Yes"),IF(Add_0_5="Yes",(a_+d_+1)*(ab_+0.5)*(c_+0.5)/(Number_of_subjects+2)^2,(a_+d_)*b_*c_/Number_of_subjects^2),"")</f>
        <v/>
      </c>
      <c r="BT28" s="158" t="str">
        <f t="shared" si="39"/>
        <v/>
      </c>
      <c r="BU28" s="158" t="str">
        <f t="shared" si="40"/>
        <v/>
      </c>
      <c r="BV28" s="158" t="str">
        <f t="shared" si="41"/>
        <v/>
      </c>
      <c r="BW28" s="3" t="str">
        <f t="shared" si="42"/>
        <v/>
      </c>
      <c r="BX28" s="137" t="str">
        <f t="shared" si="43"/>
        <v/>
      </c>
      <c r="BY28" s="95" t="str">
        <f t="shared" si="44"/>
        <v/>
      </c>
      <c r="CD28" s="176"/>
      <c r="CE28" s="130" t="str">
        <f t="shared" si="45"/>
        <v/>
      </c>
      <c r="CF28" s="39" t="str">
        <f t="shared" si="46"/>
        <v/>
      </c>
      <c r="CG28" s="39" t="str">
        <f t="shared" si="47"/>
        <v/>
      </c>
      <c r="CH28" s="39" t="str">
        <f t="shared" si="48"/>
        <v/>
      </c>
      <c r="CI28" s="39" t="str">
        <f t="shared" si="49"/>
        <v/>
      </c>
      <c r="CJ28" s="39" t="str">
        <f t="shared" si="50"/>
        <v/>
      </c>
      <c r="CK28" s="95" t="str">
        <f t="shared" si="51"/>
        <v/>
      </c>
      <c r="CP28" s="176"/>
      <c r="CQ28" s="99" t="str">
        <f t="shared" si="52"/>
        <v/>
      </c>
      <c r="CX28" s="196"/>
      <c r="CY28" s="89" t="e">
        <f t="shared" si="53"/>
        <v>#N/A</v>
      </c>
      <c r="CZ28" s="136" t="str">
        <f t="shared" si="54"/>
        <v/>
      </c>
      <c r="DA28" s="140" t="str">
        <f t="shared" si="55"/>
        <v/>
      </c>
      <c r="DB28" s="39" t="str">
        <f t="shared" si="56"/>
        <v/>
      </c>
      <c r="DC28" s="39" t="str">
        <f t="shared" si="57"/>
        <v/>
      </c>
      <c r="DD28" s="39" t="str">
        <f t="shared" si="58"/>
        <v/>
      </c>
      <c r="DE28" s="39" t="str">
        <f t="shared" si="59"/>
        <v/>
      </c>
      <c r="DF28" s="141" t="str">
        <f t="shared" si="60"/>
        <v/>
      </c>
      <c r="DG28" s="39" t="str">
        <f t="shared" si="61"/>
        <v/>
      </c>
      <c r="DH28" s="39" t="str">
        <f t="shared" si="62"/>
        <v/>
      </c>
      <c r="DI28" s="39" t="str">
        <f t="shared" si="63"/>
        <v/>
      </c>
      <c r="DJ28" s="74" t="str">
        <f t="shared" si="64"/>
        <v/>
      </c>
      <c r="DL28" s="84" t="e">
        <f t="shared" si="65"/>
        <v>#N/A</v>
      </c>
      <c r="DM28" s="39" t="e">
        <f t="shared" si="100"/>
        <v>#N/A</v>
      </c>
      <c r="DN28" s="74" t="e">
        <f t="shared" si="101"/>
        <v>#N/A</v>
      </c>
      <c r="DP28" s="89" t="str">
        <f t="shared" si="102"/>
        <v/>
      </c>
      <c r="DQ28" s="26" t="str">
        <f>IF(AND(Sufficient_data="Yes",Subgroup&lt;&gt;""),IF(COUNTIFS(Input!J$2:J27,"="&amp;"Yes",Input!C$2:C27,"="&amp;"Yes",Input!K$2:K27,"="&amp;Subgroup)&gt;0,"",Subgroup),"")</f>
        <v/>
      </c>
      <c r="DR28" s="7" t="str">
        <f t="shared" si="103"/>
        <v/>
      </c>
      <c r="DS28" s="7" t="str">
        <f t="shared" si="66"/>
        <v/>
      </c>
      <c r="DT28" s="19" t="str">
        <f t="shared" si="67"/>
        <v/>
      </c>
      <c r="DU28" s="12" t="str">
        <f t="shared" si="104"/>
        <v/>
      </c>
      <c r="DV28" s="11" t="str">
        <f t="shared" si="105"/>
        <v/>
      </c>
      <c r="DW28" s="12" t="str">
        <f t="shared" si="68"/>
        <v/>
      </c>
      <c r="DX28" s="19" t="str">
        <f t="shared" si="69"/>
        <v/>
      </c>
      <c r="DY28" s="19" t="str">
        <f t="shared" si="106"/>
        <v/>
      </c>
      <c r="DZ28" s="19" t="str">
        <f t="shared" si="70"/>
        <v/>
      </c>
      <c r="EA28" s="19" t="str">
        <f t="shared" si="71"/>
        <v/>
      </c>
      <c r="EB28" s="7" t="str">
        <f t="shared" si="72"/>
        <v/>
      </c>
      <c r="EC28" s="19" t="str">
        <f t="shared" si="107"/>
        <v/>
      </c>
      <c r="ED28" s="19" t="str">
        <f t="shared" si="108"/>
        <v/>
      </c>
      <c r="EE28" s="19" t="str">
        <f t="shared" si="109"/>
        <v/>
      </c>
      <c r="EF28" s="19" t="str">
        <f t="shared" si="110"/>
        <v/>
      </c>
      <c r="EG28" s="19" t="str">
        <f t="shared" si="111"/>
        <v/>
      </c>
      <c r="EH28" s="19" t="str">
        <f t="shared" si="112"/>
        <v/>
      </c>
      <c r="EI28" s="19" t="str">
        <f t="shared" si="113"/>
        <v/>
      </c>
      <c r="EJ28" s="19" t="str">
        <f t="shared" si="114"/>
        <v/>
      </c>
      <c r="EK28" s="19" t="str">
        <f t="shared" si="73"/>
        <v/>
      </c>
      <c r="EL28" s="19" t="str">
        <f t="shared" si="115"/>
        <v/>
      </c>
      <c r="EM28" s="19" t="str">
        <f t="shared" si="116"/>
        <v/>
      </c>
      <c r="EN28" s="19" t="str">
        <f t="shared" si="117"/>
        <v/>
      </c>
      <c r="EO28" s="19" t="str">
        <f t="shared" si="118"/>
        <v/>
      </c>
      <c r="EP28" s="19" t="str">
        <f t="shared" si="74"/>
        <v/>
      </c>
      <c r="EQ28" s="19" t="e">
        <f t="shared" si="119"/>
        <v>#N/A</v>
      </c>
      <c r="ER28" s="11" t="str">
        <f t="shared" si="120"/>
        <v/>
      </c>
      <c r="ES28" s="19" t="str">
        <f t="shared" si="121"/>
        <v/>
      </c>
      <c r="ET28" s="156" t="str">
        <f t="shared" si="122"/>
        <v/>
      </c>
      <c r="EU28" s="39" t="str">
        <f t="shared" si="75"/>
        <v/>
      </c>
      <c r="EV28" s="74" t="str">
        <f t="shared" si="76"/>
        <v/>
      </c>
      <c r="EX28" s="56" t="s">
        <v>102</v>
      </c>
      <c r="EY28" s="55">
        <f>IF(Subgroup_valid_options="Yes",EY12-EY9,"")</f>
        <v>0.2208494619499819</v>
      </c>
      <c r="FA28" s="196"/>
      <c r="FB28" s="84" t="e">
        <f>IF(AND(Include_study?="Yes",Sufficient_data="Yes",Moderator&lt;&gt;""),'Moderator Analysis'!E28,NA())</f>
        <v>#N/A</v>
      </c>
      <c r="FC28" s="39" t="e">
        <f>IF(AND(Include_study?="Yes",Sufficient_data="Yes",Moderator&lt;&gt;""),'Moderator Analysis'!F28,NA())</f>
        <v>#N/A</v>
      </c>
      <c r="FD28" s="39" t="str">
        <f t="shared" si="77"/>
        <v/>
      </c>
      <c r="FE28" s="39" t="str">
        <f t="shared" si="78"/>
        <v/>
      </c>
      <c r="FF28" s="39" t="str">
        <f>IF(AND(Include_study?="Yes",Sufficient_data="Yes",Moderator&lt;&gt;""),'Moderator Analysis'!F:F-FP$2,"")</f>
        <v/>
      </c>
      <c r="FG28" s="39" t="str">
        <f>IF(AND(Include_study?="Yes",Sufficient_data="Yes",Moderator&lt;&gt;""),'Moderator Analysis'!E:E-FP$3,"")</f>
        <v/>
      </c>
      <c r="FH28" s="74" t="str">
        <f>IF(AND(Include_study?="Yes",Sufficient_data="Yes",Moderator&lt;&gt;""),FE:FE*('Moderator Analysis'!F:F-FP$5-FP$4*'Moderator Analysis'!E:E)^2,"")</f>
        <v/>
      </c>
      <c r="FI28" s="128"/>
      <c r="FJ28" s="92" t="str">
        <f t="shared" si="79"/>
        <v/>
      </c>
      <c r="FK28" s="137" t="str">
        <f>IF(AND(Include_study?="Yes",Sufficient_data="Yes",Moderator&lt;&gt;""),'Moderator Analysis'!F:F-'Moderator Analysis'!J$37,"")</f>
        <v/>
      </c>
      <c r="FL28" s="137" t="str">
        <f>IF(AND(Include_study?="Yes",Sufficient_data="Yes",Moderator&lt;&gt;""),'Moderator Analysis'!E:E-SUMPRODUCT('Moderator Analysis'!E:E,FJ:FJ)/SUM(FJ:FJ),"")</f>
        <v/>
      </c>
      <c r="FM28" s="95" t="str">
        <f>IF(AND(Include_study?="Yes",Sufficient_data="Yes",Moderator&lt;&gt;""),FJ:FJ*('Moderator Analysis'!F:F-'Moderator Analysis'!J$29-'Moderator Analysis'!J$30*'Moderator Analysis'!E:E)^2,"")</f>
        <v/>
      </c>
      <c r="FN28" s="21"/>
      <c r="FR28" s="196"/>
      <c r="FS28" s="182"/>
      <c r="FT2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8" s="39" t="str">
        <f>IF(AND(Include_study?="Yes",Sufficient_data="Yes"),1/('Publication Bias Analysis'!F:F^2+IF(Additional_model="Fixed effect",0,Calculations!GH$12)),"")</f>
        <v/>
      </c>
      <c r="FV28" s="39" t="str">
        <f>IF(AND(Include_study?="Yes",Sufficient_data="Yes"),1/('Publication Bias Analysis'!F:F^2+IF(Additional_model="Fixed effect",0,'Publication Bias Analysis'!L$32)),"")</f>
        <v/>
      </c>
      <c r="FW28" s="39" t="str">
        <f>IF(AND(Include_study?="Yes",Sufficient_data="Yes"),'Publication Bias Analysis'!E:E-'Publication Bias Analysis'!I$37,"")</f>
        <v/>
      </c>
      <c r="FX28" s="39" t="str">
        <f>IF(AND(Include_study?="Yes",Sufficient_data="Yes"),IF(Additional_model="Fixed effect",1/'Publication Bias Analysis'!F:F,1/SQRT('Publication Bias Analysis'!F:F^2+GH$12)),"")</f>
        <v/>
      </c>
      <c r="FY2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8" s="136" t="str">
        <f t="shared" si="80"/>
        <v/>
      </c>
      <c r="GA28" s="144" t="str">
        <f>IF(AND(Include_study?="Yes",Sufficient_data="Yes"),FZ:FZ+IF(GL:GL&lt;0,-1,1)*COUNTIF(FZ$2:FZ27,FZ:FZ),"")</f>
        <v/>
      </c>
      <c r="GB28" s="144" t="str">
        <f>IF(AND(Include_study?="Yes",Sufficient_data="Yes"),RANK(GP:GP,GP:GP,1)*IF(GO:GO&lt;0,-1,1)+IF(GO:GO&lt;0,-1,1)*COUNTIF(FZ$2:FZ27,FZ:FZ),"")</f>
        <v/>
      </c>
      <c r="GC28" s="144" t="str">
        <f>IF(AND(Include_study?="Yes",Sufficient_data="Yes"),RANK(GS:GS,GS:GS,1)*IF(GR:GR&lt;0,-1,1)+IF(GR:GR&lt;0,-1,1)*COUNTIF(FZ$2:FZ27,FZ:FZ),"")</f>
        <v/>
      </c>
      <c r="GD28" s="39" t="e">
        <f>IF(AND(Include_study?="Yes",Sufficient_data="Yes"),'Publication Bias Analysis'!E28,NA())</f>
        <v>#N/A</v>
      </c>
      <c r="GE28" s="74" t="e">
        <f>IF(AND(Include_study?="Yes",Sufficient_data="Yes"),'Publication Bias Analysis'!F28,NA())</f>
        <v>#N/A</v>
      </c>
      <c r="GK28" s="176"/>
      <c r="GL2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8" s="39" t="str">
        <f t="shared" si="81"/>
        <v/>
      </c>
      <c r="GN2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8" s="39" t="str">
        <f>IF(AND(Include_study?="Yes",Sufficient_data="Yes"),IF('Publication Bias Analysis'!L$38="Left",'Publication Bias Analysis'!E:E-GW$3,GW$3-'Publication Bias Analysis'!E:E),"")</f>
        <v/>
      </c>
      <c r="GP28" s="39" t="str">
        <f t="shared" si="82"/>
        <v/>
      </c>
      <c r="GQ2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8" s="39" t="str">
        <f>IF(AND(Include_study?="Yes",Sufficient_data="Yes"),IF('Publication Bias Analysis'!L$38="Left",'Publication Bias Analysis'!E:E-GW$10,GW$10-'Publication Bias Analysis'!E:E),"")</f>
        <v/>
      </c>
      <c r="GS28" s="39" t="str">
        <f t="shared" si="83"/>
        <v/>
      </c>
      <c r="GT2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8"/>
      <c r="GW28"/>
      <c r="GY28" s="89">
        <v>27</v>
      </c>
      <c r="GZ28" s="7" t="str">
        <f>IF(Trim_and_fill="On",IF(GW$21&gt;(COUNT(GZ$2:GZ27)),IF(COUNTIF(GA:GA,-1*(MAX(GA:GA)-GY28+1))=1,"",MAX(GA:GA)-GY28+1),""),"")</f>
        <v/>
      </c>
      <c r="HA28" s="69" t="str">
        <f t="shared" si="84"/>
        <v/>
      </c>
      <c r="HB28" s="69" t="str">
        <f t="shared" si="85"/>
        <v/>
      </c>
      <c r="HC28" s="69" t="str">
        <f t="shared" si="86"/>
        <v/>
      </c>
      <c r="HD28" s="39" t="str">
        <f>IF(GZ28&lt;&gt;"",1/(HB28^2+'Publication Bias Analysis'!L$32),"")</f>
        <v/>
      </c>
      <c r="HE28" s="74" t="str">
        <f>IF(GZ28&lt;&gt;"",HA:HA-'Publication Bias Analysis'!I$37,"")</f>
        <v/>
      </c>
      <c r="HF28" s="45"/>
      <c r="HG28" s="89">
        <v>27</v>
      </c>
      <c r="HH28" s="69" t="e">
        <f t="shared" si="87"/>
        <v>#N/A</v>
      </c>
      <c r="HI28" s="74" t="e">
        <f t="shared" si="88"/>
        <v>#N/A</v>
      </c>
      <c r="HK28" s="176"/>
      <c r="HL28" s="66" t="str">
        <f t="shared" si="89"/>
        <v/>
      </c>
      <c r="HM28" s="74" t="str">
        <f>IF(AND(Include_study?="Yes",Sufficient_data="Yes"),Z_score-('Publication Bias Analysis'!P$3+'Publication Bias Analysis'!P$4*Inverse_standard_error),"")</f>
        <v/>
      </c>
      <c r="HO28" s="176"/>
      <c r="HP28" s="64" t="str">
        <f>IF(AND(Include_study?="Yes",Sufficient_data="Yes"),(GD:GD-SUMPRODUCT(Calculations!FT:FT,'Publication Bias Analysis'!E:E)/SUM(Calculations!FT:FT))/SQRT(Calculations!HQ:HQ),"")</f>
        <v/>
      </c>
      <c r="HQ28" s="64" t="str">
        <f>IF(AND(Include_study?="Yes",Sufficient_data="Yes"),GE:GE^2-1/SUM(Calculations!FT:FT),"")</f>
        <v/>
      </c>
      <c r="HR28" s="7" t="str">
        <f t="shared" si="90"/>
        <v/>
      </c>
      <c r="HS28" s="7" t="str">
        <f t="shared" si="91"/>
        <v/>
      </c>
      <c r="HT28" s="7" t="str">
        <f>IF(AND(Include_study?="Yes",Sufficient_data="Yes"),COUNTIFS(HR$2:HR27,"&lt;"&amp;HR28,HS$2:HS27,"&lt;"&amp;HS28)+COUNTIFS(HR29:HR$201,"&lt;"&amp;HR28,HS29:HS$201,"&lt;"&amp;HS28)+COUNTIFS(HR$2:HR27,"&gt;"&amp;HR28,HS$2:HS27,"&gt;"&amp;HS28)+COUNTIFS(HR29:HR$201,"&gt;"&amp;HR28,HS29:HS$201,"&gt;"&amp;HS28),"")</f>
        <v/>
      </c>
      <c r="HU28" s="104" t="str">
        <f>IF(AND(Include_study?="Yes",Sufficient_data="Yes"),COUNTIFS(HR$2:HR27,"&lt;"&amp;HR28,HS$2:HS27,"&gt;"&amp;HS28)+COUNTIFS(HR29:HR$201,"&lt;"&amp;HR28,HS29:HS$201,"&gt;"&amp;HS28)+COUNTIFS(HR$2:HR27,"&gt;"&amp;HR28,HS$2:HS27,"&lt;"&amp;HS28)+COUNTIFS(HR29:HR$201,"&gt;"&amp;HR28,HS29:HS$201,"&lt;"&amp;HS28),"")</f>
        <v/>
      </c>
      <c r="HW28" s="176"/>
      <c r="IB28" s="176"/>
      <c r="IC28" s="146" t="e">
        <f t="shared" si="92"/>
        <v>#N/A</v>
      </c>
      <c r="ID28" s="137" t="e">
        <f t="shared" si="93"/>
        <v>#N/A</v>
      </c>
      <c r="IE28" s="137" t="str">
        <f t="shared" si="94"/>
        <v/>
      </c>
      <c r="IF28" s="95" t="str">
        <f t="shared" si="95"/>
        <v/>
      </c>
      <c r="IK28" s="176"/>
      <c r="IL28" s="3" t="e">
        <f>IF(AND(Include_study?="Yes",Sufficient_data="Yes"),'Publication Bias Analysis'!AV:AV,NA())</f>
        <v>#N/A</v>
      </c>
      <c r="IM28" s="158" t="e">
        <f>IF(AND(Sufficient_data="Yes",Include_study?="Yes"),'Publication Bias Analysis'!AU:AU,NA())</f>
        <v>#N/A</v>
      </c>
      <c r="IN28" s="62" t="str">
        <f t="shared" si="96"/>
        <v/>
      </c>
      <c r="IO28" s="74" t="str">
        <f>IF(AND(Include_study?="Yes",Sufficient_data="Yes"),Z_score-('Publication Bias Analysis'!AY$30+'Publication Bias Analysis'!AY$31*Inverse_standard_error),"")</f>
        <v/>
      </c>
      <c r="IU28" s="176"/>
      <c r="IV28" s="7" t="str">
        <f>IF('Publication Bias Analysis'!BG:BG&lt;&gt;"",RANK('Publication Bias Analysis'!BG:BG,'Publication Bias Analysis'!BG:BG,1)+COUNTIF('Publication Bias Analysis'!BG$2:BG27,'Publication Bias Analysis'!BG28),"")</f>
        <v/>
      </c>
      <c r="IW28" s="124" t="str">
        <f t="shared" si="97"/>
        <v/>
      </c>
      <c r="IX28" s="125" t="e">
        <f>IF('Publication Bias Analysis'!BF28&lt;&gt;"",'Publication Bias Analysis'!BF28,NA())</f>
        <v>#N/A</v>
      </c>
      <c r="IY28" s="125" t="e">
        <f>IF('Publication Bias Analysis'!BG28&lt;&gt;"",'Publication Bias Analysis'!BG28,NA())</f>
        <v>#N/A</v>
      </c>
      <c r="IZ28" s="62" t="str">
        <f>IF(AND(Include_study?="Yes",Sufficient_data="Yes"),'Publication Bias Analysis'!BF:BF-AVERAGE('Publication Bias Analysis'!BF:BF),"")</f>
        <v/>
      </c>
      <c r="JA28" s="74" t="str">
        <f>IF(AND(Include_study?="Yes",Sufficient_data="Yes"),'Publication Bias Analysis'!BG:BG-('Publication Bias Analysis'!BJ$30+'Publication Bias Analysis'!BJ$31*'Publication Bias Analysis'!BF:BF),"")</f>
        <v/>
      </c>
      <c r="JG28" s="176"/>
      <c r="JH28" s="39" t="str">
        <f t="shared" si="98"/>
        <v/>
      </c>
      <c r="JI28" s="148" t="str">
        <f t="shared" si="124"/>
        <v/>
      </c>
      <c r="JJ28" s="74" t="str">
        <f t="shared" si="125"/>
        <v/>
      </c>
    </row>
    <row r="29" spans="1:270" ht="12" customHeight="1" x14ac:dyDescent="0.2">
      <c r="A29" s="2" t="str">
        <f t="shared" si="0"/>
        <v/>
      </c>
      <c r="B29" s="7" t="str">
        <f>IF(AND(Include_study?="Yes",Sufficient_data="Yes"),IF(Input!a_&lt;&gt;"",Input!a_,Input!n1_-Input!b_),"")</f>
        <v/>
      </c>
      <c r="C29" s="7" t="str">
        <f>IF(AND(Include_study?="Yes",Sufficient_data="Yes"),IF(Input!b_&lt;&gt;"",Input!b_,Input!n1_-Input!a_),"")</f>
        <v/>
      </c>
      <c r="D29" s="7" t="str">
        <f>IF(AND(Include_study?="Yes",Sufficient_data="Yes"),IF(Input!c_&lt;&gt;"",Input!c_,Input!n2_-Input!d_),"")</f>
        <v/>
      </c>
      <c r="E29" s="7" t="str">
        <f>IF(AND(Include_study?="Yes",Sufficient_data="Yes"),IF(Input!d_&lt;&gt;"",Input!d_,Input!n2_-Input!c_),"")</f>
        <v/>
      </c>
      <c r="F29" s="74" t="str">
        <f t="shared" si="1"/>
        <v/>
      </c>
      <c r="H29" s="196"/>
      <c r="I29" s="182"/>
      <c r="J29" s="146" t="str">
        <f t="shared" si="2"/>
        <v/>
      </c>
      <c r="K29" s="39" t="str">
        <f t="shared" si="3"/>
        <v/>
      </c>
      <c r="L29" s="39" t="str">
        <f t="shared" si="4"/>
        <v/>
      </c>
      <c r="M29" s="39" t="str">
        <f t="shared" si="5"/>
        <v/>
      </c>
      <c r="N29" s="74" t="str">
        <f t="shared" si="6"/>
        <v/>
      </c>
      <c r="P29" s="176"/>
      <c r="Q29" s="130" t="str">
        <f t="shared" si="7"/>
        <v/>
      </c>
      <c r="R29" s="39" t="str">
        <f t="shared" si="8"/>
        <v/>
      </c>
      <c r="S29" s="39" t="str">
        <f t="shared" si="9"/>
        <v/>
      </c>
      <c r="T29" s="74" t="str">
        <f t="shared" si="10"/>
        <v/>
      </c>
      <c r="V29" s="176"/>
      <c r="W29" s="130" t="str">
        <f t="shared" si="11"/>
        <v/>
      </c>
      <c r="X29" s="39" t="str">
        <f t="shared" si="12"/>
        <v/>
      </c>
      <c r="Y29" s="39" t="str">
        <f t="shared" si="13"/>
        <v/>
      </c>
      <c r="Z29" s="74" t="str">
        <f t="shared" si="14"/>
        <v/>
      </c>
      <c r="AB29" s="176"/>
      <c r="AC29" s="130" t="str">
        <f t="shared" si="15"/>
        <v/>
      </c>
      <c r="AD29" s="39" t="str">
        <f t="shared" si="16"/>
        <v/>
      </c>
      <c r="AE29" s="39" t="str">
        <f t="shared" si="17"/>
        <v/>
      </c>
      <c r="AF29" s="39" t="str">
        <f t="shared" si="18"/>
        <v/>
      </c>
      <c r="AG29" s="74" t="str">
        <f t="shared" si="19"/>
        <v/>
      </c>
      <c r="AI29" s="196"/>
      <c r="AJ2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9" s="136" t="str">
        <f>IF(AJ29&lt;&gt;"",IF(AJ29=0,COUNTIF(AJ$2:AJ28,0)+1,COUNTIF(AJ$2:AJ28,AJ29)+AJ29+COUNTIF(AJ:AJ,0)),"")</f>
        <v/>
      </c>
      <c r="AL29" s="136" t="str">
        <f t="shared" si="20"/>
        <v/>
      </c>
      <c r="AM29" s="155" t="str">
        <f>IF(AND(Include_study?="Yes",Sufficient_data="Yes",Input!Study_name&lt;&gt;""),Input!Study_name,"")</f>
        <v/>
      </c>
      <c r="AN29" s="136" t="str">
        <f t="shared" si="21"/>
        <v/>
      </c>
      <c r="AO29" s="19" t="str">
        <f t="shared" si="22"/>
        <v/>
      </c>
      <c r="AP29" s="158" t="str">
        <f t="shared" si="23"/>
        <v/>
      </c>
      <c r="AQ29" s="158" t="str">
        <f t="shared" si="24"/>
        <v/>
      </c>
      <c r="AR29" s="39" t="str">
        <f t="shared" si="25"/>
        <v/>
      </c>
      <c r="AS29" s="158" t="str">
        <f t="shared" si="26"/>
        <v/>
      </c>
      <c r="AT29" s="39" t="str">
        <f t="shared" si="27"/>
        <v/>
      </c>
      <c r="AU29" s="172" t="str">
        <f t="shared" si="28"/>
        <v/>
      </c>
      <c r="AW29" s="84" t="e">
        <f t="shared" si="29"/>
        <v>#N/A</v>
      </c>
      <c r="AX29" s="3" t="e">
        <f t="shared" si="30"/>
        <v>#N/A</v>
      </c>
      <c r="AY29" s="74" t="e">
        <f t="shared" si="31"/>
        <v>#N/A</v>
      </c>
      <c r="BD29" s="196"/>
      <c r="BE29" s="182"/>
      <c r="BF29" s="3" t="str">
        <f t="shared" si="32"/>
        <v/>
      </c>
      <c r="BG29" s="3" t="str">
        <f t="shared" si="33"/>
        <v/>
      </c>
      <c r="BH29" s="3" t="str">
        <f t="shared" si="34"/>
        <v/>
      </c>
      <c r="BI29" s="39" t="str">
        <f t="shared" si="99"/>
        <v/>
      </c>
      <c r="BJ29" s="95" t="str">
        <f t="shared" si="35"/>
        <v/>
      </c>
      <c r="BO29" s="176"/>
      <c r="BP29" s="158" t="str">
        <f t="shared" si="36"/>
        <v/>
      </c>
      <c r="BQ29" s="158" t="str">
        <f t="shared" si="37"/>
        <v/>
      </c>
      <c r="BR29" s="158" t="str">
        <f t="shared" si="38"/>
        <v/>
      </c>
      <c r="BS29" s="158" t="str">
        <f>IF(AND(Sufficient_data="Yes",Include_study?="Yes"),IF(Add_0_5="Yes",(a_+d_+1)*(ab_+0.5)*(c_+0.5)/(Number_of_subjects+2)^2,(a_+d_)*b_*c_/Number_of_subjects^2),"")</f>
        <v/>
      </c>
      <c r="BT29" s="158" t="str">
        <f t="shared" si="39"/>
        <v/>
      </c>
      <c r="BU29" s="158" t="str">
        <f t="shared" si="40"/>
        <v/>
      </c>
      <c r="BV29" s="158" t="str">
        <f t="shared" si="41"/>
        <v/>
      </c>
      <c r="BW29" s="3" t="str">
        <f t="shared" si="42"/>
        <v/>
      </c>
      <c r="BX29" s="137" t="str">
        <f t="shared" si="43"/>
        <v/>
      </c>
      <c r="BY29" s="95" t="str">
        <f t="shared" si="44"/>
        <v/>
      </c>
      <c r="CD29" s="176"/>
      <c r="CE29" s="130" t="str">
        <f t="shared" si="45"/>
        <v/>
      </c>
      <c r="CF29" s="39" t="str">
        <f t="shared" si="46"/>
        <v/>
      </c>
      <c r="CG29" s="39" t="str">
        <f t="shared" si="47"/>
        <v/>
      </c>
      <c r="CH29" s="39" t="str">
        <f t="shared" si="48"/>
        <v/>
      </c>
      <c r="CI29" s="39" t="str">
        <f t="shared" si="49"/>
        <v/>
      </c>
      <c r="CJ29" s="39" t="str">
        <f t="shared" si="50"/>
        <v/>
      </c>
      <c r="CK29" s="95" t="str">
        <f t="shared" si="51"/>
        <v/>
      </c>
      <c r="CP29" s="176"/>
      <c r="CQ29" s="99" t="str">
        <f t="shared" si="52"/>
        <v/>
      </c>
      <c r="CX29" s="196"/>
      <c r="CY29" s="89" t="e">
        <f t="shared" si="53"/>
        <v>#N/A</v>
      </c>
      <c r="CZ29" s="136" t="str">
        <f t="shared" si="54"/>
        <v/>
      </c>
      <c r="DA29" s="140" t="str">
        <f t="shared" si="55"/>
        <v/>
      </c>
      <c r="DB29" s="39" t="str">
        <f t="shared" si="56"/>
        <v/>
      </c>
      <c r="DC29" s="39" t="str">
        <f t="shared" si="57"/>
        <v/>
      </c>
      <c r="DD29" s="39" t="str">
        <f t="shared" si="58"/>
        <v/>
      </c>
      <c r="DE29" s="39" t="str">
        <f t="shared" si="59"/>
        <v/>
      </c>
      <c r="DF29" s="141" t="str">
        <f t="shared" si="60"/>
        <v/>
      </c>
      <c r="DG29" s="39" t="str">
        <f t="shared" si="61"/>
        <v/>
      </c>
      <c r="DH29" s="39" t="str">
        <f t="shared" si="62"/>
        <v/>
      </c>
      <c r="DI29" s="39" t="str">
        <f t="shared" si="63"/>
        <v/>
      </c>
      <c r="DJ29" s="74" t="str">
        <f t="shared" si="64"/>
        <v/>
      </c>
      <c r="DL29" s="84" t="e">
        <f t="shared" si="65"/>
        <v>#N/A</v>
      </c>
      <c r="DM29" s="39" t="e">
        <f t="shared" si="100"/>
        <v>#N/A</v>
      </c>
      <c r="DN29" s="74" t="e">
        <f t="shared" si="101"/>
        <v>#N/A</v>
      </c>
      <c r="DP29" s="89" t="str">
        <f t="shared" si="102"/>
        <v/>
      </c>
      <c r="DQ29" s="26" t="str">
        <f>IF(AND(Sufficient_data="Yes",Subgroup&lt;&gt;""),IF(COUNTIFS(Input!J$2:J28,"="&amp;"Yes",Input!C$2:C28,"="&amp;"Yes",Input!K$2:K28,"="&amp;Subgroup)&gt;0,"",Subgroup),"")</f>
        <v/>
      </c>
      <c r="DR29" s="7" t="str">
        <f t="shared" si="103"/>
        <v/>
      </c>
      <c r="DS29" s="7" t="str">
        <f t="shared" si="66"/>
        <v/>
      </c>
      <c r="DT29" s="19" t="str">
        <f t="shared" si="67"/>
        <v/>
      </c>
      <c r="DU29" s="12" t="str">
        <f t="shared" si="104"/>
        <v/>
      </c>
      <c r="DV29" s="11" t="str">
        <f t="shared" si="105"/>
        <v/>
      </c>
      <c r="DW29" s="12" t="str">
        <f t="shared" si="68"/>
        <v/>
      </c>
      <c r="DX29" s="12" t="str">
        <f t="shared" si="69"/>
        <v/>
      </c>
      <c r="DY29" s="19" t="str">
        <f t="shared" si="106"/>
        <v/>
      </c>
      <c r="DZ29" s="12" t="str">
        <f t="shared" si="70"/>
        <v/>
      </c>
      <c r="EA29" s="19" t="str">
        <f t="shared" si="71"/>
        <v/>
      </c>
      <c r="EB29" s="7" t="str">
        <f t="shared" si="72"/>
        <v/>
      </c>
      <c r="EC29" s="19" t="str">
        <f t="shared" si="107"/>
        <v/>
      </c>
      <c r="ED29" s="19" t="str">
        <f t="shared" si="108"/>
        <v/>
      </c>
      <c r="EE29" s="19" t="str">
        <f t="shared" si="109"/>
        <v/>
      </c>
      <c r="EF29" s="19" t="str">
        <f t="shared" si="110"/>
        <v/>
      </c>
      <c r="EG29" s="19" t="str">
        <f t="shared" si="111"/>
        <v/>
      </c>
      <c r="EH29" s="19" t="str">
        <f t="shared" si="112"/>
        <v/>
      </c>
      <c r="EI29" s="19" t="str">
        <f t="shared" si="113"/>
        <v/>
      </c>
      <c r="EJ29" s="19" t="str">
        <f t="shared" si="114"/>
        <v/>
      </c>
      <c r="EK29" s="19" t="str">
        <f t="shared" si="73"/>
        <v/>
      </c>
      <c r="EL29" s="19" t="str">
        <f t="shared" si="115"/>
        <v/>
      </c>
      <c r="EM29" s="19" t="str">
        <f t="shared" si="116"/>
        <v/>
      </c>
      <c r="EN29" s="19" t="str">
        <f t="shared" si="117"/>
        <v/>
      </c>
      <c r="EO29" s="19" t="str">
        <f t="shared" si="118"/>
        <v/>
      </c>
      <c r="EP29" s="19" t="str">
        <f t="shared" si="74"/>
        <v/>
      </c>
      <c r="EQ29" s="19" t="e">
        <f t="shared" si="119"/>
        <v>#N/A</v>
      </c>
      <c r="ER29" s="11" t="str">
        <f t="shared" si="120"/>
        <v/>
      </c>
      <c r="ES29" s="19" t="str">
        <f t="shared" si="121"/>
        <v/>
      </c>
      <c r="ET29" s="156" t="str">
        <f t="shared" si="122"/>
        <v/>
      </c>
      <c r="EU29" s="39" t="str">
        <f t="shared" si="75"/>
        <v/>
      </c>
      <c r="EV29" s="74" t="str">
        <f t="shared" si="76"/>
        <v/>
      </c>
      <c r="EX29" s="56" t="s">
        <v>101</v>
      </c>
      <c r="EY29" s="55">
        <f>IF(Subgroup_valid_options="Yes",EY9-EY13,"")</f>
        <v>0.1929352509671407</v>
      </c>
      <c r="FA29" s="196"/>
      <c r="FB29" s="84" t="e">
        <f>IF(AND(Include_study?="Yes",Sufficient_data="Yes",Moderator&lt;&gt;""),'Moderator Analysis'!E29,NA())</f>
        <v>#N/A</v>
      </c>
      <c r="FC29" s="39" t="e">
        <f>IF(AND(Include_study?="Yes",Sufficient_data="Yes",Moderator&lt;&gt;""),'Moderator Analysis'!F29,NA())</f>
        <v>#N/A</v>
      </c>
      <c r="FD29" s="39" t="str">
        <f t="shared" si="77"/>
        <v/>
      </c>
      <c r="FE29" s="39" t="str">
        <f t="shared" si="78"/>
        <v/>
      </c>
      <c r="FF29" s="39" t="str">
        <f>IF(AND(Include_study?="Yes",Sufficient_data="Yes",Moderator&lt;&gt;""),'Moderator Analysis'!F:F-FP$2,"")</f>
        <v/>
      </c>
      <c r="FG29" s="39" t="str">
        <f>IF(AND(Include_study?="Yes",Sufficient_data="Yes",Moderator&lt;&gt;""),'Moderator Analysis'!E:E-FP$3,"")</f>
        <v/>
      </c>
      <c r="FH29" s="74" t="str">
        <f>IF(AND(Include_study?="Yes",Sufficient_data="Yes",Moderator&lt;&gt;""),FE:FE*('Moderator Analysis'!F:F-FP$5-FP$4*'Moderator Analysis'!E:E)^2,"")</f>
        <v/>
      </c>
      <c r="FI29" s="128"/>
      <c r="FJ29" s="92" t="str">
        <f t="shared" si="79"/>
        <v/>
      </c>
      <c r="FK29" s="137" t="str">
        <f>IF(AND(Include_study?="Yes",Sufficient_data="Yes",Moderator&lt;&gt;""),'Moderator Analysis'!F:F-'Moderator Analysis'!J$37,"")</f>
        <v/>
      </c>
      <c r="FL29" s="137" t="str">
        <f>IF(AND(Include_study?="Yes",Sufficient_data="Yes",Moderator&lt;&gt;""),'Moderator Analysis'!E:E-SUMPRODUCT('Moderator Analysis'!E:E,FJ:FJ)/SUM(FJ:FJ),"")</f>
        <v/>
      </c>
      <c r="FM29" s="95" t="str">
        <f>IF(AND(Include_study?="Yes",Sufficient_data="Yes",Moderator&lt;&gt;""),FJ:FJ*('Moderator Analysis'!F:F-'Moderator Analysis'!J$29-'Moderator Analysis'!J$30*'Moderator Analysis'!E:E)^2,"")</f>
        <v/>
      </c>
      <c r="FN29" s="21"/>
      <c r="FR29" s="196"/>
      <c r="FS29" s="182"/>
      <c r="FT2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9" s="39" t="str">
        <f>IF(AND(Include_study?="Yes",Sufficient_data="Yes"),1/('Publication Bias Analysis'!F:F^2+IF(Additional_model="Fixed effect",0,Calculations!GH$12)),"")</f>
        <v/>
      </c>
      <c r="FV29" s="39" t="str">
        <f>IF(AND(Include_study?="Yes",Sufficient_data="Yes"),1/('Publication Bias Analysis'!F:F^2+IF(Additional_model="Fixed effect",0,'Publication Bias Analysis'!L$32)),"")</f>
        <v/>
      </c>
      <c r="FW29" s="39" t="str">
        <f>IF(AND(Include_study?="Yes",Sufficient_data="Yes"),'Publication Bias Analysis'!E:E-'Publication Bias Analysis'!I$37,"")</f>
        <v/>
      </c>
      <c r="FX29" s="39" t="str">
        <f>IF(AND(Include_study?="Yes",Sufficient_data="Yes"),IF(Additional_model="Fixed effect",1/'Publication Bias Analysis'!F:F,1/SQRT('Publication Bias Analysis'!F:F^2+GH$12)),"")</f>
        <v/>
      </c>
      <c r="FY2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9" s="136" t="str">
        <f t="shared" si="80"/>
        <v/>
      </c>
      <c r="GA29" s="144" t="str">
        <f>IF(AND(Include_study?="Yes",Sufficient_data="Yes"),FZ:FZ+IF(GL:GL&lt;0,-1,1)*COUNTIF(FZ$2:FZ28,FZ:FZ),"")</f>
        <v/>
      </c>
      <c r="GB29" s="144" t="str">
        <f>IF(AND(Include_study?="Yes",Sufficient_data="Yes"),RANK(GP:GP,GP:GP,1)*IF(GO:GO&lt;0,-1,1)+IF(GO:GO&lt;0,-1,1)*COUNTIF(FZ$2:FZ28,FZ:FZ),"")</f>
        <v/>
      </c>
      <c r="GC29" s="144" t="str">
        <f>IF(AND(Include_study?="Yes",Sufficient_data="Yes"),RANK(GS:GS,GS:GS,1)*IF(GR:GR&lt;0,-1,1)+IF(GR:GR&lt;0,-1,1)*COUNTIF(FZ$2:FZ28,FZ:FZ),"")</f>
        <v/>
      </c>
      <c r="GD29" s="39" t="e">
        <f>IF(AND(Include_study?="Yes",Sufficient_data="Yes"),'Publication Bias Analysis'!E29,NA())</f>
        <v>#N/A</v>
      </c>
      <c r="GE29" s="74" t="e">
        <f>IF(AND(Include_study?="Yes",Sufficient_data="Yes"),'Publication Bias Analysis'!F29,NA())</f>
        <v>#N/A</v>
      </c>
      <c r="GK29" s="176"/>
      <c r="GL2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9" s="39" t="str">
        <f t="shared" si="81"/>
        <v/>
      </c>
      <c r="GN2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9" s="39" t="str">
        <f>IF(AND(Include_study?="Yes",Sufficient_data="Yes"),IF('Publication Bias Analysis'!L$38="Left",'Publication Bias Analysis'!E:E-GW$3,GW$3-'Publication Bias Analysis'!E:E),"")</f>
        <v/>
      </c>
      <c r="GP29" s="39" t="str">
        <f t="shared" si="82"/>
        <v/>
      </c>
      <c r="GQ2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9" s="39" t="str">
        <f>IF(AND(Include_study?="Yes",Sufficient_data="Yes"),IF('Publication Bias Analysis'!L$38="Left",'Publication Bias Analysis'!E:E-GW$10,GW$10-'Publication Bias Analysis'!E:E),"")</f>
        <v/>
      </c>
      <c r="GS29" s="39" t="str">
        <f t="shared" si="83"/>
        <v/>
      </c>
      <c r="GT2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29"/>
      <c r="GW29"/>
      <c r="GX29"/>
      <c r="GY29" s="89">
        <v>28</v>
      </c>
      <c r="GZ29" s="7" t="str">
        <f>IF(Trim_and_fill="On",IF(GW$21&gt;(COUNT(GZ$2:GZ28)),IF(COUNTIF(GA:GA,-1*(MAX(GA:GA)-GY29+1))=1,"",MAX(GA:GA)-GY29+1),""),"")</f>
        <v/>
      </c>
      <c r="HA29" s="69" t="str">
        <f t="shared" si="84"/>
        <v/>
      </c>
      <c r="HB29" s="69" t="str">
        <f t="shared" si="85"/>
        <v/>
      </c>
      <c r="HC29" s="69" t="str">
        <f t="shared" si="86"/>
        <v/>
      </c>
      <c r="HD29" s="39" t="str">
        <f>IF(GZ29&lt;&gt;"",1/(HB29^2+'Publication Bias Analysis'!L$32),"")</f>
        <v/>
      </c>
      <c r="HE29" s="74" t="str">
        <f>IF(GZ29&lt;&gt;"",HA:HA-'Publication Bias Analysis'!I$37,"")</f>
        <v/>
      </c>
      <c r="HF29" s="45"/>
      <c r="HG29" s="89">
        <v>28</v>
      </c>
      <c r="HH29" s="69" t="e">
        <f t="shared" si="87"/>
        <v>#N/A</v>
      </c>
      <c r="HI29" s="74" t="e">
        <f t="shared" si="88"/>
        <v>#N/A</v>
      </c>
      <c r="HK29" s="176"/>
      <c r="HL29" s="66" t="str">
        <f t="shared" si="89"/>
        <v/>
      </c>
      <c r="HM29" s="74" t="str">
        <f>IF(AND(Include_study?="Yes",Sufficient_data="Yes"),Z_score-('Publication Bias Analysis'!P$3+'Publication Bias Analysis'!P$4*Inverse_standard_error),"")</f>
        <v/>
      </c>
      <c r="HO29" s="176"/>
      <c r="HP29" s="64" t="str">
        <f>IF(AND(Include_study?="Yes",Sufficient_data="Yes"),(GD:GD-SUMPRODUCT(Calculations!FT:FT,'Publication Bias Analysis'!E:E)/SUM(Calculations!FT:FT))/SQRT(Calculations!HQ:HQ),"")</f>
        <v/>
      </c>
      <c r="HQ29" s="64" t="str">
        <f>IF(AND(Include_study?="Yes",Sufficient_data="Yes"),GE:GE^2-1/SUM(Calculations!FT:FT),"")</f>
        <v/>
      </c>
      <c r="HR29" s="7" t="str">
        <f t="shared" si="90"/>
        <v/>
      </c>
      <c r="HS29" s="7" t="str">
        <f t="shared" si="91"/>
        <v/>
      </c>
      <c r="HT29" s="7" t="str">
        <f>IF(AND(Include_study?="Yes",Sufficient_data="Yes"),COUNTIFS(HR$2:HR28,"&lt;"&amp;HR29,HS$2:HS28,"&lt;"&amp;HS29)+COUNTIFS(HR30:HR$201,"&lt;"&amp;HR29,HS30:HS$201,"&lt;"&amp;HS29)+COUNTIFS(HR$2:HR28,"&gt;"&amp;HR29,HS$2:HS28,"&gt;"&amp;HS29)+COUNTIFS(HR30:HR$201,"&gt;"&amp;HR29,HS30:HS$201,"&gt;"&amp;HS29),"")</f>
        <v/>
      </c>
      <c r="HU29" s="104" t="str">
        <f>IF(AND(Include_study?="Yes",Sufficient_data="Yes"),COUNTIFS(HR$2:HR28,"&lt;"&amp;HR29,HS$2:HS28,"&gt;"&amp;HS29)+COUNTIFS(HR30:HR$201,"&lt;"&amp;HR29,HS30:HS$201,"&gt;"&amp;HS29)+COUNTIFS(HR$2:HR28,"&gt;"&amp;HR29,HS$2:HS28,"&lt;"&amp;HS29)+COUNTIFS(HR30:HR$201,"&gt;"&amp;HR29,HS30:HS$201,"&lt;"&amp;HS29),"")</f>
        <v/>
      </c>
      <c r="HW29" s="176"/>
      <c r="IB29" s="176"/>
      <c r="IC29" s="146" t="e">
        <f t="shared" si="92"/>
        <v>#N/A</v>
      </c>
      <c r="ID29" s="137" t="e">
        <f t="shared" si="93"/>
        <v>#N/A</v>
      </c>
      <c r="IE29" s="137" t="str">
        <f t="shared" si="94"/>
        <v/>
      </c>
      <c r="IF29" s="95" t="str">
        <f t="shared" si="95"/>
        <v/>
      </c>
      <c r="IK29" s="176"/>
      <c r="IL29" s="3" t="e">
        <f>IF(AND(Include_study?="Yes",Sufficient_data="Yes"),'Publication Bias Analysis'!AV:AV,NA())</f>
        <v>#N/A</v>
      </c>
      <c r="IM29" s="158" t="e">
        <f>IF(AND(Sufficient_data="Yes",Include_study?="Yes"),'Publication Bias Analysis'!AU:AU,NA())</f>
        <v>#N/A</v>
      </c>
      <c r="IN29" s="62" t="str">
        <f t="shared" si="96"/>
        <v/>
      </c>
      <c r="IO29" s="74" t="str">
        <f>IF(AND(Include_study?="Yes",Sufficient_data="Yes"),Z_score-('Publication Bias Analysis'!AY$30+'Publication Bias Analysis'!AY$31*Inverse_standard_error),"")</f>
        <v/>
      </c>
      <c r="IU29" s="176"/>
      <c r="IV29" s="7" t="str">
        <f>IF('Publication Bias Analysis'!BG:BG&lt;&gt;"",RANK('Publication Bias Analysis'!BG:BG,'Publication Bias Analysis'!BG:BG,1)+COUNTIF('Publication Bias Analysis'!BG$2:BG28,'Publication Bias Analysis'!BG29),"")</f>
        <v/>
      </c>
      <c r="IW29" s="124" t="str">
        <f t="shared" si="97"/>
        <v/>
      </c>
      <c r="IX29" s="125" t="e">
        <f>IF('Publication Bias Analysis'!BF29&lt;&gt;"",'Publication Bias Analysis'!BF29,NA())</f>
        <v>#N/A</v>
      </c>
      <c r="IY29" s="125" t="e">
        <f>IF('Publication Bias Analysis'!BG29&lt;&gt;"",'Publication Bias Analysis'!BG29,NA())</f>
        <v>#N/A</v>
      </c>
      <c r="IZ29" s="62" t="str">
        <f>IF(AND(Include_study?="Yes",Sufficient_data="Yes"),'Publication Bias Analysis'!BF:BF-AVERAGE('Publication Bias Analysis'!BF:BF),"")</f>
        <v/>
      </c>
      <c r="JA29" s="74" t="str">
        <f>IF(AND(Include_study?="Yes",Sufficient_data="Yes"),'Publication Bias Analysis'!BG:BG-('Publication Bias Analysis'!BJ$30+'Publication Bias Analysis'!BJ$31*'Publication Bias Analysis'!BF:BF),"")</f>
        <v/>
      </c>
      <c r="JG29" s="176"/>
      <c r="JH29" s="39" t="str">
        <f t="shared" si="98"/>
        <v/>
      </c>
      <c r="JI29" s="148" t="str">
        <f t="shared" si="124"/>
        <v/>
      </c>
      <c r="JJ29" s="74" t="str">
        <f t="shared" si="125"/>
        <v/>
      </c>
    </row>
    <row r="30" spans="1:270" ht="12" customHeight="1" x14ac:dyDescent="0.2">
      <c r="A30" s="2" t="str">
        <f t="shared" si="0"/>
        <v/>
      </c>
      <c r="B30" s="7" t="str">
        <f>IF(AND(Include_study?="Yes",Sufficient_data="Yes"),IF(Input!a_&lt;&gt;"",Input!a_,Input!n1_-Input!b_),"")</f>
        <v/>
      </c>
      <c r="C30" s="7" t="str">
        <f>IF(AND(Include_study?="Yes",Sufficient_data="Yes"),IF(Input!b_&lt;&gt;"",Input!b_,Input!n1_-Input!a_),"")</f>
        <v/>
      </c>
      <c r="D30" s="7" t="str">
        <f>IF(AND(Include_study?="Yes",Sufficient_data="Yes"),IF(Input!c_&lt;&gt;"",Input!c_,Input!n2_-Input!d_),"")</f>
        <v/>
      </c>
      <c r="E30" s="7" t="str">
        <f>IF(AND(Include_study?="Yes",Sufficient_data="Yes"),IF(Input!d_&lt;&gt;"",Input!d_,Input!n2_-Input!c_),"")</f>
        <v/>
      </c>
      <c r="F30" s="74" t="str">
        <f t="shared" si="1"/>
        <v/>
      </c>
      <c r="H30" s="196"/>
      <c r="I30" s="182"/>
      <c r="J30" s="146" t="str">
        <f t="shared" si="2"/>
        <v/>
      </c>
      <c r="K30" s="39" t="str">
        <f t="shared" si="3"/>
        <v/>
      </c>
      <c r="L30" s="39" t="str">
        <f t="shared" si="4"/>
        <v/>
      </c>
      <c r="M30" s="39" t="str">
        <f t="shared" si="5"/>
        <v/>
      </c>
      <c r="N30" s="74" t="str">
        <f t="shared" si="6"/>
        <v/>
      </c>
      <c r="P30" s="176"/>
      <c r="Q30" s="130" t="str">
        <f t="shared" si="7"/>
        <v/>
      </c>
      <c r="R30" s="39" t="str">
        <f t="shared" si="8"/>
        <v/>
      </c>
      <c r="S30" s="39" t="str">
        <f t="shared" si="9"/>
        <v/>
      </c>
      <c r="T30" s="74" t="str">
        <f t="shared" si="10"/>
        <v/>
      </c>
      <c r="V30" s="176"/>
      <c r="W30" s="130" t="str">
        <f t="shared" si="11"/>
        <v/>
      </c>
      <c r="X30" s="39" t="str">
        <f t="shared" si="12"/>
        <v/>
      </c>
      <c r="Y30" s="39" t="str">
        <f t="shared" si="13"/>
        <v/>
      </c>
      <c r="Z30" s="74" t="str">
        <f t="shared" si="14"/>
        <v/>
      </c>
      <c r="AB30" s="176"/>
      <c r="AC30" s="130" t="str">
        <f t="shared" si="15"/>
        <v/>
      </c>
      <c r="AD30" s="39" t="str">
        <f t="shared" si="16"/>
        <v/>
      </c>
      <c r="AE30" s="39" t="str">
        <f t="shared" si="17"/>
        <v/>
      </c>
      <c r="AF30" s="39" t="str">
        <f t="shared" si="18"/>
        <v/>
      </c>
      <c r="AG30" s="74" t="str">
        <f t="shared" si="19"/>
        <v/>
      </c>
      <c r="AI30" s="196"/>
      <c r="AJ3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0" s="136" t="str">
        <f>IF(AJ30&lt;&gt;"",IF(AJ30=0,COUNTIF(AJ$2:AJ29,0)+1,COUNTIF(AJ$2:AJ29,AJ30)+AJ30+COUNTIF(AJ:AJ,0)),"")</f>
        <v/>
      </c>
      <c r="AL30" s="136" t="str">
        <f t="shared" si="20"/>
        <v/>
      </c>
      <c r="AM30" s="155" t="str">
        <f>IF(AND(Include_study?="Yes",Sufficient_data="Yes",Input!Study_name&lt;&gt;""),Input!Study_name,"")</f>
        <v/>
      </c>
      <c r="AN30" s="136" t="str">
        <f t="shared" si="21"/>
        <v/>
      </c>
      <c r="AO30" s="19" t="str">
        <f t="shared" si="22"/>
        <v/>
      </c>
      <c r="AP30" s="158" t="str">
        <f t="shared" si="23"/>
        <v/>
      </c>
      <c r="AQ30" s="158" t="str">
        <f t="shared" si="24"/>
        <v/>
      </c>
      <c r="AR30" s="39" t="str">
        <f t="shared" si="25"/>
        <v/>
      </c>
      <c r="AS30" s="158" t="str">
        <f t="shared" si="26"/>
        <v/>
      </c>
      <c r="AT30" s="39" t="str">
        <f t="shared" si="27"/>
        <v/>
      </c>
      <c r="AU30" s="172" t="str">
        <f t="shared" si="28"/>
        <v/>
      </c>
      <c r="AW30" s="84" t="e">
        <f t="shared" si="29"/>
        <v>#N/A</v>
      </c>
      <c r="AX30" s="3" t="e">
        <f t="shared" si="30"/>
        <v>#N/A</v>
      </c>
      <c r="AY30" s="74" t="e">
        <f t="shared" si="31"/>
        <v>#N/A</v>
      </c>
      <c r="BD30" s="196"/>
      <c r="BE30" s="182"/>
      <c r="BF30" s="3" t="str">
        <f t="shared" si="32"/>
        <v/>
      </c>
      <c r="BG30" s="3" t="str">
        <f t="shared" si="33"/>
        <v/>
      </c>
      <c r="BH30" s="3" t="str">
        <f t="shared" si="34"/>
        <v/>
      </c>
      <c r="BI30" s="39" t="str">
        <f t="shared" si="99"/>
        <v/>
      </c>
      <c r="BJ30" s="95" t="str">
        <f t="shared" si="35"/>
        <v/>
      </c>
      <c r="BO30" s="176"/>
      <c r="BP30" s="158" t="str">
        <f t="shared" si="36"/>
        <v/>
      </c>
      <c r="BQ30" s="158" t="str">
        <f t="shared" si="37"/>
        <v/>
      </c>
      <c r="BR30" s="158" t="str">
        <f t="shared" si="38"/>
        <v/>
      </c>
      <c r="BS30" s="158" t="str">
        <f>IF(AND(Sufficient_data="Yes",Include_study?="Yes"),IF(Add_0_5="Yes",(a_+d_+1)*(ab_+0.5)*(c_+0.5)/(Number_of_subjects+2)^2,(a_+d_)*b_*c_/Number_of_subjects^2),"")</f>
        <v/>
      </c>
      <c r="BT30" s="158" t="str">
        <f t="shared" si="39"/>
        <v/>
      </c>
      <c r="BU30" s="158" t="str">
        <f t="shared" si="40"/>
        <v/>
      </c>
      <c r="BV30" s="158" t="str">
        <f t="shared" si="41"/>
        <v/>
      </c>
      <c r="BW30" s="3" t="str">
        <f t="shared" si="42"/>
        <v/>
      </c>
      <c r="BX30" s="137" t="str">
        <f t="shared" si="43"/>
        <v/>
      </c>
      <c r="BY30" s="95" t="str">
        <f t="shared" si="44"/>
        <v/>
      </c>
      <c r="CD30" s="176"/>
      <c r="CE30" s="130" t="str">
        <f t="shared" si="45"/>
        <v/>
      </c>
      <c r="CF30" s="39" t="str">
        <f t="shared" si="46"/>
        <v/>
      </c>
      <c r="CG30" s="39" t="str">
        <f t="shared" si="47"/>
        <v/>
      </c>
      <c r="CH30" s="39" t="str">
        <f t="shared" si="48"/>
        <v/>
      </c>
      <c r="CI30" s="39" t="str">
        <f t="shared" si="49"/>
        <v/>
      </c>
      <c r="CJ30" s="39" t="str">
        <f t="shared" si="50"/>
        <v/>
      </c>
      <c r="CK30" s="95" t="str">
        <f t="shared" si="51"/>
        <v/>
      </c>
      <c r="CP30" s="176"/>
      <c r="CQ30" s="99" t="str">
        <f t="shared" si="52"/>
        <v/>
      </c>
      <c r="CX30" s="196"/>
      <c r="CY30" s="89" t="e">
        <f t="shared" si="53"/>
        <v>#N/A</v>
      </c>
      <c r="CZ30" s="136" t="str">
        <f t="shared" si="54"/>
        <v/>
      </c>
      <c r="DA30" s="140" t="str">
        <f t="shared" si="55"/>
        <v/>
      </c>
      <c r="DB30" s="39" t="str">
        <f t="shared" si="56"/>
        <v/>
      </c>
      <c r="DC30" s="39" t="str">
        <f t="shared" si="57"/>
        <v/>
      </c>
      <c r="DD30" s="39" t="str">
        <f t="shared" si="58"/>
        <v/>
      </c>
      <c r="DE30" s="39" t="str">
        <f t="shared" si="59"/>
        <v/>
      </c>
      <c r="DF30" s="141" t="str">
        <f t="shared" si="60"/>
        <v/>
      </c>
      <c r="DG30" s="39" t="str">
        <f t="shared" si="61"/>
        <v/>
      </c>
      <c r="DH30" s="39" t="str">
        <f t="shared" si="62"/>
        <v/>
      </c>
      <c r="DI30" s="39" t="str">
        <f t="shared" si="63"/>
        <v/>
      </c>
      <c r="DJ30" s="74" t="str">
        <f t="shared" si="64"/>
        <v/>
      </c>
      <c r="DL30" s="84" t="e">
        <f t="shared" si="65"/>
        <v>#N/A</v>
      </c>
      <c r="DM30" s="39" t="e">
        <f t="shared" si="100"/>
        <v>#N/A</v>
      </c>
      <c r="DN30" s="74" t="e">
        <f t="shared" si="101"/>
        <v>#N/A</v>
      </c>
      <c r="DP30" s="89" t="str">
        <f t="shared" si="102"/>
        <v/>
      </c>
      <c r="DQ30" s="26" t="str">
        <f>IF(AND(Sufficient_data="Yes",Subgroup&lt;&gt;""),IF(COUNTIFS(Input!J$2:J29,"="&amp;"Yes",Input!C$2:C29,"="&amp;"Yes",Input!K$2:K29,"="&amp;Subgroup)&gt;0,"",Subgroup),"")</f>
        <v/>
      </c>
      <c r="DR30" s="7" t="str">
        <f t="shared" si="103"/>
        <v/>
      </c>
      <c r="DS30" s="7" t="str">
        <f t="shared" si="66"/>
        <v/>
      </c>
      <c r="DT30" s="19" t="str">
        <f t="shared" si="67"/>
        <v/>
      </c>
      <c r="DU30" s="12" t="str">
        <f t="shared" si="104"/>
        <v/>
      </c>
      <c r="DV30" s="11" t="str">
        <f t="shared" si="105"/>
        <v/>
      </c>
      <c r="DW30" s="12" t="str">
        <f t="shared" si="68"/>
        <v/>
      </c>
      <c r="DX30" s="12" t="str">
        <f t="shared" si="69"/>
        <v/>
      </c>
      <c r="DY30" s="19" t="str">
        <f t="shared" si="106"/>
        <v/>
      </c>
      <c r="DZ30" s="12" t="str">
        <f t="shared" si="70"/>
        <v/>
      </c>
      <c r="EA30" s="19" t="str">
        <f t="shared" si="71"/>
        <v/>
      </c>
      <c r="EB30" s="7" t="str">
        <f t="shared" si="72"/>
        <v/>
      </c>
      <c r="EC30" s="19" t="str">
        <f t="shared" si="107"/>
        <v/>
      </c>
      <c r="ED30" s="19" t="str">
        <f t="shared" si="108"/>
        <v/>
      </c>
      <c r="EE30" s="19" t="str">
        <f t="shared" si="109"/>
        <v/>
      </c>
      <c r="EF30" s="19" t="str">
        <f t="shared" si="110"/>
        <v/>
      </c>
      <c r="EG30" s="19" t="str">
        <f t="shared" si="111"/>
        <v/>
      </c>
      <c r="EH30" s="19" t="str">
        <f t="shared" si="112"/>
        <v/>
      </c>
      <c r="EI30" s="19" t="str">
        <f t="shared" si="113"/>
        <v/>
      </c>
      <c r="EJ30" s="19" t="str">
        <f t="shared" si="114"/>
        <v/>
      </c>
      <c r="EK30" s="19" t="str">
        <f t="shared" si="73"/>
        <v/>
      </c>
      <c r="EL30" s="19" t="str">
        <f t="shared" si="115"/>
        <v/>
      </c>
      <c r="EM30" s="19" t="str">
        <f t="shared" si="116"/>
        <v/>
      </c>
      <c r="EN30" s="19" t="str">
        <f t="shared" si="117"/>
        <v/>
      </c>
      <c r="EO30" s="19" t="str">
        <f t="shared" si="118"/>
        <v/>
      </c>
      <c r="EP30" s="19" t="str">
        <f t="shared" si="74"/>
        <v/>
      </c>
      <c r="EQ30" s="19" t="e">
        <f t="shared" si="119"/>
        <v>#N/A</v>
      </c>
      <c r="ER30" s="11" t="str">
        <f t="shared" si="120"/>
        <v/>
      </c>
      <c r="ES30" s="19" t="str">
        <f t="shared" si="121"/>
        <v/>
      </c>
      <c r="ET30" s="156" t="str">
        <f t="shared" si="122"/>
        <v/>
      </c>
      <c r="EU30" s="39" t="str">
        <f t="shared" si="75"/>
        <v/>
      </c>
      <c r="EV30" s="74" t="str">
        <f t="shared" si="76"/>
        <v/>
      </c>
      <c r="EX30" s="56" t="s">
        <v>100</v>
      </c>
      <c r="EY30" s="55">
        <f>IF(Subgroup_valid_options="Yes",EY14-EY9,"")</f>
        <v>0.2208494619499819</v>
      </c>
      <c r="FA30" s="196"/>
      <c r="FB30" s="84" t="e">
        <f>IF(AND(Include_study?="Yes",Sufficient_data="Yes",Moderator&lt;&gt;""),'Moderator Analysis'!E30,NA())</f>
        <v>#N/A</v>
      </c>
      <c r="FC30" s="39" t="e">
        <f>IF(AND(Include_study?="Yes",Sufficient_data="Yes",Moderator&lt;&gt;""),'Moderator Analysis'!F30,NA())</f>
        <v>#N/A</v>
      </c>
      <c r="FD30" s="39" t="str">
        <f t="shared" si="77"/>
        <v/>
      </c>
      <c r="FE30" s="39" t="str">
        <f t="shared" si="78"/>
        <v/>
      </c>
      <c r="FF30" s="39" t="str">
        <f>IF(AND(Include_study?="Yes",Sufficient_data="Yes",Moderator&lt;&gt;""),'Moderator Analysis'!F:F-FP$2,"")</f>
        <v/>
      </c>
      <c r="FG30" s="39" t="str">
        <f>IF(AND(Include_study?="Yes",Sufficient_data="Yes",Moderator&lt;&gt;""),'Moderator Analysis'!E:E-FP$3,"")</f>
        <v/>
      </c>
      <c r="FH30" s="74" t="str">
        <f>IF(AND(Include_study?="Yes",Sufficient_data="Yes",Moderator&lt;&gt;""),FE:FE*('Moderator Analysis'!F:F-FP$5-FP$4*'Moderator Analysis'!E:E)^2,"")</f>
        <v/>
      </c>
      <c r="FI30" s="128"/>
      <c r="FJ30" s="92" t="str">
        <f t="shared" si="79"/>
        <v/>
      </c>
      <c r="FK30" s="137" t="str">
        <f>IF(AND(Include_study?="Yes",Sufficient_data="Yes",Moderator&lt;&gt;""),'Moderator Analysis'!F:F-'Moderator Analysis'!J$37,"")</f>
        <v/>
      </c>
      <c r="FL30" s="137" t="str">
        <f>IF(AND(Include_study?="Yes",Sufficient_data="Yes",Moderator&lt;&gt;""),'Moderator Analysis'!E:E-SUMPRODUCT('Moderator Analysis'!E:E,FJ:FJ)/SUM(FJ:FJ),"")</f>
        <v/>
      </c>
      <c r="FM30" s="95" t="str">
        <f>IF(AND(Include_study?="Yes",Sufficient_data="Yes",Moderator&lt;&gt;""),FJ:FJ*('Moderator Analysis'!F:F-'Moderator Analysis'!J$29-'Moderator Analysis'!J$30*'Moderator Analysis'!E:E)^2,"")</f>
        <v/>
      </c>
      <c r="FN30" s="21"/>
      <c r="FR30" s="196"/>
      <c r="FS30" s="182"/>
      <c r="FT3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0" s="39" t="str">
        <f>IF(AND(Include_study?="Yes",Sufficient_data="Yes"),1/('Publication Bias Analysis'!F:F^2+IF(Additional_model="Fixed effect",0,Calculations!GH$12)),"")</f>
        <v/>
      </c>
      <c r="FV30" s="39" t="str">
        <f>IF(AND(Include_study?="Yes",Sufficient_data="Yes"),1/('Publication Bias Analysis'!F:F^2+IF(Additional_model="Fixed effect",0,'Publication Bias Analysis'!L$32)),"")</f>
        <v/>
      </c>
      <c r="FW30" s="39" t="str">
        <f>IF(AND(Include_study?="Yes",Sufficient_data="Yes"),'Publication Bias Analysis'!E:E-'Publication Bias Analysis'!I$37,"")</f>
        <v/>
      </c>
      <c r="FX30" s="39" t="str">
        <f>IF(AND(Include_study?="Yes",Sufficient_data="Yes"),IF(Additional_model="Fixed effect",1/'Publication Bias Analysis'!F:F,1/SQRT('Publication Bias Analysis'!F:F^2+GH$12)),"")</f>
        <v/>
      </c>
      <c r="FY3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0" s="136" t="str">
        <f t="shared" si="80"/>
        <v/>
      </c>
      <c r="GA30" s="144" t="str">
        <f>IF(AND(Include_study?="Yes",Sufficient_data="Yes"),FZ:FZ+IF(GL:GL&lt;0,-1,1)*COUNTIF(FZ$2:FZ29,FZ:FZ),"")</f>
        <v/>
      </c>
      <c r="GB30" s="144" t="str">
        <f>IF(AND(Include_study?="Yes",Sufficient_data="Yes"),RANK(GP:GP,GP:GP,1)*IF(GO:GO&lt;0,-1,1)+IF(GO:GO&lt;0,-1,1)*COUNTIF(FZ$2:FZ29,FZ:FZ),"")</f>
        <v/>
      </c>
      <c r="GC30" s="144" t="str">
        <f>IF(AND(Include_study?="Yes",Sufficient_data="Yes"),RANK(GS:GS,GS:GS,1)*IF(GR:GR&lt;0,-1,1)+IF(GR:GR&lt;0,-1,1)*COUNTIF(FZ$2:FZ29,FZ:FZ),"")</f>
        <v/>
      </c>
      <c r="GD30" s="39" t="e">
        <f>IF(AND(Include_study?="Yes",Sufficient_data="Yes"),'Publication Bias Analysis'!E30,NA())</f>
        <v>#N/A</v>
      </c>
      <c r="GE30" s="74" t="e">
        <f>IF(AND(Include_study?="Yes",Sufficient_data="Yes"),'Publication Bias Analysis'!F30,NA())</f>
        <v>#N/A</v>
      </c>
      <c r="GK30" s="176"/>
      <c r="GL3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0" s="39" t="str">
        <f t="shared" si="81"/>
        <v/>
      </c>
      <c r="GN3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0" s="39" t="str">
        <f>IF(AND(Include_study?="Yes",Sufficient_data="Yes"),IF('Publication Bias Analysis'!L$38="Left",'Publication Bias Analysis'!E:E-GW$3,GW$3-'Publication Bias Analysis'!E:E),"")</f>
        <v/>
      </c>
      <c r="GP30" s="39" t="str">
        <f t="shared" si="82"/>
        <v/>
      </c>
      <c r="GQ3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0" s="39" t="str">
        <f>IF(AND(Include_study?="Yes",Sufficient_data="Yes"),IF('Publication Bias Analysis'!L$38="Left",'Publication Bias Analysis'!E:E-GW$10,GW$10-'Publication Bias Analysis'!E:E),"")</f>
        <v/>
      </c>
      <c r="GS30" s="39" t="str">
        <f t="shared" si="83"/>
        <v/>
      </c>
      <c r="GT3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0"/>
      <c r="GW30"/>
      <c r="GX30"/>
      <c r="GY30" s="89">
        <v>29</v>
      </c>
      <c r="GZ30" s="7" t="str">
        <f>IF(Trim_and_fill="On",IF(GW$21&gt;(COUNT(GZ$2:GZ29)),IF(COUNTIF(GA:GA,-1*(MAX(GA:GA)-GY30+1))=1,"",MAX(GA:GA)-GY30+1),""),"")</f>
        <v/>
      </c>
      <c r="HA30" s="69" t="str">
        <f t="shared" si="84"/>
        <v/>
      </c>
      <c r="HB30" s="69" t="str">
        <f t="shared" si="85"/>
        <v/>
      </c>
      <c r="HC30" s="69" t="str">
        <f t="shared" si="86"/>
        <v/>
      </c>
      <c r="HD30" s="39" t="str">
        <f>IF(GZ30&lt;&gt;"",1/(HB30^2+'Publication Bias Analysis'!L$32),"")</f>
        <v/>
      </c>
      <c r="HE30" s="74" t="str">
        <f>IF(GZ30&lt;&gt;"",HA:HA-'Publication Bias Analysis'!I$37,"")</f>
        <v/>
      </c>
      <c r="HF30" s="45"/>
      <c r="HG30" s="89">
        <v>29</v>
      </c>
      <c r="HH30" s="69" t="e">
        <f t="shared" si="87"/>
        <v>#N/A</v>
      </c>
      <c r="HI30" s="74" t="e">
        <f t="shared" si="88"/>
        <v>#N/A</v>
      </c>
      <c r="HK30" s="176"/>
      <c r="HL30" s="66" t="str">
        <f t="shared" si="89"/>
        <v/>
      </c>
      <c r="HM30" s="74" t="str">
        <f>IF(AND(Include_study?="Yes",Sufficient_data="Yes"),Z_score-('Publication Bias Analysis'!P$3+'Publication Bias Analysis'!P$4*Inverse_standard_error),"")</f>
        <v/>
      </c>
      <c r="HO30" s="176"/>
      <c r="HP30" s="64" t="str">
        <f>IF(AND(Include_study?="Yes",Sufficient_data="Yes"),(GD:GD-SUMPRODUCT(Calculations!FT:FT,'Publication Bias Analysis'!E:E)/SUM(Calculations!FT:FT))/SQRT(Calculations!HQ:HQ),"")</f>
        <v/>
      </c>
      <c r="HQ30" s="64" t="str">
        <f>IF(AND(Include_study?="Yes",Sufficient_data="Yes"),GE:GE^2-1/SUM(Calculations!FT:FT),"")</f>
        <v/>
      </c>
      <c r="HR30" s="7" t="str">
        <f t="shared" si="90"/>
        <v/>
      </c>
      <c r="HS30" s="7" t="str">
        <f t="shared" si="91"/>
        <v/>
      </c>
      <c r="HT30" s="7" t="str">
        <f>IF(AND(Include_study?="Yes",Sufficient_data="Yes"),COUNTIFS(HR$2:HR29,"&lt;"&amp;HR30,HS$2:HS29,"&lt;"&amp;HS30)+COUNTIFS(HR31:HR$201,"&lt;"&amp;HR30,HS31:HS$201,"&lt;"&amp;HS30)+COUNTIFS(HR$2:HR29,"&gt;"&amp;HR30,HS$2:HS29,"&gt;"&amp;HS30)+COUNTIFS(HR31:HR$201,"&gt;"&amp;HR30,HS31:HS$201,"&gt;"&amp;HS30),"")</f>
        <v/>
      </c>
      <c r="HU30" s="104" t="str">
        <f>IF(AND(Include_study?="Yes",Sufficient_data="Yes"),COUNTIFS(HR$2:HR29,"&lt;"&amp;HR30,HS$2:HS29,"&gt;"&amp;HS30)+COUNTIFS(HR31:HR$201,"&lt;"&amp;HR30,HS31:HS$201,"&gt;"&amp;HS30)+COUNTIFS(HR$2:HR29,"&gt;"&amp;HR30,HS$2:HS29,"&lt;"&amp;HS30)+COUNTIFS(HR31:HR$201,"&gt;"&amp;HR30,HS31:HS$201,"&lt;"&amp;HS30),"")</f>
        <v/>
      </c>
      <c r="HW30" s="176"/>
      <c r="IB30" s="176"/>
      <c r="IC30" s="146" t="e">
        <f t="shared" si="92"/>
        <v>#N/A</v>
      </c>
      <c r="ID30" s="137" t="e">
        <f t="shared" si="93"/>
        <v>#N/A</v>
      </c>
      <c r="IE30" s="137" t="str">
        <f t="shared" si="94"/>
        <v/>
      </c>
      <c r="IF30" s="95" t="str">
        <f t="shared" si="95"/>
        <v/>
      </c>
      <c r="IK30" s="176"/>
      <c r="IL30" s="3" t="e">
        <f>IF(AND(Include_study?="Yes",Sufficient_data="Yes"),'Publication Bias Analysis'!AV:AV,NA())</f>
        <v>#N/A</v>
      </c>
      <c r="IM30" s="158" t="e">
        <f>IF(AND(Sufficient_data="Yes",Include_study?="Yes"),'Publication Bias Analysis'!AU:AU,NA())</f>
        <v>#N/A</v>
      </c>
      <c r="IN30" s="62" t="str">
        <f t="shared" si="96"/>
        <v/>
      </c>
      <c r="IO30" s="74" t="str">
        <f>IF(AND(Include_study?="Yes",Sufficient_data="Yes"),Z_score-('Publication Bias Analysis'!AY$30+'Publication Bias Analysis'!AY$31*Inverse_standard_error),"")</f>
        <v/>
      </c>
      <c r="IU30" s="176"/>
      <c r="IV30" s="7" t="str">
        <f>IF('Publication Bias Analysis'!BG:BG&lt;&gt;"",RANK('Publication Bias Analysis'!BG:BG,'Publication Bias Analysis'!BG:BG,1)+COUNTIF('Publication Bias Analysis'!BG$2:BG29,'Publication Bias Analysis'!BG30),"")</f>
        <v/>
      </c>
      <c r="IW30" s="124" t="str">
        <f t="shared" si="97"/>
        <v/>
      </c>
      <c r="IX30" s="125" t="e">
        <f>IF('Publication Bias Analysis'!BF30&lt;&gt;"",'Publication Bias Analysis'!BF30,NA())</f>
        <v>#N/A</v>
      </c>
      <c r="IY30" s="125" t="e">
        <f>IF('Publication Bias Analysis'!BG30&lt;&gt;"",'Publication Bias Analysis'!BG30,NA())</f>
        <v>#N/A</v>
      </c>
      <c r="IZ30" s="62" t="str">
        <f>IF(AND(Include_study?="Yes",Sufficient_data="Yes"),'Publication Bias Analysis'!BF:BF-AVERAGE('Publication Bias Analysis'!BF:BF),"")</f>
        <v/>
      </c>
      <c r="JA30" s="74" t="str">
        <f>IF(AND(Include_study?="Yes",Sufficient_data="Yes"),'Publication Bias Analysis'!BG:BG-('Publication Bias Analysis'!BJ$30+'Publication Bias Analysis'!BJ$31*'Publication Bias Analysis'!BF:BF),"")</f>
        <v/>
      </c>
      <c r="JG30" s="176"/>
      <c r="JH30" s="39" t="str">
        <f t="shared" si="98"/>
        <v/>
      </c>
      <c r="JI30" s="148" t="str">
        <f t="shared" si="124"/>
        <v/>
      </c>
      <c r="JJ30" s="74" t="str">
        <f t="shared" si="125"/>
        <v/>
      </c>
    </row>
    <row r="31" spans="1:270" ht="12" customHeight="1" x14ac:dyDescent="0.2">
      <c r="A31" s="2" t="str">
        <f t="shared" si="0"/>
        <v/>
      </c>
      <c r="B31" s="7" t="str">
        <f>IF(AND(Include_study?="Yes",Sufficient_data="Yes"),IF(Input!a_&lt;&gt;"",Input!a_,Input!n1_-Input!b_),"")</f>
        <v/>
      </c>
      <c r="C31" s="7" t="str">
        <f>IF(AND(Include_study?="Yes",Sufficient_data="Yes"),IF(Input!b_&lt;&gt;"",Input!b_,Input!n1_-Input!a_),"")</f>
        <v/>
      </c>
      <c r="D31" s="7" t="str">
        <f>IF(AND(Include_study?="Yes",Sufficient_data="Yes"),IF(Input!c_&lt;&gt;"",Input!c_,Input!n2_-Input!d_),"")</f>
        <v/>
      </c>
      <c r="E31" s="7" t="str">
        <f>IF(AND(Include_study?="Yes",Sufficient_data="Yes"),IF(Input!d_&lt;&gt;"",Input!d_,Input!n2_-Input!c_),"")</f>
        <v/>
      </c>
      <c r="F31" s="74" t="str">
        <f t="shared" si="1"/>
        <v/>
      </c>
      <c r="H31" s="196"/>
      <c r="I31" s="182"/>
      <c r="J31" s="146" t="str">
        <f t="shared" si="2"/>
        <v/>
      </c>
      <c r="K31" s="39" t="str">
        <f t="shared" si="3"/>
        <v/>
      </c>
      <c r="L31" s="39" t="str">
        <f t="shared" si="4"/>
        <v/>
      </c>
      <c r="M31" s="39" t="str">
        <f t="shared" si="5"/>
        <v/>
      </c>
      <c r="N31" s="74" t="str">
        <f t="shared" si="6"/>
        <v/>
      </c>
      <c r="P31" s="176"/>
      <c r="Q31" s="130" t="str">
        <f t="shared" si="7"/>
        <v/>
      </c>
      <c r="R31" s="39" t="str">
        <f t="shared" si="8"/>
        <v/>
      </c>
      <c r="S31" s="39" t="str">
        <f t="shared" si="9"/>
        <v/>
      </c>
      <c r="T31" s="74" t="str">
        <f t="shared" si="10"/>
        <v/>
      </c>
      <c r="V31" s="176"/>
      <c r="W31" s="130" t="str">
        <f t="shared" si="11"/>
        <v/>
      </c>
      <c r="X31" s="39" t="str">
        <f t="shared" si="12"/>
        <v/>
      </c>
      <c r="Y31" s="39" t="str">
        <f t="shared" si="13"/>
        <v/>
      </c>
      <c r="Z31" s="74" t="str">
        <f t="shared" si="14"/>
        <v/>
      </c>
      <c r="AB31" s="176"/>
      <c r="AC31" s="130" t="str">
        <f t="shared" si="15"/>
        <v/>
      </c>
      <c r="AD31" s="39" t="str">
        <f t="shared" si="16"/>
        <v/>
      </c>
      <c r="AE31" s="39" t="str">
        <f t="shared" si="17"/>
        <v/>
      </c>
      <c r="AF31" s="39" t="str">
        <f t="shared" si="18"/>
        <v/>
      </c>
      <c r="AG31" s="74" t="str">
        <f t="shared" si="19"/>
        <v/>
      </c>
      <c r="AI31" s="196"/>
      <c r="AJ3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1" s="136" t="str">
        <f>IF(AJ31&lt;&gt;"",IF(AJ31=0,COUNTIF(AJ$2:AJ30,0)+1,COUNTIF(AJ$2:AJ30,AJ31)+AJ31+COUNTIF(AJ:AJ,0)),"")</f>
        <v/>
      </c>
      <c r="AL31" s="136" t="str">
        <f t="shared" si="20"/>
        <v/>
      </c>
      <c r="AM31" s="155" t="str">
        <f>IF(AND(Include_study?="Yes",Sufficient_data="Yes",Input!Study_name&lt;&gt;""),Input!Study_name,"")</f>
        <v/>
      </c>
      <c r="AN31" s="136" t="str">
        <f t="shared" si="21"/>
        <v/>
      </c>
      <c r="AO31" s="19" t="str">
        <f t="shared" si="22"/>
        <v/>
      </c>
      <c r="AP31" s="158" t="str">
        <f t="shared" si="23"/>
        <v/>
      </c>
      <c r="AQ31" s="158" t="str">
        <f t="shared" si="24"/>
        <v/>
      </c>
      <c r="AR31" s="39" t="str">
        <f t="shared" si="25"/>
        <v/>
      </c>
      <c r="AS31" s="158" t="str">
        <f t="shared" si="26"/>
        <v/>
      </c>
      <c r="AT31" s="39" t="str">
        <f t="shared" si="27"/>
        <v/>
      </c>
      <c r="AU31" s="172" t="str">
        <f t="shared" si="28"/>
        <v/>
      </c>
      <c r="AW31" s="84" t="e">
        <f t="shared" si="29"/>
        <v>#N/A</v>
      </c>
      <c r="AX31" s="3" t="e">
        <f t="shared" si="30"/>
        <v>#N/A</v>
      </c>
      <c r="AY31" s="74" t="e">
        <f t="shared" si="31"/>
        <v>#N/A</v>
      </c>
      <c r="BD31" s="196"/>
      <c r="BE31" s="182"/>
      <c r="BF31" s="3" t="str">
        <f t="shared" si="32"/>
        <v/>
      </c>
      <c r="BG31" s="3" t="str">
        <f t="shared" si="33"/>
        <v/>
      </c>
      <c r="BH31" s="3" t="str">
        <f t="shared" si="34"/>
        <v/>
      </c>
      <c r="BI31" s="39" t="str">
        <f t="shared" si="99"/>
        <v/>
      </c>
      <c r="BJ31" s="95" t="str">
        <f t="shared" si="35"/>
        <v/>
      </c>
      <c r="BO31" s="176"/>
      <c r="BP31" s="158" t="str">
        <f t="shared" si="36"/>
        <v/>
      </c>
      <c r="BQ31" s="158" t="str">
        <f t="shared" si="37"/>
        <v/>
      </c>
      <c r="BR31" s="158" t="str">
        <f t="shared" si="38"/>
        <v/>
      </c>
      <c r="BS31" s="158" t="str">
        <f>IF(AND(Sufficient_data="Yes",Include_study?="Yes"),IF(Add_0_5="Yes",(a_+d_+1)*(ab_+0.5)*(c_+0.5)/(Number_of_subjects+2)^2,(a_+d_)*b_*c_/Number_of_subjects^2),"")</f>
        <v/>
      </c>
      <c r="BT31" s="158" t="str">
        <f t="shared" si="39"/>
        <v/>
      </c>
      <c r="BU31" s="158" t="str">
        <f t="shared" si="40"/>
        <v/>
      </c>
      <c r="BV31" s="158" t="str">
        <f t="shared" si="41"/>
        <v/>
      </c>
      <c r="BW31" s="3" t="str">
        <f t="shared" si="42"/>
        <v/>
      </c>
      <c r="BX31" s="137" t="str">
        <f t="shared" si="43"/>
        <v/>
      </c>
      <c r="BY31" s="95" t="str">
        <f t="shared" si="44"/>
        <v/>
      </c>
      <c r="CD31" s="176"/>
      <c r="CE31" s="130" t="str">
        <f t="shared" si="45"/>
        <v/>
      </c>
      <c r="CF31" s="39" t="str">
        <f t="shared" si="46"/>
        <v/>
      </c>
      <c r="CG31" s="39" t="str">
        <f t="shared" si="47"/>
        <v/>
      </c>
      <c r="CH31" s="39" t="str">
        <f t="shared" si="48"/>
        <v/>
      </c>
      <c r="CI31" s="39" t="str">
        <f t="shared" si="49"/>
        <v/>
      </c>
      <c r="CJ31" s="39" t="str">
        <f t="shared" si="50"/>
        <v/>
      </c>
      <c r="CK31" s="95" t="str">
        <f t="shared" si="51"/>
        <v/>
      </c>
      <c r="CP31" s="176"/>
      <c r="CQ31" s="99" t="str">
        <f t="shared" si="52"/>
        <v/>
      </c>
      <c r="CX31" s="196"/>
      <c r="CY31" s="89" t="e">
        <f t="shared" si="53"/>
        <v>#N/A</v>
      </c>
      <c r="CZ31" s="136" t="str">
        <f t="shared" si="54"/>
        <v/>
      </c>
      <c r="DA31" s="140" t="str">
        <f t="shared" si="55"/>
        <v/>
      </c>
      <c r="DB31" s="39" t="str">
        <f t="shared" si="56"/>
        <v/>
      </c>
      <c r="DC31" s="39" t="str">
        <f t="shared" si="57"/>
        <v/>
      </c>
      <c r="DD31" s="39" t="str">
        <f t="shared" si="58"/>
        <v/>
      </c>
      <c r="DE31" s="39" t="str">
        <f t="shared" si="59"/>
        <v/>
      </c>
      <c r="DF31" s="141" t="str">
        <f t="shared" si="60"/>
        <v/>
      </c>
      <c r="DG31" s="39" t="str">
        <f t="shared" si="61"/>
        <v/>
      </c>
      <c r="DH31" s="39" t="str">
        <f t="shared" si="62"/>
        <v/>
      </c>
      <c r="DI31" s="39" t="str">
        <f t="shared" si="63"/>
        <v/>
      </c>
      <c r="DJ31" s="74" t="str">
        <f t="shared" si="64"/>
        <v/>
      </c>
      <c r="DL31" s="84" t="e">
        <f t="shared" si="65"/>
        <v>#N/A</v>
      </c>
      <c r="DM31" s="39" t="e">
        <f t="shared" si="100"/>
        <v>#N/A</v>
      </c>
      <c r="DN31" s="74" t="e">
        <f t="shared" si="101"/>
        <v>#N/A</v>
      </c>
      <c r="DP31" s="89" t="str">
        <f t="shared" si="102"/>
        <v/>
      </c>
      <c r="DQ31" s="26" t="str">
        <f>IF(AND(Sufficient_data="Yes",Subgroup&lt;&gt;""),IF(COUNTIFS(Input!J$2:J30,"="&amp;"Yes",Input!C$2:C30,"="&amp;"Yes",Input!K$2:K30,"="&amp;Subgroup)&gt;0,"",Subgroup),"")</f>
        <v/>
      </c>
      <c r="DR31" s="7" t="str">
        <f t="shared" si="103"/>
        <v/>
      </c>
      <c r="DS31" s="7" t="str">
        <f t="shared" si="66"/>
        <v/>
      </c>
      <c r="DT31" s="19" t="str">
        <f t="shared" si="67"/>
        <v/>
      </c>
      <c r="DU31" s="12" t="str">
        <f t="shared" si="104"/>
        <v/>
      </c>
      <c r="DV31" s="11" t="str">
        <f t="shared" si="105"/>
        <v/>
      </c>
      <c r="DW31" s="12" t="str">
        <f t="shared" si="68"/>
        <v/>
      </c>
      <c r="DX31" s="12" t="str">
        <f t="shared" si="69"/>
        <v/>
      </c>
      <c r="DY31" s="19" t="str">
        <f t="shared" si="106"/>
        <v/>
      </c>
      <c r="DZ31" s="12" t="str">
        <f t="shared" si="70"/>
        <v/>
      </c>
      <c r="EA31" s="19" t="str">
        <f t="shared" si="71"/>
        <v/>
      </c>
      <c r="EB31" s="7" t="str">
        <f t="shared" si="72"/>
        <v/>
      </c>
      <c r="EC31" s="19" t="str">
        <f t="shared" si="107"/>
        <v/>
      </c>
      <c r="ED31" s="19" t="str">
        <f t="shared" si="108"/>
        <v/>
      </c>
      <c r="EE31" s="19" t="str">
        <f t="shared" si="109"/>
        <v/>
      </c>
      <c r="EF31" s="19" t="str">
        <f t="shared" si="110"/>
        <v/>
      </c>
      <c r="EG31" s="19" t="str">
        <f t="shared" si="111"/>
        <v/>
      </c>
      <c r="EH31" s="19" t="str">
        <f t="shared" si="112"/>
        <v/>
      </c>
      <c r="EI31" s="19" t="str">
        <f t="shared" si="113"/>
        <v/>
      </c>
      <c r="EJ31" s="19" t="str">
        <f t="shared" si="114"/>
        <v/>
      </c>
      <c r="EK31" s="19" t="str">
        <f t="shared" si="73"/>
        <v/>
      </c>
      <c r="EL31" s="19" t="str">
        <f t="shared" si="115"/>
        <v/>
      </c>
      <c r="EM31" s="19" t="str">
        <f t="shared" si="116"/>
        <v/>
      </c>
      <c r="EN31" s="19" t="str">
        <f t="shared" si="117"/>
        <v/>
      </c>
      <c r="EO31" s="19" t="str">
        <f t="shared" si="118"/>
        <v/>
      </c>
      <c r="EP31" s="19" t="str">
        <f t="shared" si="74"/>
        <v/>
      </c>
      <c r="EQ31" s="19" t="e">
        <f t="shared" si="119"/>
        <v>#N/A</v>
      </c>
      <c r="ER31" s="11" t="str">
        <f t="shared" si="120"/>
        <v/>
      </c>
      <c r="ES31" s="19" t="str">
        <f t="shared" si="121"/>
        <v/>
      </c>
      <c r="ET31" s="156" t="str">
        <f t="shared" si="122"/>
        <v/>
      </c>
      <c r="EU31" s="39" t="str">
        <f t="shared" si="75"/>
        <v/>
      </c>
      <c r="EV31" s="74" t="str">
        <f t="shared" si="76"/>
        <v/>
      </c>
      <c r="EX31" s="56" t="s">
        <v>127</v>
      </c>
      <c r="EY31" s="55">
        <f>IF(Subgroup_valid_options="Yes",MAX(ER:ER),"")</f>
        <v>0.65771972193884187</v>
      </c>
      <c r="FA31" s="196"/>
      <c r="FB31" s="84" t="e">
        <f>IF(AND(Include_study?="Yes",Sufficient_data="Yes",Moderator&lt;&gt;""),'Moderator Analysis'!E31,NA())</f>
        <v>#N/A</v>
      </c>
      <c r="FC31" s="39" t="e">
        <f>IF(AND(Include_study?="Yes",Sufficient_data="Yes",Moderator&lt;&gt;""),'Moderator Analysis'!F31,NA())</f>
        <v>#N/A</v>
      </c>
      <c r="FD31" s="39" t="str">
        <f t="shared" si="77"/>
        <v/>
      </c>
      <c r="FE31" s="39" t="str">
        <f t="shared" si="78"/>
        <v/>
      </c>
      <c r="FF31" s="39" t="str">
        <f>IF(AND(Include_study?="Yes",Sufficient_data="Yes",Moderator&lt;&gt;""),'Moderator Analysis'!F:F-FP$2,"")</f>
        <v/>
      </c>
      <c r="FG31" s="39" t="str">
        <f>IF(AND(Include_study?="Yes",Sufficient_data="Yes",Moderator&lt;&gt;""),'Moderator Analysis'!E:E-FP$3,"")</f>
        <v/>
      </c>
      <c r="FH31" s="74" t="str">
        <f>IF(AND(Include_study?="Yes",Sufficient_data="Yes",Moderator&lt;&gt;""),FE:FE*('Moderator Analysis'!F:F-FP$5-FP$4*'Moderator Analysis'!E:E)^2,"")</f>
        <v/>
      </c>
      <c r="FI31" s="128"/>
      <c r="FJ31" s="92" t="str">
        <f t="shared" si="79"/>
        <v/>
      </c>
      <c r="FK31" s="137" t="str">
        <f>IF(AND(Include_study?="Yes",Sufficient_data="Yes",Moderator&lt;&gt;""),'Moderator Analysis'!F:F-'Moderator Analysis'!J$37,"")</f>
        <v/>
      </c>
      <c r="FL31" s="137" t="str">
        <f>IF(AND(Include_study?="Yes",Sufficient_data="Yes",Moderator&lt;&gt;""),'Moderator Analysis'!E:E-SUMPRODUCT('Moderator Analysis'!E:E,FJ:FJ)/SUM(FJ:FJ),"")</f>
        <v/>
      </c>
      <c r="FM31" s="95" t="str">
        <f>IF(AND(Include_study?="Yes",Sufficient_data="Yes",Moderator&lt;&gt;""),FJ:FJ*('Moderator Analysis'!F:F-'Moderator Analysis'!J$29-'Moderator Analysis'!J$30*'Moderator Analysis'!E:E)^2,"")</f>
        <v/>
      </c>
      <c r="FN31" s="21"/>
      <c r="FR31" s="196"/>
      <c r="FS31" s="182"/>
      <c r="FT3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1" s="39" t="str">
        <f>IF(AND(Include_study?="Yes",Sufficient_data="Yes"),1/('Publication Bias Analysis'!F:F^2+IF(Additional_model="Fixed effect",0,Calculations!GH$12)),"")</f>
        <v/>
      </c>
      <c r="FV31" s="39" t="str">
        <f>IF(AND(Include_study?="Yes",Sufficient_data="Yes"),1/('Publication Bias Analysis'!F:F^2+IF(Additional_model="Fixed effect",0,'Publication Bias Analysis'!L$32)),"")</f>
        <v/>
      </c>
      <c r="FW31" s="39" t="str">
        <f>IF(AND(Include_study?="Yes",Sufficient_data="Yes"),'Publication Bias Analysis'!E:E-'Publication Bias Analysis'!I$37,"")</f>
        <v/>
      </c>
      <c r="FX31" s="39" t="str">
        <f>IF(AND(Include_study?="Yes",Sufficient_data="Yes"),IF(Additional_model="Fixed effect",1/'Publication Bias Analysis'!F:F,1/SQRT('Publication Bias Analysis'!F:F^2+GH$12)),"")</f>
        <v/>
      </c>
      <c r="FY3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1" s="136" t="str">
        <f t="shared" si="80"/>
        <v/>
      </c>
      <c r="GA31" s="144" t="str">
        <f>IF(AND(Include_study?="Yes",Sufficient_data="Yes"),FZ:FZ+IF(GL:GL&lt;0,-1,1)*COUNTIF(FZ$2:FZ30,FZ:FZ),"")</f>
        <v/>
      </c>
      <c r="GB31" s="144" t="str">
        <f>IF(AND(Include_study?="Yes",Sufficient_data="Yes"),RANK(GP:GP,GP:GP,1)*IF(GO:GO&lt;0,-1,1)+IF(GO:GO&lt;0,-1,1)*COUNTIF(FZ$2:FZ30,FZ:FZ),"")</f>
        <v/>
      </c>
      <c r="GC31" s="144" t="str">
        <f>IF(AND(Include_study?="Yes",Sufficient_data="Yes"),RANK(GS:GS,GS:GS,1)*IF(GR:GR&lt;0,-1,1)+IF(GR:GR&lt;0,-1,1)*COUNTIF(FZ$2:FZ30,FZ:FZ),"")</f>
        <v/>
      </c>
      <c r="GD31" s="39" t="e">
        <f>IF(AND(Include_study?="Yes",Sufficient_data="Yes"),'Publication Bias Analysis'!E31,NA())</f>
        <v>#N/A</v>
      </c>
      <c r="GE31" s="74" t="e">
        <f>IF(AND(Include_study?="Yes",Sufficient_data="Yes"),'Publication Bias Analysis'!F31,NA())</f>
        <v>#N/A</v>
      </c>
      <c r="GK31" s="176"/>
      <c r="GL3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1" s="39" t="str">
        <f t="shared" si="81"/>
        <v/>
      </c>
      <c r="GN3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1" s="39" t="str">
        <f>IF(AND(Include_study?="Yes",Sufficient_data="Yes"),IF('Publication Bias Analysis'!L$38="Left",'Publication Bias Analysis'!E:E-GW$3,GW$3-'Publication Bias Analysis'!E:E),"")</f>
        <v/>
      </c>
      <c r="GP31" s="39" t="str">
        <f t="shared" si="82"/>
        <v/>
      </c>
      <c r="GQ3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1" s="39" t="str">
        <f>IF(AND(Include_study?="Yes",Sufficient_data="Yes"),IF('Publication Bias Analysis'!L$38="Left",'Publication Bias Analysis'!E:E-GW$10,GW$10-'Publication Bias Analysis'!E:E),"")</f>
        <v/>
      </c>
      <c r="GS31" s="39" t="str">
        <f t="shared" si="83"/>
        <v/>
      </c>
      <c r="GT3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1"/>
      <c r="GW31"/>
      <c r="GX31"/>
      <c r="GY31" s="89">
        <v>30</v>
      </c>
      <c r="GZ31" s="7" t="str">
        <f>IF(Trim_and_fill="On",IF(GW$21&gt;(COUNT(GZ$2:GZ30)),IF(COUNTIF(GA:GA,-1*(MAX(GA:GA)-GY31+1))=1,"",MAX(GA:GA)-GY31+1),""),"")</f>
        <v/>
      </c>
      <c r="HA31" s="69" t="str">
        <f t="shared" si="84"/>
        <v/>
      </c>
      <c r="HB31" s="69" t="str">
        <f t="shared" si="85"/>
        <v/>
      </c>
      <c r="HC31" s="69" t="str">
        <f t="shared" si="86"/>
        <v/>
      </c>
      <c r="HD31" s="39" t="str">
        <f>IF(GZ31&lt;&gt;"",1/(HB31^2+'Publication Bias Analysis'!L$32),"")</f>
        <v/>
      </c>
      <c r="HE31" s="74" t="str">
        <f>IF(GZ31&lt;&gt;"",HA:HA-'Publication Bias Analysis'!I$37,"")</f>
        <v/>
      </c>
      <c r="HF31" s="45"/>
      <c r="HG31" s="89">
        <v>30</v>
      </c>
      <c r="HH31" s="69" t="e">
        <f t="shared" si="87"/>
        <v>#N/A</v>
      </c>
      <c r="HI31" s="74" t="e">
        <f t="shared" si="88"/>
        <v>#N/A</v>
      </c>
      <c r="HK31" s="176"/>
      <c r="HL31" s="66" t="str">
        <f t="shared" si="89"/>
        <v/>
      </c>
      <c r="HM31" s="74" t="str">
        <f>IF(AND(Include_study?="Yes",Sufficient_data="Yes"),Z_score-('Publication Bias Analysis'!P$3+'Publication Bias Analysis'!P$4*Inverse_standard_error),"")</f>
        <v/>
      </c>
      <c r="HO31" s="176"/>
      <c r="HP31" s="64" t="str">
        <f>IF(AND(Include_study?="Yes",Sufficient_data="Yes"),(GD:GD-SUMPRODUCT(Calculations!FT:FT,'Publication Bias Analysis'!E:E)/SUM(Calculations!FT:FT))/SQRT(Calculations!HQ:HQ),"")</f>
        <v/>
      </c>
      <c r="HQ31" s="64" t="str">
        <f>IF(AND(Include_study?="Yes",Sufficient_data="Yes"),GE:GE^2-1/SUM(Calculations!FT:FT),"")</f>
        <v/>
      </c>
      <c r="HR31" s="7" t="str">
        <f t="shared" si="90"/>
        <v/>
      </c>
      <c r="HS31" s="7" t="str">
        <f t="shared" si="91"/>
        <v/>
      </c>
      <c r="HT31" s="7" t="str">
        <f>IF(AND(Include_study?="Yes",Sufficient_data="Yes"),COUNTIFS(HR$2:HR30,"&lt;"&amp;HR31,HS$2:HS30,"&lt;"&amp;HS31)+COUNTIFS(HR32:HR$201,"&lt;"&amp;HR31,HS32:HS$201,"&lt;"&amp;HS31)+COUNTIFS(HR$2:HR30,"&gt;"&amp;HR31,HS$2:HS30,"&gt;"&amp;HS31)+COUNTIFS(HR32:HR$201,"&gt;"&amp;HR31,HS32:HS$201,"&gt;"&amp;HS31),"")</f>
        <v/>
      </c>
      <c r="HU31" s="104" t="str">
        <f>IF(AND(Include_study?="Yes",Sufficient_data="Yes"),COUNTIFS(HR$2:HR30,"&lt;"&amp;HR31,HS$2:HS30,"&gt;"&amp;HS31)+COUNTIFS(HR32:HR$201,"&lt;"&amp;HR31,HS32:HS$201,"&gt;"&amp;HS31)+COUNTIFS(HR$2:HR30,"&gt;"&amp;HR31,HS$2:HS30,"&lt;"&amp;HS31)+COUNTIFS(HR32:HR$201,"&gt;"&amp;HR31,HS32:HS$201,"&lt;"&amp;HS31),"")</f>
        <v/>
      </c>
      <c r="HW31" s="176"/>
      <c r="IB31" s="176"/>
      <c r="IC31" s="146" t="e">
        <f t="shared" si="92"/>
        <v>#N/A</v>
      </c>
      <c r="ID31" s="137" t="e">
        <f t="shared" si="93"/>
        <v>#N/A</v>
      </c>
      <c r="IE31" s="137" t="str">
        <f t="shared" si="94"/>
        <v/>
      </c>
      <c r="IF31" s="95" t="str">
        <f t="shared" si="95"/>
        <v/>
      </c>
      <c r="IK31" s="176"/>
      <c r="IL31" s="3" t="e">
        <f>IF(AND(Include_study?="Yes",Sufficient_data="Yes"),'Publication Bias Analysis'!AV:AV,NA())</f>
        <v>#N/A</v>
      </c>
      <c r="IM31" s="158" t="e">
        <f>IF(AND(Sufficient_data="Yes",Include_study?="Yes"),'Publication Bias Analysis'!AU:AU,NA())</f>
        <v>#N/A</v>
      </c>
      <c r="IN31" s="62" t="str">
        <f t="shared" si="96"/>
        <v/>
      </c>
      <c r="IO31" s="74" t="str">
        <f>IF(AND(Include_study?="Yes",Sufficient_data="Yes"),Z_score-('Publication Bias Analysis'!AY$30+'Publication Bias Analysis'!AY$31*Inverse_standard_error),"")</f>
        <v/>
      </c>
      <c r="IU31" s="176"/>
      <c r="IV31" s="7" t="str">
        <f>IF('Publication Bias Analysis'!BG:BG&lt;&gt;"",RANK('Publication Bias Analysis'!BG:BG,'Publication Bias Analysis'!BG:BG,1)+COUNTIF('Publication Bias Analysis'!BG$2:BG30,'Publication Bias Analysis'!BG31),"")</f>
        <v/>
      </c>
      <c r="IW31" s="124" t="str">
        <f t="shared" si="97"/>
        <v/>
      </c>
      <c r="IX31" s="125" t="e">
        <f>IF('Publication Bias Analysis'!BF31&lt;&gt;"",'Publication Bias Analysis'!BF31,NA())</f>
        <v>#N/A</v>
      </c>
      <c r="IY31" s="125" t="e">
        <f>IF('Publication Bias Analysis'!BG31&lt;&gt;"",'Publication Bias Analysis'!BG31,NA())</f>
        <v>#N/A</v>
      </c>
      <c r="IZ31" s="62" t="str">
        <f>IF(AND(Include_study?="Yes",Sufficient_data="Yes"),'Publication Bias Analysis'!BF:BF-AVERAGE('Publication Bias Analysis'!BF:BF),"")</f>
        <v/>
      </c>
      <c r="JA31" s="74" t="str">
        <f>IF(AND(Include_study?="Yes",Sufficient_data="Yes"),'Publication Bias Analysis'!BG:BG-('Publication Bias Analysis'!BJ$30+'Publication Bias Analysis'!BJ$31*'Publication Bias Analysis'!BF:BF),"")</f>
        <v/>
      </c>
      <c r="JG31" s="176"/>
      <c r="JH31" s="39" t="str">
        <f t="shared" si="98"/>
        <v/>
      </c>
      <c r="JI31" s="148" t="str">
        <f t="shared" si="124"/>
        <v/>
      </c>
      <c r="JJ31" s="74" t="str">
        <f t="shared" si="125"/>
        <v/>
      </c>
    </row>
    <row r="32" spans="1:270" x14ac:dyDescent="0.2">
      <c r="A32" s="2" t="str">
        <f t="shared" si="0"/>
        <v/>
      </c>
      <c r="B32" s="7" t="str">
        <f>IF(AND(Include_study?="Yes",Sufficient_data="Yes"),IF(Input!a_&lt;&gt;"",Input!a_,Input!n1_-Input!b_),"")</f>
        <v/>
      </c>
      <c r="C32" s="7" t="str">
        <f>IF(AND(Include_study?="Yes",Sufficient_data="Yes"),IF(Input!b_&lt;&gt;"",Input!b_,Input!n1_-Input!a_),"")</f>
        <v/>
      </c>
      <c r="D32" s="7" t="str">
        <f>IF(AND(Include_study?="Yes",Sufficient_data="Yes"),IF(Input!c_&lt;&gt;"",Input!c_,Input!n2_-Input!d_),"")</f>
        <v/>
      </c>
      <c r="E32" s="7" t="str">
        <f>IF(AND(Include_study?="Yes",Sufficient_data="Yes"),IF(Input!d_&lt;&gt;"",Input!d_,Input!n2_-Input!c_),"")</f>
        <v/>
      </c>
      <c r="F32" s="74" t="str">
        <f t="shared" si="1"/>
        <v/>
      </c>
      <c r="H32" s="196"/>
      <c r="I32" s="182"/>
      <c r="J32" s="146" t="str">
        <f t="shared" si="2"/>
        <v/>
      </c>
      <c r="K32" s="39" t="str">
        <f t="shared" si="3"/>
        <v/>
      </c>
      <c r="L32" s="39" t="str">
        <f t="shared" si="4"/>
        <v/>
      </c>
      <c r="M32" s="39" t="str">
        <f t="shared" si="5"/>
        <v/>
      </c>
      <c r="N32" s="74" t="str">
        <f t="shared" si="6"/>
        <v/>
      </c>
      <c r="P32" s="176"/>
      <c r="Q32" s="130" t="str">
        <f t="shared" si="7"/>
        <v/>
      </c>
      <c r="R32" s="39" t="str">
        <f t="shared" si="8"/>
        <v/>
      </c>
      <c r="S32" s="39" t="str">
        <f t="shared" si="9"/>
        <v/>
      </c>
      <c r="T32" s="74" t="str">
        <f t="shared" si="10"/>
        <v/>
      </c>
      <c r="V32" s="176"/>
      <c r="W32" s="130" t="str">
        <f t="shared" si="11"/>
        <v/>
      </c>
      <c r="X32" s="39" t="str">
        <f t="shared" si="12"/>
        <v/>
      </c>
      <c r="Y32" s="39" t="str">
        <f t="shared" si="13"/>
        <v/>
      </c>
      <c r="Z32" s="74" t="str">
        <f t="shared" si="14"/>
        <v/>
      </c>
      <c r="AB32" s="176"/>
      <c r="AC32" s="130" t="str">
        <f t="shared" si="15"/>
        <v/>
      </c>
      <c r="AD32" s="39" t="str">
        <f t="shared" si="16"/>
        <v/>
      </c>
      <c r="AE32" s="39" t="str">
        <f t="shared" si="17"/>
        <v/>
      </c>
      <c r="AF32" s="39" t="str">
        <f t="shared" si="18"/>
        <v/>
      </c>
      <c r="AG32" s="74" t="str">
        <f t="shared" si="19"/>
        <v/>
      </c>
      <c r="AI32" s="196"/>
      <c r="AJ3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2" s="136" t="str">
        <f>IF(AJ32&lt;&gt;"",IF(AJ32=0,COUNTIF(AJ$2:AJ31,0)+1,COUNTIF(AJ$2:AJ31,AJ32)+AJ32+COUNTIF(AJ:AJ,0)),"")</f>
        <v/>
      </c>
      <c r="AL32" s="136" t="str">
        <f t="shared" si="20"/>
        <v/>
      </c>
      <c r="AM32" s="155" t="str">
        <f>IF(AND(Include_study?="Yes",Sufficient_data="Yes",Input!Study_name&lt;&gt;""),Input!Study_name,"")</f>
        <v/>
      </c>
      <c r="AN32" s="136" t="str">
        <f t="shared" si="21"/>
        <v/>
      </c>
      <c r="AO32" s="19" t="str">
        <f t="shared" si="22"/>
        <v/>
      </c>
      <c r="AP32" s="158" t="str">
        <f t="shared" si="23"/>
        <v/>
      </c>
      <c r="AQ32" s="158" t="str">
        <f t="shared" si="24"/>
        <v/>
      </c>
      <c r="AR32" s="39" t="str">
        <f t="shared" si="25"/>
        <v/>
      </c>
      <c r="AS32" s="158" t="str">
        <f t="shared" si="26"/>
        <v/>
      </c>
      <c r="AT32" s="39" t="str">
        <f t="shared" si="27"/>
        <v/>
      </c>
      <c r="AU32" s="172" t="str">
        <f t="shared" si="28"/>
        <v/>
      </c>
      <c r="AW32" s="84" t="e">
        <f t="shared" si="29"/>
        <v>#N/A</v>
      </c>
      <c r="AX32" s="3" t="e">
        <f t="shared" si="30"/>
        <v>#N/A</v>
      </c>
      <c r="AY32" s="74" t="e">
        <f t="shared" si="31"/>
        <v>#N/A</v>
      </c>
      <c r="BD32" s="196"/>
      <c r="BE32" s="182"/>
      <c r="BF32" s="3" t="str">
        <f t="shared" si="32"/>
        <v/>
      </c>
      <c r="BG32" s="3" t="str">
        <f t="shared" si="33"/>
        <v/>
      </c>
      <c r="BH32" s="3" t="str">
        <f t="shared" si="34"/>
        <v/>
      </c>
      <c r="BI32" s="39" t="str">
        <f t="shared" si="99"/>
        <v/>
      </c>
      <c r="BJ32" s="95" t="str">
        <f t="shared" si="35"/>
        <v/>
      </c>
      <c r="BO32" s="176"/>
      <c r="BP32" s="158" t="str">
        <f t="shared" si="36"/>
        <v/>
      </c>
      <c r="BQ32" s="158" t="str">
        <f t="shared" si="37"/>
        <v/>
      </c>
      <c r="BR32" s="158" t="str">
        <f t="shared" si="38"/>
        <v/>
      </c>
      <c r="BS32" s="158" t="str">
        <f>IF(AND(Sufficient_data="Yes",Include_study?="Yes"),IF(Add_0_5="Yes",(a_+d_+1)*(ab_+0.5)*(c_+0.5)/(Number_of_subjects+2)^2,(a_+d_)*b_*c_/Number_of_subjects^2),"")</f>
        <v/>
      </c>
      <c r="BT32" s="158" t="str">
        <f t="shared" si="39"/>
        <v/>
      </c>
      <c r="BU32" s="158" t="str">
        <f t="shared" si="40"/>
        <v/>
      </c>
      <c r="BV32" s="158" t="str">
        <f t="shared" si="41"/>
        <v/>
      </c>
      <c r="BW32" s="3" t="str">
        <f t="shared" si="42"/>
        <v/>
      </c>
      <c r="BX32" s="137" t="str">
        <f t="shared" si="43"/>
        <v/>
      </c>
      <c r="BY32" s="95" t="str">
        <f t="shared" si="44"/>
        <v/>
      </c>
      <c r="CD32" s="176"/>
      <c r="CE32" s="130" t="str">
        <f t="shared" si="45"/>
        <v/>
      </c>
      <c r="CF32" s="39" t="str">
        <f t="shared" si="46"/>
        <v/>
      </c>
      <c r="CG32" s="39" t="str">
        <f t="shared" si="47"/>
        <v/>
      </c>
      <c r="CH32" s="39" t="str">
        <f t="shared" si="48"/>
        <v/>
      </c>
      <c r="CI32" s="39" t="str">
        <f t="shared" si="49"/>
        <v/>
      </c>
      <c r="CJ32" s="39" t="str">
        <f t="shared" si="50"/>
        <v/>
      </c>
      <c r="CK32" s="95" t="str">
        <f t="shared" si="51"/>
        <v/>
      </c>
      <c r="CP32" s="176"/>
      <c r="CQ32" s="99" t="str">
        <f t="shared" si="52"/>
        <v/>
      </c>
      <c r="CX32" s="196"/>
      <c r="CY32" s="89" t="e">
        <f t="shared" si="53"/>
        <v>#N/A</v>
      </c>
      <c r="CZ32" s="136" t="str">
        <f t="shared" si="54"/>
        <v/>
      </c>
      <c r="DA32" s="140" t="str">
        <f t="shared" si="55"/>
        <v/>
      </c>
      <c r="DB32" s="39" t="str">
        <f t="shared" si="56"/>
        <v/>
      </c>
      <c r="DC32" s="39" t="str">
        <f t="shared" si="57"/>
        <v/>
      </c>
      <c r="DD32" s="39" t="str">
        <f t="shared" si="58"/>
        <v/>
      </c>
      <c r="DE32" s="39" t="str">
        <f t="shared" si="59"/>
        <v/>
      </c>
      <c r="DF32" s="141" t="str">
        <f t="shared" si="60"/>
        <v/>
      </c>
      <c r="DG32" s="39" t="str">
        <f t="shared" si="61"/>
        <v/>
      </c>
      <c r="DH32" s="39" t="str">
        <f t="shared" si="62"/>
        <v/>
      </c>
      <c r="DI32" s="39" t="str">
        <f t="shared" si="63"/>
        <v/>
      </c>
      <c r="DJ32" s="74" t="str">
        <f t="shared" si="64"/>
        <v/>
      </c>
      <c r="DL32" s="84" t="e">
        <f t="shared" si="65"/>
        <v>#N/A</v>
      </c>
      <c r="DM32" s="39" t="e">
        <f t="shared" si="100"/>
        <v>#N/A</v>
      </c>
      <c r="DN32" s="74" t="e">
        <f t="shared" si="101"/>
        <v>#N/A</v>
      </c>
      <c r="DP32" s="89" t="str">
        <f t="shared" si="102"/>
        <v/>
      </c>
      <c r="DQ32" s="26" t="str">
        <f>IF(AND(Sufficient_data="Yes",Subgroup&lt;&gt;""),IF(COUNTIFS(Input!J$2:J31,"="&amp;"Yes",Input!C$2:C31,"="&amp;"Yes",Input!K$2:K31,"="&amp;Subgroup)&gt;0,"",Subgroup),"")</f>
        <v/>
      </c>
      <c r="DR32" s="7" t="str">
        <f t="shared" si="103"/>
        <v/>
      </c>
      <c r="DS32" s="7" t="str">
        <f t="shared" si="66"/>
        <v/>
      </c>
      <c r="DT32" s="19" t="str">
        <f t="shared" si="67"/>
        <v/>
      </c>
      <c r="DU32" s="12" t="str">
        <f t="shared" si="104"/>
        <v/>
      </c>
      <c r="DV32" s="11" t="str">
        <f t="shared" si="105"/>
        <v/>
      </c>
      <c r="DW32" s="12" t="str">
        <f t="shared" si="68"/>
        <v/>
      </c>
      <c r="DX32" s="12" t="str">
        <f t="shared" si="69"/>
        <v/>
      </c>
      <c r="DY32" s="19" t="str">
        <f t="shared" si="106"/>
        <v/>
      </c>
      <c r="DZ32" s="12" t="str">
        <f t="shared" si="70"/>
        <v/>
      </c>
      <c r="EA32" s="19" t="str">
        <f t="shared" si="71"/>
        <v/>
      </c>
      <c r="EB32" s="7" t="str">
        <f t="shared" si="72"/>
        <v/>
      </c>
      <c r="EC32" s="19" t="str">
        <f t="shared" si="107"/>
        <v/>
      </c>
      <c r="ED32" s="19" t="str">
        <f t="shared" si="108"/>
        <v/>
      </c>
      <c r="EE32" s="19" t="str">
        <f t="shared" si="109"/>
        <v/>
      </c>
      <c r="EF32" s="19" t="str">
        <f t="shared" si="110"/>
        <v/>
      </c>
      <c r="EG32" s="19" t="str">
        <f t="shared" si="111"/>
        <v/>
      </c>
      <c r="EH32" s="19" t="str">
        <f t="shared" si="112"/>
        <v/>
      </c>
      <c r="EI32" s="19" t="str">
        <f t="shared" si="113"/>
        <v/>
      </c>
      <c r="EJ32" s="19" t="str">
        <f t="shared" si="114"/>
        <v/>
      </c>
      <c r="EK32" s="19" t="str">
        <f t="shared" si="73"/>
        <v/>
      </c>
      <c r="EL32" s="19" t="str">
        <f t="shared" si="115"/>
        <v/>
      </c>
      <c r="EM32" s="19" t="str">
        <f t="shared" si="116"/>
        <v/>
      </c>
      <c r="EN32" s="19" t="str">
        <f t="shared" si="117"/>
        <v/>
      </c>
      <c r="EO32" s="19" t="str">
        <f t="shared" si="118"/>
        <v/>
      </c>
      <c r="EP32" s="19" t="str">
        <f t="shared" si="74"/>
        <v/>
      </c>
      <c r="EQ32" s="19" t="e">
        <f t="shared" si="119"/>
        <v>#N/A</v>
      </c>
      <c r="ER32" s="11" t="str">
        <f t="shared" si="120"/>
        <v/>
      </c>
      <c r="ES32" s="19" t="str">
        <f t="shared" si="121"/>
        <v/>
      </c>
      <c r="ET32" s="156" t="str">
        <f t="shared" si="122"/>
        <v/>
      </c>
      <c r="EU32" s="39" t="str">
        <f t="shared" si="75"/>
        <v/>
      </c>
      <c r="EV32" s="74" t="str">
        <f t="shared" si="76"/>
        <v/>
      </c>
      <c r="EX32" s="45"/>
      <c r="EY32" s="45"/>
      <c r="FA32" s="196"/>
      <c r="FB32" s="84" t="e">
        <f>IF(AND(Include_study?="Yes",Sufficient_data="Yes",Moderator&lt;&gt;""),'Moderator Analysis'!E32,NA())</f>
        <v>#N/A</v>
      </c>
      <c r="FC32" s="39" t="e">
        <f>IF(AND(Include_study?="Yes",Sufficient_data="Yes",Moderator&lt;&gt;""),'Moderator Analysis'!F32,NA())</f>
        <v>#N/A</v>
      </c>
      <c r="FD32" s="39" t="str">
        <f t="shared" si="77"/>
        <v/>
      </c>
      <c r="FE32" s="39" t="str">
        <f t="shared" si="78"/>
        <v/>
      </c>
      <c r="FF32" s="39" t="str">
        <f>IF(AND(Include_study?="Yes",Sufficient_data="Yes",Moderator&lt;&gt;""),'Moderator Analysis'!F:F-FP$2,"")</f>
        <v/>
      </c>
      <c r="FG32" s="39" t="str">
        <f>IF(AND(Include_study?="Yes",Sufficient_data="Yes",Moderator&lt;&gt;""),'Moderator Analysis'!E:E-FP$3,"")</f>
        <v/>
      </c>
      <c r="FH32" s="74" t="str">
        <f>IF(AND(Include_study?="Yes",Sufficient_data="Yes",Moderator&lt;&gt;""),FE:FE*('Moderator Analysis'!F:F-FP$5-FP$4*'Moderator Analysis'!E:E)^2,"")</f>
        <v/>
      </c>
      <c r="FI32" s="128"/>
      <c r="FJ32" s="92" t="str">
        <f t="shared" si="79"/>
        <v/>
      </c>
      <c r="FK32" s="137" t="str">
        <f>IF(AND(Include_study?="Yes",Sufficient_data="Yes",Moderator&lt;&gt;""),'Moderator Analysis'!F:F-'Moderator Analysis'!J$37,"")</f>
        <v/>
      </c>
      <c r="FL32" s="137" t="str">
        <f>IF(AND(Include_study?="Yes",Sufficient_data="Yes",Moderator&lt;&gt;""),'Moderator Analysis'!E:E-SUMPRODUCT('Moderator Analysis'!E:E,FJ:FJ)/SUM(FJ:FJ),"")</f>
        <v/>
      </c>
      <c r="FM32" s="95" t="str">
        <f>IF(AND(Include_study?="Yes",Sufficient_data="Yes",Moderator&lt;&gt;""),FJ:FJ*('Moderator Analysis'!F:F-'Moderator Analysis'!J$29-'Moderator Analysis'!J$30*'Moderator Analysis'!E:E)^2,"")</f>
        <v/>
      </c>
      <c r="FN32" s="21"/>
      <c r="FR32" s="196"/>
      <c r="FS32" s="182"/>
      <c r="FT3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2" s="39" t="str">
        <f>IF(AND(Include_study?="Yes",Sufficient_data="Yes"),1/('Publication Bias Analysis'!F:F^2+IF(Additional_model="Fixed effect",0,Calculations!GH$12)),"")</f>
        <v/>
      </c>
      <c r="FV32" s="39" t="str">
        <f>IF(AND(Include_study?="Yes",Sufficient_data="Yes"),1/('Publication Bias Analysis'!F:F^2+IF(Additional_model="Fixed effect",0,'Publication Bias Analysis'!L$32)),"")</f>
        <v/>
      </c>
      <c r="FW32" s="39" t="str">
        <f>IF(AND(Include_study?="Yes",Sufficient_data="Yes"),'Publication Bias Analysis'!E:E-'Publication Bias Analysis'!I$37,"")</f>
        <v/>
      </c>
      <c r="FX32" s="39" t="str">
        <f>IF(AND(Include_study?="Yes",Sufficient_data="Yes"),IF(Additional_model="Fixed effect",1/'Publication Bias Analysis'!F:F,1/SQRT('Publication Bias Analysis'!F:F^2+GH$12)),"")</f>
        <v/>
      </c>
      <c r="FY3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2" s="136" t="str">
        <f t="shared" si="80"/>
        <v/>
      </c>
      <c r="GA32" s="144" t="str">
        <f>IF(AND(Include_study?="Yes",Sufficient_data="Yes"),FZ:FZ+IF(GL:GL&lt;0,-1,1)*COUNTIF(FZ$2:FZ31,FZ:FZ),"")</f>
        <v/>
      </c>
      <c r="GB32" s="144" t="str">
        <f>IF(AND(Include_study?="Yes",Sufficient_data="Yes"),RANK(GP:GP,GP:GP,1)*IF(GO:GO&lt;0,-1,1)+IF(GO:GO&lt;0,-1,1)*COUNTIF(FZ$2:FZ31,FZ:FZ),"")</f>
        <v/>
      </c>
      <c r="GC32" s="144" t="str">
        <f>IF(AND(Include_study?="Yes",Sufficient_data="Yes"),RANK(GS:GS,GS:GS,1)*IF(GR:GR&lt;0,-1,1)+IF(GR:GR&lt;0,-1,1)*COUNTIF(FZ$2:FZ31,FZ:FZ),"")</f>
        <v/>
      </c>
      <c r="GD32" s="39" t="e">
        <f>IF(AND(Include_study?="Yes",Sufficient_data="Yes"),'Publication Bias Analysis'!E32,NA())</f>
        <v>#N/A</v>
      </c>
      <c r="GE32" s="74" t="e">
        <f>IF(AND(Include_study?="Yes",Sufficient_data="Yes"),'Publication Bias Analysis'!F32,NA())</f>
        <v>#N/A</v>
      </c>
      <c r="GK32" s="176"/>
      <c r="GL3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2" s="39" t="str">
        <f t="shared" si="81"/>
        <v/>
      </c>
      <c r="GN3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2" s="39" t="str">
        <f>IF(AND(Include_study?="Yes",Sufficient_data="Yes"),IF('Publication Bias Analysis'!L$38="Left",'Publication Bias Analysis'!E:E-GW$3,GW$3-'Publication Bias Analysis'!E:E),"")</f>
        <v/>
      </c>
      <c r="GP32" s="39" t="str">
        <f t="shared" si="82"/>
        <v/>
      </c>
      <c r="GQ3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2" s="39" t="str">
        <f>IF(AND(Include_study?="Yes",Sufficient_data="Yes"),IF('Publication Bias Analysis'!L$38="Left",'Publication Bias Analysis'!E:E-GW$10,GW$10-'Publication Bias Analysis'!E:E),"")</f>
        <v/>
      </c>
      <c r="GS32" s="39" t="str">
        <f t="shared" si="83"/>
        <v/>
      </c>
      <c r="GT3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2"/>
      <c r="GW32"/>
      <c r="GX32"/>
      <c r="GY32" s="89">
        <v>31</v>
      </c>
      <c r="GZ32" s="7" t="str">
        <f>IF(Trim_and_fill="On",IF(GW$21&gt;(COUNT(GZ$2:GZ31)),IF(COUNTIF(GA:GA,-1*(MAX(GA:GA)-GY32+1))=1,"",MAX(GA:GA)-GY32+1),""),"")</f>
        <v/>
      </c>
      <c r="HA32" s="69" t="str">
        <f t="shared" si="84"/>
        <v/>
      </c>
      <c r="HB32" s="69" t="str">
        <f t="shared" si="85"/>
        <v/>
      </c>
      <c r="HC32" s="69" t="str">
        <f t="shared" si="86"/>
        <v/>
      </c>
      <c r="HD32" s="39" t="str">
        <f>IF(GZ32&lt;&gt;"",1/(HB32^2+'Publication Bias Analysis'!L$32),"")</f>
        <v/>
      </c>
      <c r="HE32" s="74" t="str">
        <f>IF(GZ32&lt;&gt;"",HA:HA-'Publication Bias Analysis'!I$37,"")</f>
        <v/>
      </c>
      <c r="HF32" s="45"/>
      <c r="HG32" s="89">
        <v>31</v>
      </c>
      <c r="HH32" s="69" t="e">
        <f t="shared" si="87"/>
        <v>#N/A</v>
      </c>
      <c r="HI32" s="74" t="e">
        <f t="shared" si="88"/>
        <v>#N/A</v>
      </c>
      <c r="HK32" s="176"/>
      <c r="HL32" s="66" t="str">
        <f t="shared" si="89"/>
        <v/>
      </c>
      <c r="HM32" s="74" t="str">
        <f>IF(AND(Include_study?="Yes",Sufficient_data="Yes"),Z_score-('Publication Bias Analysis'!P$3+'Publication Bias Analysis'!P$4*Inverse_standard_error),"")</f>
        <v/>
      </c>
      <c r="HO32" s="176"/>
      <c r="HP32" s="64" t="str">
        <f>IF(AND(Include_study?="Yes",Sufficient_data="Yes"),(GD:GD-SUMPRODUCT(Calculations!FT:FT,'Publication Bias Analysis'!E:E)/SUM(Calculations!FT:FT))/SQRT(Calculations!HQ:HQ),"")</f>
        <v/>
      </c>
      <c r="HQ32" s="64" t="str">
        <f>IF(AND(Include_study?="Yes",Sufficient_data="Yes"),GE:GE^2-1/SUM(Calculations!FT:FT),"")</f>
        <v/>
      </c>
      <c r="HR32" s="7" t="str">
        <f t="shared" si="90"/>
        <v/>
      </c>
      <c r="HS32" s="7" t="str">
        <f t="shared" si="91"/>
        <v/>
      </c>
      <c r="HT32" s="7" t="str">
        <f>IF(AND(Include_study?="Yes",Sufficient_data="Yes"),COUNTIFS(HR$2:HR31,"&lt;"&amp;HR32,HS$2:HS31,"&lt;"&amp;HS32)+COUNTIFS(HR33:HR$201,"&lt;"&amp;HR32,HS33:HS$201,"&lt;"&amp;HS32)+COUNTIFS(HR$2:HR31,"&gt;"&amp;HR32,HS$2:HS31,"&gt;"&amp;HS32)+COUNTIFS(HR33:HR$201,"&gt;"&amp;HR32,HS33:HS$201,"&gt;"&amp;HS32),"")</f>
        <v/>
      </c>
      <c r="HU32" s="104" t="str">
        <f>IF(AND(Include_study?="Yes",Sufficient_data="Yes"),COUNTIFS(HR$2:HR31,"&lt;"&amp;HR32,HS$2:HS31,"&gt;"&amp;HS32)+COUNTIFS(HR33:HR$201,"&lt;"&amp;HR32,HS33:HS$201,"&gt;"&amp;HS32)+COUNTIFS(HR$2:HR31,"&gt;"&amp;HR32,HS$2:HS31,"&lt;"&amp;HS32)+COUNTIFS(HR33:HR$201,"&gt;"&amp;HR32,HS33:HS$201,"&lt;"&amp;HS32),"")</f>
        <v/>
      </c>
      <c r="HW32" s="176"/>
      <c r="IB32" s="176"/>
      <c r="IC32" s="146" t="e">
        <f t="shared" si="92"/>
        <v>#N/A</v>
      </c>
      <c r="ID32" s="137" t="e">
        <f t="shared" si="93"/>
        <v>#N/A</v>
      </c>
      <c r="IE32" s="137" t="str">
        <f t="shared" si="94"/>
        <v/>
      </c>
      <c r="IF32" s="95" t="str">
        <f t="shared" si="95"/>
        <v/>
      </c>
      <c r="IK32" s="176"/>
      <c r="IL32" s="3" t="e">
        <f>IF(AND(Include_study?="Yes",Sufficient_data="Yes"),'Publication Bias Analysis'!AV:AV,NA())</f>
        <v>#N/A</v>
      </c>
      <c r="IM32" s="158" t="e">
        <f>IF(AND(Sufficient_data="Yes",Include_study?="Yes"),'Publication Bias Analysis'!AU:AU,NA())</f>
        <v>#N/A</v>
      </c>
      <c r="IN32" s="62" t="str">
        <f t="shared" si="96"/>
        <v/>
      </c>
      <c r="IO32" s="74" t="str">
        <f>IF(AND(Include_study?="Yes",Sufficient_data="Yes"),Z_score-('Publication Bias Analysis'!AY$30+'Publication Bias Analysis'!AY$31*Inverse_standard_error),"")</f>
        <v/>
      </c>
      <c r="IU32" s="176"/>
      <c r="IV32" s="7" t="str">
        <f>IF('Publication Bias Analysis'!BG:BG&lt;&gt;"",RANK('Publication Bias Analysis'!BG:BG,'Publication Bias Analysis'!BG:BG,1)+COUNTIF('Publication Bias Analysis'!BG$2:BG31,'Publication Bias Analysis'!BG32),"")</f>
        <v/>
      </c>
      <c r="IW32" s="124" t="str">
        <f t="shared" si="97"/>
        <v/>
      </c>
      <c r="IX32" s="125" t="e">
        <f>IF('Publication Bias Analysis'!BF32&lt;&gt;"",'Publication Bias Analysis'!BF32,NA())</f>
        <v>#N/A</v>
      </c>
      <c r="IY32" s="125" t="e">
        <f>IF('Publication Bias Analysis'!BG32&lt;&gt;"",'Publication Bias Analysis'!BG32,NA())</f>
        <v>#N/A</v>
      </c>
      <c r="IZ32" s="62" t="str">
        <f>IF(AND(Include_study?="Yes",Sufficient_data="Yes"),'Publication Bias Analysis'!BF:BF-AVERAGE('Publication Bias Analysis'!BF:BF),"")</f>
        <v/>
      </c>
      <c r="JA32" s="74" t="str">
        <f>IF(AND(Include_study?="Yes",Sufficient_data="Yes"),'Publication Bias Analysis'!BG:BG-('Publication Bias Analysis'!BJ$30+'Publication Bias Analysis'!BJ$31*'Publication Bias Analysis'!BF:BF),"")</f>
        <v/>
      </c>
      <c r="JG32" s="176"/>
      <c r="JH32" s="39" t="str">
        <f t="shared" si="98"/>
        <v/>
      </c>
      <c r="JI32" s="148" t="str">
        <f t="shared" si="124"/>
        <v/>
      </c>
      <c r="JJ32" s="74" t="str">
        <f t="shared" si="125"/>
        <v/>
      </c>
    </row>
    <row r="33" spans="1:270" ht="12" customHeight="1" x14ac:dyDescent="0.2">
      <c r="A33" s="2" t="str">
        <f t="shared" si="0"/>
        <v/>
      </c>
      <c r="B33" s="7" t="str">
        <f>IF(AND(Include_study?="Yes",Sufficient_data="Yes"),IF(Input!a_&lt;&gt;"",Input!a_,Input!n1_-Input!b_),"")</f>
        <v/>
      </c>
      <c r="C33" s="7" t="str">
        <f>IF(AND(Include_study?="Yes",Sufficient_data="Yes"),IF(Input!b_&lt;&gt;"",Input!b_,Input!n1_-Input!a_),"")</f>
        <v/>
      </c>
      <c r="D33" s="7" t="str">
        <f>IF(AND(Include_study?="Yes",Sufficient_data="Yes"),IF(Input!c_&lt;&gt;"",Input!c_,Input!n2_-Input!d_),"")</f>
        <v/>
      </c>
      <c r="E33" s="7" t="str">
        <f>IF(AND(Include_study?="Yes",Sufficient_data="Yes"),IF(Input!d_&lt;&gt;"",Input!d_,Input!n2_-Input!c_),"")</f>
        <v/>
      </c>
      <c r="F33" s="74" t="str">
        <f t="shared" si="1"/>
        <v/>
      </c>
      <c r="H33" s="196"/>
      <c r="I33" s="182"/>
      <c r="J33" s="146" t="str">
        <f t="shared" si="2"/>
        <v/>
      </c>
      <c r="K33" s="39" t="str">
        <f t="shared" si="3"/>
        <v/>
      </c>
      <c r="L33" s="39" t="str">
        <f t="shared" si="4"/>
        <v/>
      </c>
      <c r="M33" s="39" t="str">
        <f t="shared" si="5"/>
        <v/>
      </c>
      <c r="N33" s="74" t="str">
        <f t="shared" si="6"/>
        <v/>
      </c>
      <c r="P33" s="176"/>
      <c r="Q33" s="130" t="str">
        <f t="shared" si="7"/>
        <v/>
      </c>
      <c r="R33" s="39" t="str">
        <f t="shared" si="8"/>
        <v/>
      </c>
      <c r="S33" s="39" t="str">
        <f t="shared" si="9"/>
        <v/>
      </c>
      <c r="T33" s="74" t="str">
        <f t="shared" si="10"/>
        <v/>
      </c>
      <c r="V33" s="176"/>
      <c r="W33" s="130" t="str">
        <f t="shared" si="11"/>
        <v/>
      </c>
      <c r="X33" s="39" t="str">
        <f t="shared" si="12"/>
        <v/>
      </c>
      <c r="Y33" s="39" t="str">
        <f t="shared" si="13"/>
        <v/>
      </c>
      <c r="Z33" s="74" t="str">
        <f t="shared" si="14"/>
        <v/>
      </c>
      <c r="AB33" s="176"/>
      <c r="AC33" s="130" t="str">
        <f t="shared" si="15"/>
        <v/>
      </c>
      <c r="AD33" s="39" t="str">
        <f t="shared" si="16"/>
        <v/>
      </c>
      <c r="AE33" s="39" t="str">
        <f t="shared" si="17"/>
        <v/>
      </c>
      <c r="AF33" s="39" t="str">
        <f t="shared" si="18"/>
        <v/>
      </c>
      <c r="AG33" s="74" t="str">
        <f t="shared" si="19"/>
        <v/>
      </c>
      <c r="AI33" s="196"/>
      <c r="AJ3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3" s="136" t="str">
        <f>IF(AJ33&lt;&gt;"",IF(AJ33=0,COUNTIF(AJ$2:AJ32,0)+1,COUNTIF(AJ$2:AJ32,AJ33)+AJ33+COUNTIF(AJ:AJ,0)),"")</f>
        <v/>
      </c>
      <c r="AL33" s="136" t="str">
        <f t="shared" si="20"/>
        <v/>
      </c>
      <c r="AM33" s="155" t="str">
        <f>IF(AND(Include_study?="Yes",Sufficient_data="Yes",Input!Study_name&lt;&gt;""),Input!Study_name,"")</f>
        <v/>
      </c>
      <c r="AN33" s="136" t="str">
        <f t="shared" si="21"/>
        <v/>
      </c>
      <c r="AO33" s="19" t="str">
        <f t="shared" si="22"/>
        <v/>
      </c>
      <c r="AP33" s="158" t="str">
        <f t="shared" si="23"/>
        <v/>
      </c>
      <c r="AQ33" s="158" t="str">
        <f t="shared" si="24"/>
        <v/>
      </c>
      <c r="AR33" s="39" t="str">
        <f t="shared" si="25"/>
        <v/>
      </c>
      <c r="AS33" s="158" t="str">
        <f t="shared" si="26"/>
        <v/>
      </c>
      <c r="AT33" s="39" t="str">
        <f t="shared" si="27"/>
        <v/>
      </c>
      <c r="AU33" s="172" t="str">
        <f t="shared" si="28"/>
        <v/>
      </c>
      <c r="AW33" s="84" t="e">
        <f t="shared" si="29"/>
        <v>#N/A</v>
      </c>
      <c r="AX33" s="3" t="e">
        <f t="shared" si="30"/>
        <v>#N/A</v>
      </c>
      <c r="AY33" s="74" t="e">
        <f t="shared" si="31"/>
        <v>#N/A</v>
      </c>
      <c r="BD33" s="196"/>
      <c r="BE33" s="182"/>
      <c r="BF33" s="3" t="str">
        <f t="shared" si="32"/>
        <v/>
      </c>
      <c r="BG33" s="3" t="str">
        <f t="shared" si="33"/>
        <v/>
      </c>
      <c r="BH33" s="3" t="str">
        <f t="shared" si="34"/>
        <v/>
      </c>
      <c r="BI33" s="39" t="str">
        <f t="shared" si="99"/>
        <v/>
      </c>
      <c r="BJ33" s="95" t="str">
        <f t="shared" si="35"/>
        <v/>
      </c>
      <c r="BO33" s="176"/>
      <c r="BP33" s="158" t="str">
        <f t="shared" si="36"/>
        <v/>
      </c>
      <c r="BQ33" s="158" t="str">
        <f t="shared" si="37"/>
        <v/>
      </c>
      <c r="BR33" s="158" t="str">
        <f t="shared" si="38"/>
        <v/>
      </c>
      <c r="BS33" s="158" t="str">
        <f>IF(AND(Sufficient_data="Yes",Include_study?="Yes"),IF(Add_0_5="Yes",(a_+d_+1)*(ab_+0.5)*(c_+0.5)/(Number_of_subjects+2)^2,(a_+d_)*b_*c_/Number_of_subjects^2),"")</f>
        <v/>
      </c>
      <c r="BT33" s="158" t="str">
        <f t="shared" si="39"/>
        <v/>
      </c>
      <c r="BU33" s="158" t="str">
        <f t="shared" si="40"/>
        <v/>
      </c>
      <c r="BV33" s="158" t="str">
        <f t="shared" si="41"/>
        <v/>
      </c>
      <c r="BW33" s="3" t="str">
        <f t="shared" si="42"/>
        <v/>
      </c>
      <c r="BX33" s="137" t="str">
        <f t="shared" si="43"/>
        <v/>
      </c>
      <c r="BY33" s="95" t="str">
        <f t="shared" si="44"/>
        <v/>
      </c>
      <c r="CD33" s="176"/>
      <c r="CE33" s="130" t="str">
        <f t="shared" si="45"/>
        <v/>
      </c>
      <c r="CF33" s="39" t="str">
        <f t="shared" si="46"/>
        <v/>
      </c>
      <c r="CG33" s="39" t="str">
        <f t="shared" si="47"/>
        <v/>
      </c>
      <c r="CH33" s="39" t="str">
        <f t="shared" si="48"/>
        <v/>
      </c>
      <c r="CI33" s="39" t="str">
        <f t="shared" si="49"/>
        <v/>
      </c>
      <c r="CJ33" s="39" t="str">
        <f t="shared" si="50"/>
        <v/>
      </c>
      <c r="CK33" s="95" t="str">
        <f t="shared" si="51"/>
        <v/>
      </c>
      <c r="CP33" s="176"/>
      <c r="CQ33" s="99" t="str">
        <f t="shared" si="52"/>
        <v/>
      </c>
      <c r="CX33" s="196"/>
      <c r="CY33" s="89" t="e">
        <f t="shared" si="53"/>
        <v>#N/A</v>
      </c>
      <c r="CZ33" s="136" t="str">
        <f t="shared" si="54"/>
        <v/>
      </c>
      <c r="DA33" s="140" t="str">
        <f t="shared" si="55"/>
        <v/>
      </c>
      <c r="DB33" s="39" t="str">
        <f t="shared" si="56"/>
        <v/>
      </c>
      <c r="DC33" s="39" t="str">
        <f t="shared" si="57"/>
        <v/>
      </c>
      <c r="DD33" s="39" t="str">
        <f t="shared" si="58"/>
        <v/>
      </c>
      <c r="DE33" s="39" t="str">
        <f t="shared" si="59"/>
        <v/>
      </c>
      <c r="DF33" s="141" t="str">
        <f t="shared" si="60"/>
        <v/>
      </c>
      <c r="DG33" s="39" t="str">
        <f t="shared" si="61"/>
        <v/>
      </c>
      <c r="DH33" s="39" t="str">
        <f t="shared" si="62"/>
        <v/>
      </c>
      <c r="DI33" s="39" t="str">
        <f t="shared" si="63"/>
        <v/>
      </c>
      <c r="DJ33" s="74" t="str">
        <f t="shared" si="64"/>
        <v/>
      </c>
      <c r="DL33" s="84" t="e">
        <f t="shared" si="65"/>
        <v>#N/A</v>
      </c>
      <c r="DM33" s="39" t="e">
        <f t="shared" si="100"/>
        <v>#N/A</v>
      </c>
      <c r="DN33" s="74" t="e">
        <f t="shared" si="101"/>
        <v>#N/A</v>
      </c>
      <c r="DP33" s="89" t="str">
        <f t="shared" si="102"/>
        <v/>
      </c>
      <c r="DQ33" s="26" t="str">
        <f>IF(AND(Sufficient_data="Yes",Subgroup&lt;&gt;""),IF(COUNTIFS(Input!J$2:J32,"="&amp;"Yes",Input!C$2:C32,"="&amp;"Yes",Input!K$2:K32,"="&amp;Subgroup)&gt;0,"",Subgroup),"")</f>
        <v/>
      </c>
      <c r="DR33" s="7" t="str">
        <f t="shared" si="103"/>
        <v/>
      </c>
      <c r="DS33" s="7" t="str">
        <f t="shared" si="66"/>
        <v/>
      </c>
      <c r="DT33" s="19" t="str">
        <f t="shared" si="67"/>
        <v/>
      </c>
      <c r="DU33" s="12" t="str">
        <f t="shared" si="104"/>
        <v/>
      </c>
      <c r="DV33" s="11" t="str">
        <f t="shared" si="105"/>
        <v/>
      </c>
      <c r="DW33" s="12" t="str">
        <f t="shared" si="68"/>
        <v/>
      </c>
      <c r="DX33" s="12" t="str">
        <f t="shared" si="69"/>
        <v/>
      </c>
      <c r="DY33" s="19" t="str">
        <f t="shared" si="106"/>
        <v/>
      </c>
      <c r="DZ33" s="12" t="str">
        <f t="shared" si="70"/>
        <v/>
      </c>
      <c r="EA33" s="19" t="str">
        <f t="shared" si="71"/>
        <v/>
      </c>
      <c r="EB33" s="7" t="str">
        <f t="shared" si="72"/>
        <v/>
      </c>
      <c r="EC33" s="19" t="str">
        <f t="shared" si="107"/>
        <v/>
      </c>
      <c r="ED33" s="19" t="str">
        <f t="shared" si="108"/>
        <v/>
      </c>
      <c r="EE33" s="19" t="str">
        <f t="shared" si="109"/>
        <v/>
      </c>
      <c r="EF33" s="19" t="str">
        <f t="shared" si="110"/>
        <v/>
      </c>
      <c r="EG33" s="19" t="str">
        <f t="shared" si="111"/>
        <v/>
      </c>
      <c r="EH33" s="19" t="str">
        <f t="shared" si="112"/>
        <v/>
      </c>
      <c r="EI33" s="19" t="str">
        <f t="shared" si="113"/>
        <v/>
      </c>
      <c r="EJ33" s="19" t="str">
        <f t="shared" si="114"/>
        <v/>
      </c>
      <c r="EK33" s="19" t="str">
        <f t="shared" si="73"/>
        <v/>
      </c>
      <c r="EL33" s="19" t="str">
        <f t="shared" si="115"/>
        <v/>
      </c>
      <c r="EM33" s="19" t="str">
        <f t="shared" si="116"/>
        <v/>
      </c>
      <c r="EN33" s="19" t="str">
        <f t="shared" si="117"/>
        <v/>
      </c>
      <c r="EO33" s="19" t="str">
        <f t="shared" si="118"/>
        <v/>
      </c>
      <c r="EP33" s="19" t="str">
        <f t="shared" si="74"/>
        <v/>
      </c>
      <c r="EQ33" s="19" t="e">
        <f t="shared" si="119"/>
        <v>#N/A</v>
      </c>
      <c r="ER33" s="11" t="str">
        <f t="shared" si="120"/>
        <v/>
      </c>
      <c r="ES33" s="19" t="str">
        <f t="shared" si="121"/>
        <v/>
      </c>
      <c r="ET33" s="156" t="str">
        <f t="shared" si="122"/>
        <v/>
      </c>
      <c r="EU33" s="39" t="str">
        <f t="shared" si="75"/>
        <v/>
      </c>
      <c r="EV33" s="74" t="str">
        <f t="shared" si="76"/>
        <v/>
      </c>
      <c r="EX33" s="195" t="s">
        <v>128</v>
      </c>
      <c r="EY33" s="195"/>
      <c r="FA33" s="196"/>
      <c r="FB33" s="84" t="e">
        <f>IF(AND(Include_study?="Yes",Sufficient_data="Yes",Moderator&lt;&gt;""),'Moderator Analysis'!E33,NA())</f>
        <v>#N/A</v>
      </c>
      <c r="FC33" s="39" t="e">
        <f>IF(AND(Include_study?="Yes",Sufficient_data="Yes",Moderator&lt;&gt;""),'Moderator Analysis'!F33,NA())</f>
        <v>#N/A</v>
      </c>
      <c r="FD33" s="39" t="str">
        <f t="shared" si="77"/>
        <v/>
      </c>
      <c r="FE33" s="39" t="str">
        <f t="shared" si="78"/>
        <v/>
      </c>
      <c r="FF33" s="39" t="str">
        <f>IF(AND(Include_study?="Yes",Sufficient_data="Yes",Moderator&lt;&gt;""),'Moderator Analysis'!F:F-FP$2,"")</f>
        <v/>
      </c>
      <c r="FG33" s="39" t="str">
        <f>IF(AND(Include_study?="Yes",Sufficient_data="Yes",Moderator&lt;&gt;""),'Moderator Analysis'!E:E-FP$3,"")</f>
        <v/>
      </c>
      <c r="FH33" s="74" t="str">
        <f>IF(AND(Include_study?="Yes",Sufficient_data="Yes",Moderator&lt;&gt;""),FE:FE*('Moderator Analysis'!F:F-FP$5-FP$4*'Moderator Analysis'!E:E)^2,"")</f>
        <v/>
      </c>
      <c r="FI33" s="128"/>
      <c r="FJ33" s="92" t="str">
        <f t="shared" si="79"/>
        <v/>
      </c>
      <c r="FK33" s="137" t="str">
        <f>IF(AND(Include_study?="Yes",Sufficient_data="Yes",Moderator&lt;&gt;""),'Moderator Analysis'!F:F-'Moderator Analysis'!J$37,"")</f>
        <v/>
      </c>
      <c r="FL33" s="137" t="str">
        <f>IF(AND(Include_study?="Yes",Sufficient_data="Yes",Moderator&lt;&gt;""),'Moderator Analysis'!E:E-SUMPRODUCT('Moderator Analysis'!E:E,FJ:FJ)/SUM(FJ:FJ),"")</f>
        <v/>
      </c>
      <c r="FM33" s="95" t="str">
        <f>IF(AND(Include_study?="Yes",Sufficient_data="Yes",Moderator&lt;&gt;""),FJ:FJ*('Moderator Analysis'!F:F-'Moderator Analysis'!J$29-'Moderator Analysis'!J$30*'Moderator Analysis'!E:E)^2,"")</f>
        <v/>
      </c>
      <c r="FN33" s="21"/>
      <c r="FR33" s="196"/>
      <c r="FS33" s="182"/>
      <c r="FT3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3" s="39" t="str">
        <f>IF(AND(Include_study?="Yes",Sufficient_data="Yes"),1/('Publication Bias Analysis'!F:F^2+IF(Additional_model="Fixed effect",0,Calculations!GH$12)),"")</f>
        <v/>
      </c>
      <c r="FV33" s="39" t="str">
        <f>IF(AND(Include_study?="Yes",Sufficient_data="Yes"),1/('Publication Bias Analysis'!F:F^2+IF(Additional_model="Fixed effect",0,'Publication Bias Analysis'!L$32)),"")</f>
        <v/>
      </c>
      <c r="FW33" s="39" t="str">
        <f>IF(AND(Include_study?="Yes",Sufficient_data="Yes"),'Publication Bias Analysis'!E:E-'Publication Bias Analysis'!I$37,"")</f>
        <v/>
      </c>
      <c r="FX33" s="39" t="str">
        <f>IF(AND(Include_study?="Yes",Sufficient_data="Yes"),IF(Additional_model="Fixed effect",1/'Publication Bias Analysis'!F:F,1/SQRT('Publication Bias Analysis'!F:F^2+GH$12)),"")</f>
        <v/>
      </c>
      <c r="FY3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3" s="136" t="str">
        <f t="shared" si="80"/>
        <v/>
      </c>
      <c r="GA33" s="144" t="str">
        <f>IF(AND(Include_study?="Yes",Sufficient_data="Yes"),FZ:FZ+IF(GL:GL&lt;0,-1,1)*COUNTIF(FZ$2:FZ32,FZ:FZ),"")</f>
        <v/>
      </c>
      <c r="GB33" s="144" t="str">
        <f>IF(AND(Include_study?="Yes",Sufficient_data="Yes"),RANK(GP:GP,GP:GP,1)*IF(GO:GO&lt;0,-1,1)+IF(GO:GO&lt;0,-1,1)*COUNTIF(FZ$2:FZ32,FZ:FZ),"")</f>
        <v/>
      </c>
      <c r="GC33" s="144" t="str">
        <f>IF(AND(Include_study?="Yes",Sufficient_data="Yes"),RANK(GS:GS,GS:GS,1)*IF(GR:GR&lt;0,-1,1)+IF(GR:GR&lt;0,-1,1)*COUNTIF(FZ$2:FZ32,FZ:FZ),"")</f>
        <v/>
      </c>
      <c r="GD33" s="39" t="e">
        <f>IF(AND(Include_study?="Yes",Sufficient_data="Yes"),'Publication Bias Analysis'!E33,NA())</f>
        <v>#N/A</v>
      </c>
      <c r="GE33" s="74" t="e">
        <f>IF(AND(Include_study?="Yes",Sufficient_data="Yes"),'Publication Bias Analysis'!F33,NA())</f>
        <v>#N/A</v>
      </c>
      <c r="GK33" s="176"/>
      <c r="GL3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3" s="39" t="str">
        <f t="shared" si="81"/>
        <v/>
      </c>
      <c r="GN3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3" s="39" t="str">
        <f>IF(AND(Include_study?="Yes",Sufficient_data="Yes"),IF('Publication Bias Analysis'!L$38="Left",'Publication Bias Analysis'!E:E-GW$3,GW$3-'Publication Bias Analysis'!E:E),"")</f>
        <v/>
      </c>
      <c r="GP33" s="39" t="str">
        <f t="shared" si="82"/>
        <v/>
      </c>
      <c r="GQ3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3" s="39" t="str">
        <f>IF(AND(Include_study?="Yes",Sufficient_data="Yes"),IF('Publication Bias Analysis'!L$38="Left",'Publication Bias Analysis'!E:E-GW$10,GW$10-'Publication Bias Analysis'!E:E),"")</f>
        <v/>
      </c>
      <c r="GS33" s="39" t="str">
        <f t="shared" si="83"/>
        <v/>
      </c>
      <c r="GT3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3"/>
      <c r="GW33"/>
      <c r="GX33"/>
      <c r="GY33" s="89">
        <v>32</v>
      </c>
      <c r="GZ33" s="7" t="str">
        <f>IF(Trim_and_fill="On",IF(GW$21&gt;(COUNT(GZ$2:GZ32)),IF(COUNTIF(GA:GA,-1*(MAX(GA:GA)-GY33+1))=1,"",MAX(GA:GA)-GY33+1),""),"")</f>
        <v/>
      </c>
      <c r="HA33" s="69" t="str">
        <f t="shared" si="84"/>
        <v/>
      </c>
      <c r="HB33" s="69" t="str">
        <f t="shared" si="85"/>
        <v/>
      </c>
      <c r="HC33" s="69" t="str">
        <f t="shared" si="86"/>
        <v/>
      </c>
      <c r="HD33" s="39" t="str">
        <f>IF(GZ33&lt;&gt;"",1/(HB33^2+'Publication Bias Analysis'!L$32),"")</f>
        <v/>
      </c>
      <c r="HE33" s="74" t="str">
        <f>IF(GZ33&lt;&gt;"",HA:HA-'Publication Bias Analysis'!I$37,"")</f>
        <v/>
      </c>
      <c r="HF33" s="45"/>
      <c r="HG33" s="89">
        <v>32</v>
      </c>
      <c r="HH33" s="69" t="e">
        <f t="shared" si="87"/>
        <v>#N/A</v>
      </c>
      <c r="HI33" s="74" t="e">
        <f t="shared" si="88"/>
        <v>#N/A</v>
      </c>
      <c r="HK33" s="176"/>
      <c r="HL33" s="66" t="str">
        <f t="shared" si="89"/>
        <v/>
      </c>
      <c r="HM33" s="74" t="str">
        <f>IF(AND(Include_study?="Yes",Sufficient_data="Yes"),Z_score-('Publication Bias Analysis'!P$3+'Publication Bias Analysis'!P$4*Inverse_standard_error),"")</f>
        <v/>
      </c>
      <c r="HO33" s="176"/>
      <c r="HP33" s="64" t="str">
        <f>IF(AND(Include_study?="Yes",Sufficient_data="Yes"),(GD:GD-SUMPRODUCT(Calculations!FT:FT,'Publication Bias Analysis'!E:E)/SUM(Calculations!FT:FT))/SQRT(Calculations!HQ:HQ),"")</f>
        <v/>
      </c>
      <c r="HQ33" s="64" t="str">
        <f>IF(AND(Include_study?="Yes",Sufficient_data="Yes"),GE:GE^2-1/SUM(Calculations!FT:FT),"")</f>
        <v/>
      </c>
      <c r="HR33" s="7" t="str">
        <f t="shared" si="90"/>
        <v/>
      </c>
      <c r="HS33" s="7" t="str">
        <f t="shared" si="91"/>
        <v/>
      </c>
      <c r="HT33" s="7" t="str">
        <f>IF(AND(Include_study?="Yes",Sufficient_data="Yes"),COUNTIFS(HR$2:HR32,"&lt;"&amp;HR33,HS$2:HS32,"&lt;"&amp;HS33)+COUNTIFS(HR34:HR$201,"&lt;"&amp;HR33,HS34:HS$201,"&lt;"&amp;HS33)+COUNTIFS(HR$2:HR32,"&gt;"&amp;HR33,HS$2:HS32,"&gt;"&amp;HS33)+COUNTIFS(HR34:HR$201,"&gt;"&amp;HR33,HS34:HS$201,"&gt;"&amp;HS33),"")</f>
        <v/>
      </c>
      <c r="HU33" s="104" t="str">
        <f>IF(AND(Include_study?="Yes",Sufficient_data="Yes"),COUNTIFS(HR$2:HR32,"&lt;"&amp;HR33,HS$2:HS32,"&gt;"&amp;HS33)+COUNTIFS(HR34:HR$201,"&lt;"&amp;HR33,HS34:HS$201,"&gt;"&amp;HS33)+COUNTIFS(HR$2:HR32,"&gt;"&amp;HR33,HS$2:HS32,"&lt;"&amp;HS33)+COUNTIFS(HR34:HR$201,"&gt;"&amp;HR33,HS34:HS$201,"&lt;"&amp;HS33),"")</f>
        <v/>
      </c>
      <c r="HW33" s="176"/>
      <c r="IB33" s="176"/>
      <c r="IC33" s="146" t="e">
        <f t="shared" si="92"/>
        <v>#N/A</v>
      </c>
      <c r="ID33" s="137" t="e">
        <f t="shared" si="93"/>
        <v>#N/A</v>
      </c>
      <c r="IE33" s="137" t="str">
        <f t="shared" si="94"/>
        <v/>
      </c>
      <c r="IF33" s="95" t="str">
        <f t="shared" si="95"/>
        <v/>
      </c>
      <c r="IK33" s="176"/>
      <c r="IL33" s="3" t="e">
        <f>IF(AND(Include_study?="Yes",Sufficient_data="Yes"),'Publication Bias Analysis'!AV:AV,NA())</f>
        <v>#N/A</v>
      </c>
      <c r="IM33" s="158" t="e">
        <f>IF(AND(Sufficient_data="Yes",Include_study?="Yes"),'Publication Bias Analysis'!AU:AU,NA())</f>
        <v>#N/A</v>
      </c>
      <c r="IN33" s="62" t="str">
        <f t="shared" si="96"/>
        <v/>
      </c>
      <c r="IO33" s="74" t="str">
        <f>IF(AND(Include_study?="Yes",Sufficient_data="Yes"),Z_score-('Publication Bias Analysis'!AY$30+'Publication Bias Analysis'!AY$31*Inverse_standard_error),"")</f>
        <v/>
      </c>
      <c r="IU33" s="176"/>
      <c r="IV33" s="7" t="str">
        <f>IF('Publication Bias Analysis'!BG:BG&lt;&gt;"",RANK('Publication Bias Analysis'!BG:BG,'Publication Bias Analysis'!BG:BG,1)+COUNTIF('Publication Bias Analysis'!BG$2:BG32,'Publication Bias Analysis'!BG33),"")</f>
        <v/>
      </c>
      <c r="IW33" s="124" t="str">
        <f t="shared" si="97"/>
        <v/>
      </c>
      <c r="IX33" s="125" t="e">
        <f>IF('Publication Bias Analysis'!BF33&lt;&gt;"",'Publication Bias Analysis'!BF33,NA())</f>
        <v>#N/A</v>
      </c>
      <c r="IY33" s="125" t="e">
        <f>IF('Publication Bias Analysis'!BG33&lt;&gt;"",'Publication Bias Analysis'!BG33,NA())</f>
        <v>#N/A</v>
      </c>
      <c r="IZ33" s="62" t="str">
        <f>IF(AND(Include_study?="Yes",Sufficient_data="Yes"),'Publication Bias Analysis'!BF:BF-AVERAGE('Publication Bias Analysis'!BF:BF),"")</f>
        <v/>
      </c>
      <c r="JA33" s="74" t="str">
        <f>IF(AND(Include_study?="Yes",Sufficient_data="Yes"),'Publication Bias Analysis'!BG:BG-('Publication Bias Analysis'!BJ$30+'Publication Bias Analysis'!BJ$31*'Publication Bias Analysis'!BF:BF),"")</f>
        <v/>
      </c>
      <c r="JG33" s="176"/>
      <c r="JH33" s="39" t="str">
        <f t="shared" si="98"/>
        <v/>
      </c>
      <c r="JI33" s="148" t="str">
        <f t="shared" si="124"/>
        <v/>
      </c>
      <c r="JJ33" s="74" t="str">
        <f t="shared" si="125"/>
        <v/>
      </c>
    </row>
    <row r="34" spans="1:270" ht="13.5" x14ac:dyDescent="0.25">
      <c r="A34" s="2" t="str">
        <f t="shared" ref="A34:A97" si="126">Entry_number</f>
        <v/>
      </c>
      <c r="B34" s="7" t="str">
        <f>IF(AND(Include_study?="Yes",Sufficient_data="Yes"),IF(Input!a_&lt;&gt;"",Input!a_,Input!n1_-Input!b_),"")</f>
        <v/>
      </c>
      <c r="C34" s="7" t="str">
        <f>IF(AND(Include_study?="Yes",Sufficient_data="Yes"),IF(Input!b_&lt;&gt;"",Input!b_,Input!n1_-Input!a_),"")</f>
        <v/>
      </c>
      <c r="D34" s="7" t="str">
        <f>IF(AND(Include_study?="Yes",Sufficient_data="Yes"),IF(Input!c_&lt;&gt;"",Input!c_,Input!n2_-Input!d_),"")</f>
        <v/>
      </c>
      <c r="E34" s="7" t="str">
        <f>IF(AND(Include_study?="Yes",Sufficient_data="Yes"),IF(Input!d_&lt;&gt;"",Input!d_,Input!n2_-Input!c_),"")</f>
        <v/>
      </c>
      <c r="F34" s="74" t="str">
        <f t="shared" ref="F34:F65" si="127">IF(AND(Include_study?="Yes",Sufficient_data="Yes"),IF(OR(a_=0,b_=0,c_=0,d_=0),"Yes","No"),"")</f>
        <v/>
      </c>
      <c r="H34" s="196"/>
      <c r="I34" s="182"/>
      <c r="J34" s="146" t="str">
        <f t="shared" si="2"/>
        <v/>
      </c>
      <c r="K34" s="39" t="str">
        <f t="shared" ref="K34:K65" si="128">IF(AND(Include_study?="Yes",Sufficient_data="Yes"),LN(OddsRatio),"")</f>
        <v/>
      </c>
      <c r="L34" s="39" t="str">
        <f t="shared" ref="L34:L65" si="129">IF(AND(Include_study?="Yes",Sufficient_data="Yes"),SQRT(IF(Add_0_5="Yes",1/(a_+0.5)+1/(b_+0.5)+1/(c_+0.5)+1/(d_+0.5),1/a_+1/b_+1/c_+1/d_)),"")</f>
        <v/>
      </c>
      <c r="M34" s="39" t="str">
        <f t="shared" ref="M34:M65" si="130">IF(AND(Include_study?="Yes",Sufficient_data="Yes"),EXP(LogOddsRatio-ABS(TINV((1-Confidence_level),Number_of_subjects-2))*SELogOddsRatio),"")</f>
        <v/>
      </c>
      <c r="N34" s="74" t="str">
        <f t="shared" ref="N34:N65" si="131">IF(AND(Include_study?="Yes",Sufficient_data="Yes"),EXP(LogOddsRatio+ABS(TINV((1-Confidence_level),Number_of_subjects-2))*SELogOddsRatio),"")</f>
        <v/>
      </c>
      <c r="P34" s="176"/>
      <c r="Q34" s="130" t="str">
        <f t="shared" ref="Q34:Q65" si="132">IF(AND(Include_study?="Yes",Sufficient_data="Yes"),EXP(LogPetoOddsRatio),"")</f>
        <v/>
      </c>
      <c r="R34" s="39" t="str">
        <f t="shared" ref="R34:R65" si="133">IF(AND(Include_study?="Yes",Sufficient_data="Yes"),SQRT(VarLogPetoOddsRatio),"")</f>
        <v/>
      </c>
      <c r="S34" s="39" t="str">
        <f t="shared" ref="S34:S65" si="134">IF(AND(Include_study?="Yes",Sufficient_data="Yes"),EXP(LogPetoOddsRatio-ABS(TINV((1-Confidence_level),Number_of_subjects-2))*SELogPetoOddsRatio),"")</f>
        <v/>
      </c>
      <c r="T34" s="74" t="str">
        <f t="shared" ref="T34:T65" si="135">IF(AND(Include_study?="Yes",Sufficient_data="Yes"),EXP(LogPetoOddsRatio+ABS(TINV((1-Confidence_level),Number_of_subjects-2))*SELogPetoOddsRatio),"")</f>
        <v/>
      </c>
      <c r="V34" s="176"/>
      <c r="W34" s="130" t="str">
        <f t="shared" ref="W34:W65" si="136">IF(AND(Include_study?="Yes",Sufficient_data="Yes"),a_/(a_+b_)-c_/(c_+d_),"")</f>
        <v/>
      </c>
      <c r="X34" s="39" t="str">
        <f t="shared" ref="X34:X65" si="137">IF(AND(Include_study?="Yes",Sufficient_data="Yes"),SQRT(a_*b_/(a_+b_)^3+c_*d_/(c_+d_)^3),"")</f>
        <v/>
      </c>
      <c r="Y34" s="39" t="str">
        <f t="shared" ref="Y34:Y65" si="138">IF(AND(Include_study?="Yes",Sufficient_data="Yes"),Risk_Difference-SERiskDifference*ABS(TINV((1-Confidence_level),Number_of_subjects-2)),"")</f>
        <v/>
      </c>
      <c r="Z34" s="74" t="str">
        <f t="shared" ref="Z34:Z65" si="139">IF(AND(Include_study?="Yes",Sufficient_data="Yes"),Risk_Difference+SERiskDifference*ABS(TINV((1-Confidence_level),Number_of_subjects-2)),"")</f>
        <v/>
      </c>
      <c r="AB34" s="176"/>
      <c r="AC34" s="130" t="str">
        <f t="shared" ref="AC34:AC65" si="140">IF(AND(Include_study?="Yes",Sufficient_data="Yes"),IF(Add_0_5="Yes",((a_+0.5)/(a_+0.5+b_+0.5))/((c_+0.5)/(c_+0.5+d_+0.5)),(a_/(a_+b_))/(c_/(c_+d_))),"")</f>
        <v/>
      </c>
      <c r="AD34" s="39" t="str">
        <f t="shared" ref="AD34:AD65" si="141">IF(AND(Include_study?="Yes",Sufficient_data="Yes"),LN(Risk_Ratio),"")</f>
        <v/>
      </c>
      <c r="AE34" s="39" t="str">
        <f t="shared" ref="AE34:AE65" si="142">IF(AND(Include_study?="Yes",Sufficient_data="Yes"),IF(Add_0_5="Yes",SQRT(1/(a_+0.5)-1/(a_+0.5+b_+0.5)+1/(c_+0.5)-1/(c_+0.5+d_+0.5)),SQRT(1/a_-1/(a_+b_)+1/c_-1/(c_+d_))),"")</f>
        <v/>
      </c>
      <c r="AF34" s="39" t="str">
        <f t="shared" ref="AF34:AF65" si="143">IF(AND(Include_study?="Yes",Sufficient_data="Yes"),EXP(LN(Risk_Ratio)-ABS(TINV((1-Confidence_level),Number_of_subjects-2))*SELogRiskRatio),"")</f>
        <v/>
      </c>
      <c r="AG34" s="74" t="str">
        <f t="shared" ref="AG34:AG65" si="144">IF(AND(Include_study?="Yes",Sufficient_data="Yes"),EXP(LN(Risk_Ratio)+ABS(TINV((1-Confidence_level),Number_of_subjects-2))*SELogRiskRatio),"")</f>
        <v/>
      </c>
      <c r="AI34" s="196"/>
      <c r="AJ3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4" s="136" t="str">
        <f>IF(AJ34&lt;&gt;"",IF(AJ34=0,COUNTIF(AJ$2:AJ33,0)+1,COUNTIF(AJ$2:AJ33,AJ34)+AJ34+COUNTIF(AJ:AJ,0)),"")</f>
        <v/>
      </c>
      <c r="AL34" s="136" t="str">
        <f t="shared" si="20"/>
        <v/>
      </c>
      <c r="AM34" s="155" t="str">
        <f>IF(AND(Include_study?="Yes",Sufficient_data="Yes",Input!Study_name&lt;&gt;""),Input!Study_name,"")</f>
        <v/>
      </c>
      <c r="AN34" s="136" t="str">
        <f t="shared" si="21"/>
        <v/>
      </c>
      <c r="AO34" s="19" t="str">
        <f t="shared" ref="AO34:AO65" si="145">IF(AND(Include_study?="Yes",Sufficient_data="Yes"),IF(Present_Effect_size_measure="Risk difference",Risk_Difference,IF(Present_Effect_size_measure="Risk ratio",Risk_Ratio,IF(Present_Effect_size_measure="Odds Ratio",OddsRatio,IF(Present_Effect_size_measure="Peto Odds Ratio",PetoOddsRatio,"")))),"")</f>
        <v/>
      </c>
      <c r="AP34" s="158" t="str">
        <f t="shared" ref="AP34:AP65" si="146">IF(AND(Include_study?="Yes",Sufficient_data="Yes"),IF(Weighting_method="Inverse variance",Weightf,IF(Weighting_method="Mantel-Haenszel",Weightf_MH,Weightf_Peto)),"")</f>
        <v/>
      </c>
      <c r="AQ34" s="158" t="str">
        <f t="shared" ref="AQ34:AQ65" si="147">IF(AND(Include_study?="Yes",Sufficient_data="Yes"),IF(Weighting_method="Inverse variance",Weight,IF(Weighting_method="Mantel-Haenszel",Weight_MH,Weight_Peto)),"")</f>
        <v/>
      </c>
      <c r="AR34" s="39" t="str">
        <f t="shared" ref="AR34:AR65" si="148">IF(AND(Include_study?="Yes",Sufficient_data="Yes"),IF(Present_Effect_size_measure="Risk difference",SERiskDifference,IF(Present_Effect_size_measure="Risk ratio",SELogRiskRatio,IF(Present_Effect_size_measure="Odds Ratio",SELogOddsRatio,IF(Present_Effect_size_measure="Peto Odds Ratio",SELogPetoOddsRatio)))),"")</f>
        <v/>
      </c>
      <c r="AS34" s="158" t="str">
        <f t="shared" ref="AS34:AS65" si="149">IF(AND(Include_study?="Yes",Sufficient_data="Yes"),IF(Present_Effect_size_measure="Risk difference",CI_LLRiskDifference,IF(Present_Effect_size_measure="Risk ratio",CI_LLRiskRatio,CI_LLOddsRatio)),"")</f>
        <v/>
      </c>
      <c r="AT34" s="39" t="str">
        <f t="shared" ref="AT34:AT65" si="150">IF(AND(Include_study?="Yes",Sufficient_data="Yes"),IF(Present_Effect_size_measure="Risk difference",CI_ULRiskDifference,IF(Present_Effect_size_measure="Risk ratio",CI_ULRiskRatio,CI_ULOddsRatio)),"")</f>
        <v/>
      </c>
      <c r="AU34" s="172" t="str">
        <f t="shared" ref="AU34:AU65" si="151">IF(AND(Include_study?="Yes",Sufficient_data="Yes",Valid_options="Yes"),IF(Meta_analysis_model="Fixed effect model",Weightf_lookup/SUM(Weightf_lookup),Weightr_lookup/SUM(Weightr_lookup)),"")</f>
        <v/>
      </c>
      <c r="AW34" s="84" t="e">
        <f t="shared" ref="AW34:AW97" si="152">IF(Effect_size_lookup&lt;&gt;"",Effect_size_lookup,NA())</f>
        <v>#N/A</v>
      </c>
      <c r="AX34" s="3" t="e">
        <f t="shared" ref="AX34:AX65" si="153">IF(Effect_size_lookup&lt;&gt;"",Effect_size_lookup-AS34,NA())</f>
        <v>#N/A</v>
      </c>
      <c r="AY34" s="74" t="e">
        <f t="shared" ref="AY34:AY65" si="154">IF(Effect_size_lookup&lt;&gt;"",AT34-Effect_size_lookup,NA())</f>
        <v>#N/A</v>
      </c>
      <c r="BD34" s="196"/>
      <c r="BE34" s="182"/>
      <c r="BF34" s="3" t="str">
        <f t="shared" ref="BF34:BF97" si="155">IF(AND(Sufficient_data="Yes",Include_study?="Yes"),IF(Model_effect_size_measure="Odds Ratio",LogOddsRatio,IF(Model_effect_size_measure="Risk Ratio",LogRiskRatio,Risk_Difference)),"")</f>
        <v/>
      </c>
      <c r="BG34" s="3" t="str">
        <f t="shared" ref="BG34:BG97" si="156">IF(AND(Sufficient_data="Yes",Include_study?="Yes"),IF(Model_effect_size_measure="Odds Ratio",SELogOddsRatio,IF(Model_effect_size_measure="Risk Ratio",SELogRiskRatio,SERiskDifference)),"")</f>
        <v/>
      </c>
      <c r="BH34" s="3" t="str">
        <f t="shared" ref="BH34:BH97" si="157">IF(AND(Sufficient_data="Yes",Include_study?="Yes"),IF(Model_effect_size_measure="Odds Ratio",1/(SELogOddsRatio^2),IF(Model_effect_size_measure="Risk Ratio",1/(SELogRiskRatio^2),1/(SERiskDifference^2))),"")</f>
        <v/>
      </c>
      <c r="BI34" s="39" t="str">
        <f t="shared" ref="BI34:BI97" si="158">IF(Weightf&lt;&gt;"",1/(IF(Model_effect_size_measure="Odds Ratio",SELogOddsRatio,IF(Model_effect_size_measure="Risk Ratio",SELogRiskRatio,SERiskDifference))^2+T2_),"")</f>
        <v/>
      </c>
      <c r="BJ34" s="95" t="str">
        <f t="shared" ref="BJ34:BJ65" si="159">IF(Weightf&lt;&gt;"",Model_Effect_size-IF(OR(Model_effect_size_measure="Odds Ratio",Model_effect_size_measure="Risk Ratio",Model_effect_size_measure="Peto Odds Ratio"),lnCES_IV,CES_IV),"")</f>
        <v/>
      </c>
      <c r="BO34" s="176"/>
      <c r="BP34" s="158" t="str">
        <f t="shared" ref="BP34:BP65" si="160">IF(AND(Sufficient_data="Yes",Include_study?="Yes"),IF(Add_0_5="Yes",(a_+0.5)*(d_+0.5)/(Number_of_subjects+2),a_*d_/Number_of_subjects),"")</f>
        <v/>
      </c>
      <c r="BQ34" s="158" t="str">
        <f t="shared" ref="BQ34:BQ65" si="161">IF(AND(Sufficient_data="Yes",Include_study?="Yes"),IF(Add_0_5="Yes",(b_+0.5)*(c_+0.5)/(Number_of_subjects+2),b_*c_/Number_of_subjects),"")</f>
        <v/>
      </c>
      <c r="BR34" s="158" t="str">
        <f t="shared" ref="BR34:BR65" si="162">IF(AND(Sufficient_data="Yes",Include_study?="Yes"),IF(Add_0_5="Yes",(a_+d_+1)*(a_+0.5)*(d_+0.5)/(Number_of_subjects+2)^2,(a_+d_)*a_*d_/Number_of_subjects^2),"")</f>
        <v/>
      </c>
      <c r="BS34" s="158" t="str">
        <f>IF(AND(Sufficient_data="Yes",Include_study?="Yes"),IF(Add_0_5="Yes",(a_+d_+1)*(ab_+0.5)*(c_+0.5)/(Number_of_subjects+2)^2,(a_+d_)*b_*c_/Number_of_subjects^2),"")</f>
        <v/>
      </c>
      <c r="BT34" s="158" t="str">
        <f t="shared" ref="BT34:BT65" si="163">IF(AND(Sufficient_data="Yes",Include_study?="Yes"),IF(Add_0_5="Yes",(b_+c_+1)*(a_+0.5)*(d_+0.5)/(Number_of_subjects+2)^2,(b_+c_)*a_*d_/Number_of_subjects^2),"")</f>
        <v/>
      </c>
      <c r="BU34" s="158" t="str">
        <f t="shared" ref="BU34:BU65" si="164">IF(AND(Sufficient_data="Yes",Include_study?="Yes"),IF(Add_0_5="Yes",(b_+c_+1)*(b_+0.5)*(c_+0.5)/(Number_of_subjects+2)^2,(b_+c_)*b_*c_/Number_of_subjects^2),"")</f>
        <v/>
      </c>
      <c r="BV34" s="158" t="str">
        <f t="shared" ref="BV34:BV65" si="165">IF(AND(Sufficient_data="Yes",Include_study?="Yes"),IF(Add_0_5="Yes",(b_+0.5)*(c_+0.5)/(Number_of_subjects+2),b_*c_/Number_of_subjects),"")</f>
        <v/>
      </c>
      <c r="BW34" s="3" t="str">
        <f t="shared" ref="BW34:BW97" si="166">IF(AND(Sufficient_data="Yes",Include_study?="Yes"),1/(SELogOddsRatio^2)*(LogOddsRatio-LN(SUMPRODUCT(Weightf_MH,OddsRatio)/SUM(Weightf_MH)))^2,"")</f>
        <v/>
      </c>
      <c r="BX34" s="137" t="str">
        <f t="shared" ref="BX34:BX97" si="167">IF(Weithf_MH&lt;&gt;"",1/(SELogOddsRatio^2+T2_MH),"")</f>
        <v/>
      </c>
      <c r="BY34" s="95" t="str">
        <f t="shared" ref="BY34:BY65" si="168">IF(Weithf_MH&lt;&gt;"",LogOddsRatio-lnCES_OddsRatio_MH,"")</f>
        <v/>
      </c>
      <c r="CD34" s="176"/>
      <c r="CE34" s="130" t="str">
        <f t="shared" ref="CE34:CE65" si="169">IF(AND(Include_study?="Yes",Sufficient_data="Yes"),((a_+b_)*(a_+c_))/(Number_of_subjects),"")</f>
        <v/>
      </c>
      <c r="CF34" s="39" t="str">
        <f t="shared" ref="CF34:CF65" si="170">IF(AND(Include_study?="Yes",Sufficient_data="Yes"),((a_+b_)*(c_+d_)*(a_+c_)*(b_+d_))/((Number_of_subjects)^2*(Number_of_subjects-1)),"")</f>
        <v/>
      </c>
      <c r="CG34" s="39" t="str">
        <f t="shared" ref="CG34:CG65" si="171">IF(AND(Include_study?="Yes",Sufficient_data="Yes"),(a_-Expected)/VarExpected,"")</f>
        <v/>
      </c>
      <c r="CH34" s="39" t="str">
        <f t="shared" ref="CH34:CH65" si="172">IF(AND(Include_study?="Yes",Sufficient_data="Yes"),1/VarExpected,"")</f>
        <v/>
      </c>
      <c r="CI34" s="39" t="str">
        <f t="shared" ref="CI34:CI65" si="173">IF(AND(Sufficient_data="Yes",Include_study?="Yes"),VarExpected,"")</f>
        <v/>
      </c>
      <c r="CJ34" s="39" t="str">
        <f t="shared" si="50"/>
        <v/>
      </c>
      <c r="CK34" s="95" t="str">
        <f t="shared" ref="CK34:CK65" si="174">IF(Weightf_Peto&lt;&gt;"",LogPetoOddsRatio-lnCES_PetoOddsRatio,"")</f>
        <v/>
      </c>
      <c r="CP34" s="176"/>
      <c r="CQ34" s="99" t="str">
        <f t="shared" ref="CQ34:CQ97" si="175">IF(AND(Sufficient_data="Yes",Include_study?="Yes"),c_/(c_+d_),"")</f>
        <v/>
      </c>
      <c r="CX34" s="196"/>
      <c r="CY34" s="89" t="e">
        <f t="shared" ref="CY34:CY65" si="176">IF(AND(Include_study?="Yes",Sufficient_data="Yes",Subgroup&lt;&gt;""),COUNTIFS(Include_study?,"Yes",Sufficient_data,"Yes",DA:DA,"&lt;"&amp;Subgroup,Subgroup,"*")+COUNTIFS(Entry_number,"&lt;"&amp;Entry_number,DA:DA,Subgroup)+COUNTIFS(DS:DS,"&gt;="&amp;0,DQ:DQ,"&lt;"&amp;Subgroup)+1,NA())</f>
        <v>#N/A</v>
      </c>
      <c r="CZ34" s="136" t="str">
        <f t="shared" ref="CZ34:CZ65" si="177">IF(AND(Include_study?="Yes",Sufficient_data="Yes",Subgroup&lt;&gt;""),Study_name,"")</f>
        <v/>
      </c>
      <c r="DA34" s="140" t="str">
        <f t="shared" ref="DA34:DA65" si="178">IF(AND(Include_study?="Yes",Sufficient_data="Yes",Subgroup&lt;&gt;""),Subgroup,"")</f>
        <v/>
      </c>
      <c r="DB34" s="39" t="str">
        <f t="shared" ref="DB34:DB65" si="179">IF(AND(Include_study?="Yes",Sufficient_data="Yes",Subgroup&lt;&gt;""),IF(Subgroup_effect_size_measure="Odds Ratio",LogOddsRatio,IF(Subgroup_effect_size_measure="Risk Ratio",LogRiskRatio,IF(Subgroup_effect_size_measure="Risk Difference",Risk_Difference,IF(Subgroup_effect_size_measure="Peto Odds Ratio",LogPetoOddsRatio,"")))),"")</f>
        <v/>
      </c>
      <c r="DC34" s="39" t="str">
        <f t="shared" ref="DC34:DC65" si="180">IF(AND(Include_study?="Yes",Sufficient_data="Yes",Subgroup&lt;&gt;""),IF(Subgroup_effect_size_measure="Odds Ratio",SELogOddsRatio,IF(Subgroup_effect_size_measure="Risk Ratio",SELogRiskRatio,IF(Subgroup_effect_size_measure="Risk Difference",SERiskDifference,IF(Subgroup_effect_size_measure="Peto Odds Ratio",SELogPetoOddsRatio,"")))),"")</f>
        <v/>
      </c>
      <c r="DD34" s="39" t="str">
        <f t="shared" ref="DD34:DD65" si="181">IF(AND(Include_study?="Yes",Sufficient_data="Yes",Subgroup&lt;&gt;""),IF(Subgroup_weighting_method="Inverse variance",1/DC34^2,IF(Subgroup_weighting_method="Mantel-Haenszel",Weightf_MH,Weightf_Peto)),"")</f>
        <v/>
      </c>
      <c r="DE34" s="39" t="str">
        <f t="shared" ref="DE34:DE65" si="182">IF(AND(Include_study?="Yes",Sufficient_data="Yes",Subgroup&lt;&gt;""),1/(DC34^2+IF(Within_subgroup_weighting=EX$42,0,INDEX(DQ:DX,MATCH(Subgroup,DQ:DQ,0),8))),"")</f>
        <v/>
      </c>
      <c r="DF34" s="141" t="str">
        <f t="shared" ref="DF34:DF65" si="183">IF(AND(Include_study?="Yes",Sufficient_data="Yes",Subgroup_valid_options="Yes",Subgroup&lt;&gt;""),DE34/SUMIF(Subgroup,Subgroup,DE:DE),"")</f>
        <v/>
      </c>
      <c r="DG34" s="39" t="str">
        <f t="shared" ref="DG34:DG65" si="184">IF(AND(Include_study?="Yes",Sufficient_data="Yes",Subgroup&lt;&gt;"",DG$1&lt;&gt;""),IF(Subgroup_effect_size_measure="Risk Ratio",Risk_Ratio,IF(Subgroup_effect_size_measure="Odds Ratio",OddsRatio,IF(Subgroup_effect_size_measure="Peto Odds Ratio",PetoOddsRatio,""))),"")</f>
        <v/>
      </c>
      <c r="DH34" s="39" t="str">
        <f t="shared" ref="DH34:DH65" si="185">IF(AND(Include_study?="Yes",Sufficient_data="Yes",Subgroup&lt;&gt;""),IF(Subgroup_effect_size_measure="Risk Difference",Subgroup_effect_size-ABS(TINV((1-Subgroup_confidence_level),Number_of_subjects-1))*DC:DC,EXP(Subgroup_effect_size-ABS(TINV((1-Subgroup_confidence_level),Number_of_subjects-1))*DC:DC)),"")</f>
        <v/>
      </c>
      <c r="DI34" s="39" t="str">
        <f t="shared" ref="DI34:DI65" si="186">IF(AND(Include_study?="Yes",Sufficient_data="Yes",Subgroup&lt;&gt;""),IF(Subgroup_effect_size_measure="Risk Difference",Subgroup_effect_size+ABS(TINV((1-Subgroup_confidence_level),Number_of_subjects-1))*DC:DC,EXP(Subgroup_effect_size+ABS(TINV((1-Subgroup_confidence_level),Number_of_subjects-1))*DC:DC)),"")</f>
        <v/>
      </c>
      <c r="DJ34" s="74" t="str">
        <f t="shared" ref="DJ34:DJ65" si="187">IF(AND(Include_study?="Yes",Sufficient_data="Yes",Subgroup&lt;&gt;""),Subgroup_effect_size-VLOOKUP(DA:DA,DQ:DZ,10,FALSE),"")</f>
        <v/>
      </c>
      <c r="DL34" s="84" t="e">
        <f t="shared" ref="DL34:DL51" si="188">IF(Subgroup_effect_size&lt;&gt;"",IF(Subgroup_effect_size_measure="Risk Difference",Subgroup_effect_size,DG:DG),NA())</f>
        <v>#N/A</v>
      </c>
      <c r="DM34" s="39" t="e">
        <f t="shared" ref="DM34:DM65" si="189">IF(AND(Include_study?="Yes",Sufficient_data="Yes",Subgroup&lt;&gt;""),IF(Subgroup_effect_size_measure="Risk Difference",DB34-DH34,DG34-DH34),NA())</f>
        <v>#N/A</v>
      </c>
      <c r="DN34" s="74" t="e">
        <f t="shared" ref="DN34:DN65" si="190">IF(AND(Include_study?="Yes",Sufficient_data="Yes",Subgroup&lt;&gt;""),IF(Subgroup_effect_size_measure="Risk Difference",DI34-DB34,DI34-DG34),NA())</f>
        <v>#N/A</v>
      </c>
      <c r="DP34" s="89" t="str">
        <f t="shared" si="102"/>
        <v/>
      </c>
      <c r="DQ34" s="26" t="str">
        <f>IF(AND(Sufficient_data="Yes",Subgroup&lt;&gt;""),IF(COUNTIFS(Input!J$2:J33,"="&amp;"Yes",Input!C$2:C33,"="&amp;"Yes",Input!K$2:K33,"="&amp;Subgroup)&gt;0,"",Subgroup),"")</f>
        <v/>
      </c>
      <c r="DR34" s="7" t="str">
        <f t="shared" si="103"/>
        <v/>
      </c>
      <c r="DS34" s="7" t="str">
        <f t="shared" ref="DS34:DS65" si="191">IF(DQ34&lt;&gt;"",COUNTIFS(Sufficient_data,"Yes",Include_study?,"Yes",Subgroup,DQ34),"")</f>
        <v/>
      </c>
      <c r="DT34" s="19" t="str">
        <f t="shared" ref="DT34:DT65" si="192">IF(AND(DQ34&lt;&gt;"",Subgroup_valid_options="Yes",SUMIF(Subgroup,DQ34,Subgroup_weightf)&gt;0),MAX(0,SUMPRODUCT(--(Subgroup=DQ34),Subgroup_weightf,Subgroup_effect_size,Subgroup_effect_size)-(SUMPRODUCT(--(Subgroup=DQ34),Subgroup_weightf,Subgroup_effect_size)^2/SUMIF(Subgroup,DQ34,Subgroup_weightf))),"")</f>
        <v/>
      </c>
      <c r="DU34" s="12" t="str">
        <f t="shared" si="104"/>
        <v/>
      </c>
      <c r="DV34" s="11" t="str">
        <f t="shared" si="105"/>
        <v/>
      </c>
      <c r="DW34" s="12" t="str">
        <f t="shared" ref="DW34:DW51" si="193">IF(DT34&lt;&gt;"",SUMIF(Subgroup,DQ34,Subgroup_weightf)-SUMPRODUCT(--(Subgroup=DQ34),Subgroup_weightf,Subgroup_weightf)/SUMIF(Subgroup,DQ34,Subgroup_weightf),"")</f>
        <v/>
      </c>
      <c r="DX34" s="12" t="str">
        <f t="shared" ref="DX34:DX65" si="194">IF(DT34&lt;&gt;"",IF(Within_subgroup_weighting=EX$44,MAX(0,(SUM(DT:DT)-(Subgroup_k-COUNT(DT:DT)))/SUM(DW:DW)),MAX(0,(DT34-(DS34-1))/DW34)),"")</f>
        <v/>
      </c>
      <c r="DY34" s="19" t="str">
        <f t="shared" si="106"/>
        <v/>
      </c>
      <c r="DZ34" s="12" t="str">
        <f t="shared" ref="DZ34:DZ51" si="195">IF(DT34&lt;&gt;"",SUMPRODUCT(--(Subgroup=DQ34),DE:DE,Subgroup_effect_size)/SUMIF(Subgroup,DQ34,DE:DE),"")</f>
        <v/>
      </c>
      <c r="EA34" s="19" t="str">
        <f t="shared" ref="EA34:EA65" si="196">IF(DT34&lt;&gt;"",IF(Within_subgroup_weighting=EX$42,1/SQRT(SUMIF(Subgroup,DQ34,DD:DD)),SQRT(SUMPRODUCT(--(Subgroup=DQ34),DE:DE,DJ:DJ,DJ:DJ)/((DS34-1)*SUMIF(Subgroup,DQ34,DE:DE)))),"")</f>
        <v/>
      </c>
      <c r="EB34" s="7" t="str">
        <f t="shared" ref="EB34:EB65" si="197">IF(DT34&lt;&gt;"",SUMIFS(Number_of_subjects,Subgroup,DQ34,Include_study?,"Yes",Sufficient_data,"Yes"),"")</f>
        <v/>
      </c>
      <c r="EC34" s="19" t="str">
        <f t="shared" ref="EC34:EC65" si="198">IF(DT34&lt;&gt;"",DZ34-ABS(TINV((1-Subgroup_confidence_level),DS34-1))*EA34,"")</f>
        <v/>
      </c>
      <c r="ED34" s="19" t="str">
        <f t="shared" ref="ED34:ED65" si="199">IF(DT34&lt;&gt;"",DZ34+ABS(TINV((1-Subgroup_confidence_level),DS34-1))*EA34,"")</f>
        <v/>
      </c>
      <c r="EE34" s="19" t="str">
        <f t="shared" si="109"/>
        <v/>
      </c>
      <c r="EF34" s="19" t="str">
        <f t="shared" si="110"/>
        <v/>
      </c>
      <c r="EG34" s="19" t="str">
        <f t="shared" si="111"/>
        <v/>
      </c>
      <c r="EH34" s="19" t="str">
        <f t="shared" si="112"/>
        <v/>
      </c>
      <c r="EI34" s="19" t="str">
        <f t="shared" si="113"/>
        <v/>
      </c>
      <c r="EJ34" s="19" t="str">
        <f t="shared" ref="EJ34:EJ65" si="200">IF(DT34&lt;&gt;"",DZ34-ABS(TINV((1-Subgroup_confidence_level),DS34-1))*SQRT(DX34+EA34^2),"")</f>
        <v/>
      </c>
      <c r="EK34" s="19" t="str">
        <f t="shared" ref="EK34:EK65" si="201">IF(DT34&lt;&gt;"",DZ34+ABS(TINV((1-Subgroup_confidence_level),DS34-1))*SQRT(DX34+EA34^2),"")</f>
        <v/>
      </c>
      <c r="EL34" s="19" t="str">
        <f t="shared" si="115"/>
        <v/>
      </c>
      <c r="EM34" s="19" t="str">
        <f t="shared" si="116"/>
        <v/>
      </c>
      <c r="EN34" s="19" t="str">
        <f t="shared" si="117"/>
        <v/>
      </c>
      <c r="EO34" s="19" t="str">
        <f t="shared" si="118"/>
        <v/>
      </c>
      <c r="EP34" s="19" t="str">
        <f t="shared" ref="EP34:EP51" si="202">IF(DT34&lt;&gt;"",SUMPRODUCT(--(Subgroup=DQ34),DE:DE,Subgroup_effect_size,Subgroup_effect_size)-(SUMPRODUCT(--(Subgroup=DQ34),DE:DE,Subgroup_effect_size)^2/SUMIF(Subgroup,DQ34,DE:DE)),"")</f>
        <v/>
      </c>
      <c r="EQ34" s="19" t="e">
        <f t="shared" si="119"/>
        <v>#N/A</v>
      </c>
      <c r="ER34" s="11" t="str">
        <f t="shared" si="120"/>
        <v/>
      </c>
      <c r="ES34" s="19" t="str">
        <f t="shared" si="121"/>
        <v/>
      </c>
      <c r="ET34" s="156" t="str">
        <f t="shared" ref="ET34:ET65" si="203">IF(EA34&lt;&gt;"",1/(EA34^2+IF(Between_subgroup_weighting=EX$38,0,EY$35)),"")</f>
        <v/>
      </c>
      <c r="EU34" s="39" t="str">
        <f t="shared" ref="EU34:EU51" si="204">IF(ES34&lt;&gt;"",IF(Subgroup_effect_size_measure="Risk Difference",(EY$9-DZ34)^2*ET34,(EY$2-DZ34)^2*ET34),"")</f>
        <v/>
      </c>
      <c r="EV34" s="74" t="str">
        <f t="shared" ref="EV34:EV65" si="205">IF(DT34&lt;&gt;"",IF(Subgroup_effect_size_measure="Risk Difference",EE:EE-EY$9,DZ:DZ-EY$2),"")</f>
        <v/>
      </c>
      <c r="EX34" s="56" t="s">
        <v>129</v>
      </c>
      <c r="EY34" s="55">
        <f>IF(Subgroup_valid_options="Yes",SUMPRODUCT(ES:ES,DZ:DZ,DZ:DZ)-SUMPRODUCT(ES:ES,DZ:DZ)^2/SUM(ES:ES),"")</f>
        <v>0.15694454992799312</v>
      </c>
      <c r="FA34" s="196"/>
      <c r="FB34" s="84" t="e">
        <f>IF(AND(Include_study?="Yes",Sufficient_data="Yes",Moderator&lt;&gt;""),'Moderator Analysis'!E34,NA())</f>
        <v>#N/A</v>
      </c>
      <c r="FC34" s="39" t="e">
        <f>IF(AND(Include_study?="Yes",Sufficient_data="Yes",Moderator&lt;&gt;""),'Moderator Analysis'!F34,NA())</f>
        <v>#N/A</v>
      </c>
      <c r="FD34" s="39" t="str">
        <f t="shared" ref="FD34:FD65" si="206">IF(AND(Include_study?="Yes",Sufficient_data="Yes",Moderator&lt;&gt;""),IF(Moderator_effect_size_measure="Log Odds Ratio",SELogOddsRatio,IF(Moderator_effect_size_measure="Log Risk Ratio",SELogRiskRatio,IF(Moderator_effect_size_measure="Risk Difference",SERiskDifference,SELogPetoOddsRatio))),"")</f>
        <v/>
      </c>
      <c r="FE34" s="39" t="str">
        <f t="shared" ref="FE34:FE65" si="207">IF(AND(Include_study?="Yes",Sufficient_data="Yes",Moderator&lt;&gt;""),IF(Moderator_weighting_method="Inverse Variance",1/FD:FD^2,IF(Moderator_weighting_method="Mantel-Haenszel",Weightf_MH,Weightf_Peto)),"")</f>
        <v/>
      </c>
      <c r="FF34" s="39" t="str">
        <f>IF(AND(Include_study?="Yes",Sufficient_data="Yes",Moderator&lt;&gt;""),'Moderator Analysis'!F:F-FP$2,"")</f>
        <v/>
      </c>
      <c r="FG34" s="39" t="str">
        <f>IF(AND(Include_study?="Yes",Sufficient_data="Yes",Moderator&lt;&gt;""),'Moderator Analysis'!E:E-FP$3,"")</f>
        <v/>
      </c>
      <c r="FH34" s="74" t="str">
        <f>IF(AND(Include_study?="Yes",Sufficient_data="Yes",Moderator&lt;&gt;""),FE:FE*('Moderator Analysis'!F:F-FP$5-FP$4*'Moderator Analysis'!E:E)^2,"")</f>
        <v/>
      </c>
      <c r="FI34" s="128"/>
      <c r="FJ34" s="92" t="str">
        <f t="shared" ref="FJ34:FJ65" si="208">IF(AND(Include_study?="Yes",Sufficient_data="Yes",Moderator&lt;&gt;""),1/(FD:FD^2+FP$7),"")</f>
        <v/>
      </c>
      <c r="FK34" s="137" t="str">
        <f>IF(AND(Include_study?="Yes",Sufficient_data="Yes",Moderator&lt;&gt;""),'Moderator Analysis'!F:F-'Moderator Analysis'!J$37,"")</f>
        <v/>
      </c>
      <c r="FL34" s="137" t="str">
        <f>IF(AND(Include_study?="Yes",Sufficient_data="Yes",Moderator&lt;&gt;""),'Moderator Analysis'!E:E-SUMPRODUCT('Moderator Analysis'!E:E,FJ:FJ)/SUM(FJ:FJ),"")</f>
        <v/>
      </c>
      <c r="FM34" s="95" t="str">
        <f>IF(AND(Include_study?="Yes",Sufficient_data="Yes",Moderator&lt;&gt;""),FJ:FJ*('Moderator Analysis'!F:F-'Moderator Analysis'!J$29-'Moderator Analysis'!J$30*'Moderator Analysis'!E:E)^2,"")</f>
        <v/>
      </c>
      <c r="FN34" s="21"/>
      <c r="FR34" s="196"/>
      <c r="FS34" s="182"/>
      <c r="FT3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4" s="39" t="str">
        <f>IF(AND(Include_study?="Yes",Sufficient_data="Yes"),1/('Publication Bias Analysis'!F:F^2+IF(Additional_model="Fixed effect",0,Calculations!GH$12)),"")</f>
        <v/>
      </c>
      <c r="FV34" s="39" t="str">
        <f>IF(AND(Include_study?="Yes",Sufficient_data="Yes"),1/('Publication Bias Analysis'!F:F^2+IF(Additional_model="Fixed effect",0,'Publication Bias Analysis'!L$32)),"")</f>
        <v/>
      </c>
      <c r="FW34" s="39" t="str">
        <f>IF(AND(Include_study?="Yes",Sufficient_data="Yes"),'Publication Bias Analysis'!E:E-'Publication Bias Analysis'!I$37,"")</f>
        <v/>
      </c>
      <c r="FX34" s="39" t="str">
        <f>IF(AND(Include_study?="Yes",Sufficient_data="Yes"),IF(Additional_model="Fixed effect",1/'Publication Bias Analysis'!F:F,1/SQRT('Publication Bias Analysis'!F:F^2+GH$12)),"")</f>
        <v/>
      </c>
      <c r="FY3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4" s="136" t="str">
        <f t="shared" ref="FZ34:FZ65" si="209">IF(AND(Include_study?="Yes",Sufficient_data="Yes"),RANK(GM:GM,GM:GM,1)*IF(GL:GL&gt;0,1,-1),"")</f>
        <v/>
      </c>
      <c r="GA34" s="144" t="str">
        <f>IF(AND(Include_study?="Yes",Sufficient_data="Yes"),FZ:FZ+IF(GL:GL&lt;0,-1,1)*COUNTIF(FZ$2:FZ33,FZ:FZ),"")</f>
        <v/>
      </c>
      <c r="GB34" s="144" t="str">
        <f>IF(AND(Include_study?="Yes",Sufficient_data="Yes"),RANK(GP:GP,GP:GP,1)*IF(GO:GO&lt;0,-1,1)+IF(GO:GO&lt;0,-1,1)*COUNTIF(FZ$2:FZ33,FZ:FZ),"")</f>
        <v/>
      </c>
      <c r="GC34" s="144" t="str">
        <f>IF(AND(Include_study?="Yes",Sufficient_data="Yes"),RANK(GS:GS,GS:GS,1)*IF(GR:GR&lt;0,-1,1)+IF(GR:GR&lt;0,-1,1)*COUNTIF(FZ$2:FZ33,FZ:FZ),"")</f>
        <v/>
      </c>
      <c r="GD34" s="39" t="e">
        <f>IF(AND(Include_study?="Yes",Sufficient_data="Yes"),'Publication Bias Analysis'!E34,NA())</f>
        <v>#N/A</v>
      </c>
      <c r="GE34" s="74" t="e">
        <f>IF(AND(Include_study?="Yes",Sufficient_data="Yes"),'Publication Bias Analysis'!F34,NA())</f>
        <v>#N/A</v>
      </c>
      <c r="GK34" s="176"/>
      <c r="GL3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4" s="39" t="str">
        <f t="shared" ref="GM34:GM65" si="210">IF(AND(Include_study?="Yes",Sufficient_data="Yes"),ABS(GL34),"")</f>
        <v/>
      </c>
      <c r="GN3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4" s="39" t="str">
        <f>IF(AND(Include_study?="Yes",Sufficient_data="Yes"),IF('Publication Bias Analysis'!L$38="Left",'Publication Bias Analysis'!E:E-GW$3,GW$3-'Publication Bias Analysis'!E:E),"")</f>
        <v/>
      </c>
      <c r="GP34" s="39" t="str">
        <f t="shared" ref="GP34:GP53" si="211">IF(GO34&lt;&gt;"",ABS(GO34),"")</f>
        <v/>
      </c>
      <c r="GQ3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4" s="39" t="str">
        <f>IF(AND(Include_study?="Yes",Sufficient_data="Yes"),IF('Publication Bias Analysis'!L$38="Left",'Publication Bias Analysis'!E:E-GW$10,GW$10-'Publication Bias Analysis'!E:E),"")</f>
        <v/>
      </c>
      <c r="GS34" s="39" t="str">
        <f t="shared" ref="GS34:GS53" si="212">IF(GR34&lt;&gt;"",ABS(GR34),"")</f>
        <v/>
      </c>
      <c r="GT3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4"/>
      <c r="GW34"/>
      <c r="GX34"/>
      <c r="GY34" s="89">
        <v>33</v>
      </c>
      <c r="GZ34" s="7" t="str">
        <f>IF(Trim_and_fill="On",IF(GW$21&gt;(COUNT(GZ$2:GZ33)),IF(COUNTIF(GA:GA,-1*(MAX(GA:GA)-GY34+1))=1,"",MAX(GA:GA)-GY34+1),""),"")</f>
        <v/>
      </c>
      <c r="HA34" s="69" t="str">
        <f t="shared" si="84"/>
        <v/>
      </c>
      <c r="HB34" s="69" t="str">
        <f t="shared" si="85"/>
        <v/>
      </c>
      <c r="HC34" s="69" t="str">
        <f t="shared" si="86"/>
        <v/>
      </c>
      <c r="HD34" s="39" t="str">
        <f>IF(GZ34&lt;&gt;"",1/(HB34^2+'Publication Bias Analysis'!L$32),"")</f>
        <v/>
      </c>
      <c r="HE34" s="74" t="str">
        <f>IF(GZ34&lt;&gt;"",HA:HA-'Publication Bias Analysis'!I$37,"")</f>
        <v/>
      </c>
      <c r="HF34" s="45"/>
      <c r="HG34" s="89">
        <v>33</v>
      </c>
      <c r="HH34" s="69" t="e">
        <f t="shared" si="87"/>
        <v>#N/A</v>
      </c>
      <c r="HI34" s="74" t="e">
        <f t="shared" si="88"/>
        <v>#N/A</v>
      </c>
      <c r="HK34" s="176"/>
      <c r="HL34" s="66" t="str">
        <f t="shared" si="89"/>
        <v/>
      </c>
      <c r="HM34" s="74" t="str">
        <f>IF(AND(Include_study?="Yes",Sufficient_data="Yes"),Z_score-('Publication Bias Analysis'!P$3+'Publication Bias Analysis'!P$4*Inverse_standard_error),"")</f>
        <v/>
      </c>
      <c r="HO34" s="176"/>
      <c r="HP34" s="64" t="str">
        <f>IF(AND(Include_study?="Yes",Sufficient_data="Yes"),(GD:GD-SUMPRODUCT(Calculations!FT:FT,'Publication Bias Analysis'!E:E)/SUM(Calculations!FT:FT))/SQRT(Calculations!HQ:HQ),"")</f>
        <v/>
      </c>
      <c r="HQ34" s="64" t="str">
        <f>IF(AND(Include_study?="Yes",Sufficient_data="Yes"),GE:GE^2-1/SUM(Calculations!FT:FT),"")</f>
        <v/>
      </c>
      <c r="HR34" s="7" t="str">
        <f t="shared" ref="HR34:HR51" si="213">IF(AND(Include_study?="Yes",Sufficient_data="Yes"),RANK(HP:HP,HP:HP,0),"")</f>
        <v/>
      </c>
      <c r="HS34" s="7" t="str">
        <f t="shared" ref="HS34:HS51" si="214">IF(AND(Include_study?="Yes",Sufficient_data="Yes"),RANK(HQ:HQ,HQ:HQ,0),"")</f>
        <v/>
      </c>
      <c r="HT34" s="7" t="str">
        <f>IF(AND(Include_study?="Yes",Sufficient_data="Yes"),COUNTIFS(HR$2:HR33,"&lt;"&amp;HR34,HS$2:HS33,"&lt;"&amp;HS34)+COUNTIFS(HR35:HR$201,"&lt;"&amp;HR34,HS35:HS$201,"&lt;"&amp;HS34)+COUNTIFS(HR$2:HR33,"&gt;"&amp;HR34,HS$2:HS33,"&gt;"&amp;HS34)+COUNTIFS(HR35:HR$201,"&gt;"&amp;HR34,HS35:HS$201,"&gt;"&amp;HS34),"")</f>
        <v/>
      </c>
      <c r="HU34" s="104" t="str">
        <f>IF(AND(Include_study?="Yes",Sufficient_data="Yes"),COUNTIFS(HR$2:HR33,"&lt;"&amp;HR34,HS$2:HS33,"&gt;"&amp;HS34)+COUNTIFS(HR35:HR$201,"&lt;"&amp;HR34,HS35:HS$201,"&gt;"&amp;HS34)+COUNTIFS(HR$2:HR33,"&gt;"&amp;HR34,HS$2:HS33,"&lt;"&amp;HS34)+COUNTIFS(HR35:HR$201,"&gt;"&amp;HR34,HS35:HS$201,"&lt;"&amp;HS34),"")</f>
        <v/>
      </c>
      <c r="HW34" s="176"/>
      <c r="IB34" s="176"/>
      <c r="IC34" s="146" t="e">
        <f t="shared" ref="IC34:IC65" si="215">IF(AND(Include_study?="Yes",Sufficient_data="Yes"),a_/(a_+b_),NA())</f>
        <v>#N/A</v>
      </c>
      <c r="ID34" s="137" t="e">
        <f t="shared" ref="ID34:ID65" si="216">IF(AND(Include_study?="Yes",Sufficient_data="Yes"),c_/(c_+d_),NA())</f>
        <v>#N/A</v>
      </c>
      <c r="IE34" s="137" t="str">
        <f t="shared" ref="IE34:IE65" si="217">IF(AND(Include_study?="Yes",Sufficient_data="Yes"),1/SELogRiskRatio^2,"")</f>
        <v/>
      </c>
      <c r="IF34" s="95" t="str">
        <f t="shared" ref="IF34:IF65" si="218">IF(AND(Include_study?="Yes",Sufficient_data="Yes"),IF(Additional_model="Fixed effect",Weightf,Weightr),"")</f>
        <v/>
      </c>
      <c r="IK34" s="176"/>
      <c r="IL34" s="3" t="e">
        <f>IF(AND(Include_study?="Yes",Sufficient_data="Yes"),'Publication Bias Analysis'!AV:AV,NA())</f>
        <v>#N/A</v>
      </c>
      <c r="IM34" s="158" t="e">
        <f>IF(AND(Sufficient_data="Yes",Include_study?="Yes"),'Publication Bias Analysis'!AU:AU,NA())</f>
        <v>#N/A</v>
      </c>
      <c r="IN34" s="62" t="str">
        <f t="shared" ref="IN34:IN97" si="219">IF(AND(Include_study?="Yes",Sufficient_data="Yes"),Inverse_standard_error-AVERAGE(Inverse_standard_error),"")</f>
        <v/>
      </c>
      <c r="IO34" s="74" t="str">
        <f>IF(AND(Include_study?="Yes",Sufficient_data="Yes"),Z_score-('Publication Bias Analysis'!AY$30+'Publication Bias Analysis'!AY$31*Inverse_standard_error),"")</f>
        <v/>
      </c>
      <c r="IU34" s="176"/>
      <c r="IV34" s="7" t="str">
        <f>IF('Publication Bias Analysis'!BG:BG&lt;&gt;"",RANK('Publication Bias Analysis'!BG:BG,'Publication Bias Analysis'!BG:BG,1)+COUNTIF('Publication Bias Analysis'!BG$2:BG33,'Publication Bias Analysis'!BG34),"")</f>
        <v/>
      </c>
      <c r="IW34" s="124" t="str">
        <f t="shared" ref="IW34:IW65" si="220">IF(IV:IV&lt;&gt;"",(IV:IV-1/3)/(k_+1/3),"")</f>
        <v/>
      </c>
      <c r="IX34" s="125" t="e">
        <f>IF('Publication Bias Analysis'!BF34&lt;&gt;"",'Publication Bias Analysis'!BF34,NA())</f>
        <v>#N/A</v>
      </c>
      <c r="IY34" s="125" t="e">
        <f>IF('Publication Bias Analysis'!BG34&lt;&gt;"",'Publication Bias Analysis'!BG34,NA())</f>
        <v>#N/A</v>
      </c>
      <c r="IZ34" s="62" t="str">
        <f>IF(AND(Include_study?="Yes",Sufficient_data="Yes"),'Publication Bias Analysis'!BF:BF-AVERAGE('Publication Bias Analysis'!BF:BF),"")</f>
        <v/>
      </c>
      <c r="JA34" s="74" t="str">
        <f>IF(AND(Include_study?="Yes",Sufficient_data="Yes"),'Publication Bias Analysis'!BG:BG-('Publication Bias Analysis'!BJ$30+'Publication Bias Analysis'!BJ$31*'Publication Bias Analysis'!BF:BF),"")</f>
        <v/>
      </c>
      <c r="JG34" s="176"/>
      <c r="JH34" s="39" t="str">
        <f t="shared" ref="JH34:JH65" si="221">IF(AND(Include_study?="Yes",Sufficient_data="Yes"),IF(AND(Additional_valid_options="No",Additional_model="Random effects"),NA(),Z_score),"")</f>
        <v/>
      </c>
      <c r="JI34" s="148" t="str">
        <f t="shared" si="124"/>
        <v/>
      </c>
      <c r="JJ34" s="74" t="str">
        <f t="shared" si="125"/>
        <v/>
      </c>
    </row>
    <row r="35" spans="1:270" ht="12" customHeight="1" x14ac:dyDescent="0.2">
      <c r="A35" s="2" t="str">
        <f t="shared" si="126"/>
        <v/>
      </c>
      <c r="B35" s="7" t="str">
        <f>IF(AND(Include_study?="Yes",Sufficient_data="Yes"),IF(Input!a_&lt;&gt;"",Input!a_,Input!n1_-Input!b_),"")</f>
        <v/>
      </c>
      <c r="C35" s="7" t="str">
        <f>IF(AND(Include_study?="Yes",Sufficient_data="Yes"),IF(Input!b_&lt;&gt;"",Input!b_,Input!n1_-Input!a_),"")</f>
        <v/>
      </c>
      <c r="D35" s="7" t="str">
        <f>IF(AND(Include_study?="Yes",Sufficient_data="Yes"),IF(Input!c_&lt;&gt;"",Input!c_,Input!n2_-Input!d_),"")</f>
        <v/>
      </c>
      <c r="E35" s="7" t="str">
        <f>IF(AND(Include_study?="Yes",Sufficient_data="Yes"),IF(Input!d_&lt;&gt;"",Input!d_,Input!n2_-Input!c_),"")</f>
        <v/>
      </c>
      <c r="F35" s="74" t="str">
        <f t="shared" si="127"/>
        <v/>
      </c>
      <c r="H35" s="196"/>
      <c r="I35" s="182"/>
      <c r="J35" s="146" t="str">
        <f t="shared" si="2"/>
        <v/>
      </c>
      <c r="K35" s="39" t="str">
        <f t="shared" si="128"/>
        <v/>
      </c>
      <c r="L35" s="39" t="str">
        <f t="shared" si="129"/>
        <v/>
      </c>
      <c r="M35" s="39" t="str">
        <f t="shared" si="130"/>
        <v/>
      </c>
      <c r="N35" s="74" t="str">
        <f t="shared" si="131"/>
        <v/>
      </c>
      <c r="P35" s="176"/>
      <c r="Q35" s="130" t="str">
        <f t="shared" si="132"/>
        <v/>
      </c>
      <c r="R35" s="39" t="str">
        <f t="shared" si="133"/>
        <v/>
      </c>
      <c r="S35" s="39" t="str">
        <f t="shared" si="134"/>
        <v/>
      </c>
      <c r="T35" s="74" t="str">
        <f t="shared" si="135"/>
        <v/>
      </c>
      <c r="V35" s="176"/>
      <c r="W35" s="130" t="str">
        <f t="shared" si="136"/>
        <v/>
      </c>
      <c r="X35" s="39" t="str">
        <f t="shared" si="137"/>
        <v/>
      </c>
      <c r="Y35" s="39" t="str">
        <f t="shared" si="138"/>
        <v/>
      </c>
      <c r="Z35" s="74" t="str">
        <f t="shared" si="139"/>
        <v/>
      </c>
      <c r="AB35" s="176"/>
      <c r="AC35" s="130" t="str">
        <f t="shared" si="140"/>
        <v/>
      </c>
      <c r="AD35" s="39" t="str">
        <f t="shared" si="141"/>
        <v/>
      </c>
      <c r="AE35" s="39" t="str">
        <f t="shared" si="142"/>
        <v/>
      </c>
      <c r="AF35" s="39" t="str">
        <f t="shared" si="143"/>
        <v/>
      </c>
      <c r="AG35" s="74" t="str">
        <f t="shared" si="144"/>
        <v/>
      </c>
      <c r="AI35" s="196"/>
      <c r="AJ3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5" s="136" t="str">
        <f>IF(AJ35&lt;&gt;"",IF(AJ35=0,COUNTIF(AJ$2:AJ34,0)+1,COUNTIF(AJ$2:AJ34,AJ35)+AJ35+COUNTIF(AJ:AJ,0)),"")</f>
        <v/>
      </c>
      <c r="AL35" s="136" t="str">
        <f t="shared" si="20"/>
        <v/>
      </c>
      <c r="AM35" s="155" t="str">
        <f>IF(AND(Include_study?="Yes",Sufficient_data="Yes",Input!Study_name&lt;&gt;""),Input!Study_name,"")</f>
        <v/>
      </c>
      <c r="AN35" s="136" t="str">
        <f t="shared" si="21"/>
        <v/>
      </c>
      <c r="AO35" s="19" t="str">
        <f t="shared" si="145"/>
        <v/>
      </c>
      <c r="AP35" s="158" t="str">
        <f t="shared" si="146"/>
        <v/>
      </c>
      <c r="AQ35" s="158" t="str">
        <f t="shared" si="147"/>
        <v/>
      </c>
      <c r="AR35" s="39" t="str">
        <f t="shared" si="148"/>
        <v/>
      </c>
      <c r="AS35" s="158" t="str">
        <f t="shared" si="149"/>
        <v/>
      </c>
      <c r="AT35" s="39" t="str">
        <f t="shared" si="150"/>
        <v/>
      </c>
      <c r="AU35" s="172" t="str">
        <f t="shared" si="151"/>
        <v/>
      </c>
      <c r="AW35" s="84" t="e">
        <f t="shared" si="152"/>
        <v>#N/A</v>
      </c>
      <c r="AX35" s="3" t="e">
        <f t="shared" si="153"/>
        <v>#N/A</v>
      </c>
      <c r="AY35" s="74" t="e">
        <f t="shared" si="154"/>
        <v>#N/A</v>
      </c>
      <c r="BD35" s="196"/>
      <c r="BE35" s="182"/>
      <c r="BF35" s="3" t="str">
        <f t="shared" si="155"/>
        <v/>
      </c>
      <c r="BG35" s="3" t="str">
        <f t="shared" si="156"/>
        <v/>
      </c>
      <c r="BH35" s="3" t="str">
        <f t="shared" si="157"/>
        <v/>
      </c>
      <c r="BI35" s="39" t="str">
        <f t="shared" si="158"/>
        <v/>
      </c>
      <c r="BJ35" s="95" t="str">
        <f t="shared" si="159"/>
        <v/>
      </c>
      <c r="BO35" s="176"/>
      <c r="BP35" s="158" t="str">
        <f t="shared" si="160"/>
        <v/>
      </c>
      <c r="BQ35" s="158" t="str">
        <f t="shared" si="161"/>
        <v/>
      </c>
      <c r="BR35" s="158" t="str">
        <f t="shared" si="162"/>
        <v/>
      </c>
      <c r="BS35" s="158" t="str">
        <f>IF(AND(Sufficient_data="Yes",Include_study?="Yes"),IF(Add_0_5="Yes",(a_+d_+1)*(ab_+0.5)*(c_+0.5)/(Number_of_subjects+2)^2,(a_+d_)*b_*c_/Number_of_subjects^2),"")</f>
        <v/>
      </c>
      <c r="BT35" s="158" t="str">
        <f t="shared" si="163"/>
        <v/>
      </c>
      <c r="BU35" s="158" t="str">
        <f t="shared" si="164"/>
        <v/>
      </c>
      <c r="BV35" s="158" t="str">
        <f t="shared" si="165"/>
        <v/>
      </c>
      <c r="BW35" s="3" t="str">
        <f t="shared" si="166"/>
        <v/>
      </c>
      <c r="BX35" s="137" t="str">
        <f t="shared" si="167"/>
        <v/>
      </c>
      <c r="BY35" s="95" t="str">
        <f t="shared" si="168"/>
        <v/>
      </c>
      <c r="CD35" s="176"/>
      <c r="CE35" s="130" t="str">
        <f t="shared" si="169"/>
        <v/>
      </c>
      <c r="CF35" s="39" t="str">
        <f t="shared" si="170"/>
        <v/>
      </c>
      <c r="CG35" s="39" t="str">
        <f t="shared" si="171"/>
        <v/>
      </c>
      <c r="CH35" s="39" t="str">
        <f t="shared" si="172"/>
        <v/>
      </c>
      <c r="CI35" s="39" t="str">
        <f t="shared" si="173"/>
        <v/>
      </c>
      <c r="CJ35" s="39" t="str">
        <f t="shared" si="50"/>
        <v/>
      </c>
      <c r="CK35" s="95" t="str">
        <f t="shared" si="174"/>
        <v/>
      </c>
      <c r="CP35" s="176"/>
      <c r="CQ35" s="99" t="str">
        <f t="shared" si="175"/>
        <v/>
      </c>
      <c r="CX35" s="196"/>
      <c r="CY35" s="89" t="e">
        <f t="shared" si="176"/>
        <v>#N/A</v>
      </c>
      <c r="CZ35" s="136" t="str">
        <f t="shared" si="177"/>
        <v/>
      </c>
      <c r="DA35" s="140" t="str">
        <f t="shared" si="178"/>
        <v/>
      </c>
      <c r="DB35" s="39" t="str">
        <f t="shared" si="179"/>
        <v/>
      </c>
      <c r="DC35" s="39" t="str">
        <f t="shared" si="180"/>
        <v/>
      </c>
      <c r="DD35" s="39" t="str">
        <f t="shared" si="181"/>
        <v/>
      </c>
      <c r="DE35" s="39" t="str">
        <f t="shared" si="182"/>
        <v/>
      </c>
      <c r="DF35" s="141" t="str">
        <f t="shared" si="183"/>
        <v/>
      </c>
      <c r="DG35" s="39" t="str">
        <f t="shared" si="184"/>
        <v/>
      </c>
      <c r="DH35" s="39" t="str">
        <f t="shared" si="185"/>
        <v/>
      </c>
      <c r="DI35" s="39" t="str">
        <f t="shared" si="186"/>
        <v/>
      </c>
      <c r="DJ35" s="74" t="str">
        <f t="shared" si="187"/>
        <v/>
      </c>
      <c r="DL35" s="84" t="e">
        <f t="shared" si="188"/>
        <v>#N/A</v>
      </c>
      <c r="DM35" s="39" t="e">
        <f t="shared" si="189"/>
        <v>#N/A</v>
      </c>
      <c r="DN35" s="74" t="e">
        <f t="shared" si="190"/>
        <v>#N/A</v>
      </c>
      <c r="DP35" s="89" t="str">
        <f t="shared" si="102"/>
        <v/>
      </c>
      <c r="DQ35" s="26" t="str">
        <f>IF(AND(Sufficient_data="Yes",Subgroup&lt;&gt;""),IF(COUNTIFS(Input!J$2:J34,"="&amp;"Yes",Input!C$2:C34,"="&amp;"Yes",Input!K$2:K34,"="&amp;Subgroup)&gt;0,"",Subgroup),"")</f>
        <v/>
      </c>
      <c r="DR35" s="7" t="str">
        <f t="shared" si="103"/>
        <v/>
      </c>
      <c r="DS35" s="7" t="str">
        <f t="shared" si="191"/>
        <v/>
      </c>
      <c r="DT35" s="19" t="str">
        <f t="shared" si="192"/>
        <v/>
      </c>
      <c r="DU35" s="12" t="str">
        <f t="shared" si="104"/>
        <v/>
      </c>
      <c r="DV35" s="11" t="str">
        <f t="shared" si="105"/>
        <v/>
      </c>
      <c r="DW35" s="12" t="str">
        <f t="shared" si="193"/>
        <v/>
      </c>
      <c r="DX35" s="12" t="str">
        <f t="shared" si="194"/>
        <v/>
      </c>
      <c r="DY35" s="19" t="str">
        <f t="shared" si="106"/>
        <v/>
      </c>
      <c r="DZ35" s="12" t="str">
        <f t="shared" si="195"/>
        <v/>
      </c>
      <c r="EA35" s="19" t="str">
        <f t="shared" si="196"/>
        <v/>
      </c>
      <c r="EB35" s="7" t="str">
        <f t="shared" si="197"/>
        <v/>
      </c>
      <c r="EC35" s="19" t="str">
        <f t="shared" si="198"/>
        <v/>
      </c>
      <c r="ED35" s="19" t="str">
        <f t="shared" si="199"/>
        <v/>
      </c>
      <c r="EE35" s="19" t="str">
        <f t="shared" si="109"/>
        <v/>
      </c>
      <c r="EF35" s="19" t="str">
        <f t="shared" si="110"/>
        <v/>
      </c>
      <c r="EG35" s="19" t="str">
        <f t="shared" si="111"/>
        <v/>
      </c>
      <c r="EH35" s="19" t="str">
        <f t="shared" si="112"/>
        <v/>
      </c>
      <c r="EI35" s="19" t="str">
        <f t="shared" si="113"/>
        <v/>
      </c>
      <c r="EJ35" s="19" t="str">
        <f t="shared" si="200"/>
        <v/>
      </c>
      <c r="EK35" s="19" t="str">
        <f t="shared" si="201"/>
        <v/>
      </c>
      <c r="EL35" s="19" t="str">
        <f t="shared" si="115"/>
        <v/>
      </c>
      <c r="EM35" s="19" t="str">
        <f t="shared" si="116"/>
        <v/>
      </c>
      <c r="EN35" s="19" t="str">
        <f t="shared" si="117"/>
        <v/>
      </c>
      <c r="EO35" s="19" t="str">
        <f t="shared" si="118"/>
        <v/>
      </c>
      <c r="EP35" s="19" t="str">
        <f t="shared" si="202"/>
        <v/>
      </c>
      <c r="EQ35" s="19" t="e">
        <f t="shared" si="119"/>
        <v>#N/A</v>
      </c>
      <c r="ER35" s="11" t="str">
        <f t="shared" si="120"/>
        <v/>
      </c>
      <c r="ES35" s="19" t="str">
        <f t="shared" si="121"/>
        <v/>
      </c>
      <c r="ET35" s="156" t="str">
        <f t="shared" si="203"/>
        <v/>
      </c>
      <c r="EU35" s="39" t="str">
        <f t="shared" si="204"/>
        <v/>
      </c>
      <c r="EV35" s="74" t="str">
        <f t="shared" si="205"/>
        <v/>
      </c>
      <c r="EX35" s="56" t="s">
        <v>30</v>
      </c>
      <c r="EY35" s="19">
        <f>IF(Subgroup_valid_options="Yes",MAX(0,(EY34-(COUNT(DT:DT)-1))/(SUM(ES:ES)-(SUMPRODUCT(ES:ES,ES:ES)/SUM(ES:ES)))),"")</f>
        <v>0</v>
      </c>
      <c r="FA35" s="196"/>
      <c r="FB35" s="84" t="e">
        <f>IF(AND(Include_study?="Yes",Sufficient_data="Yes",Moderator&lt;&gt;""),'Moderator Analysis'!E35,NA())</f>
        <v>#N/A</v>
      </c>
      <c r="FC35" s="39" t="e">
        <f>IF(AND(Include_study?="Yes",Sufficient_data="Yes",Moderator&lt;&gt;""),'Moderator Analysis'!F35,NA())</f>
        <v>#N/A</v>
      </c>
      <c r="FD35" s="39" t="str">
        <f t="shared" si="206"/>
        <v/>
      </c>
      <c r="FE35" s="39" t="str">
        <f t="shared" si="207"/>
        <v/>
      </c>
      <c r="FF35" s="39" t="str">
        <f>IF(AND(Include_study?="Yes",Sufficient_data="Yes",Moderator&lt;&gt;""),'Moderator Analysis'!F:F-FP$2,"")</f>
        <v/>
      </c>
      <c r="FG35" s="39" t="str">
        <f>IF(AND(Include_study?="Yes",Sufficient_data="Yes",Moderator&lt;&gt;""),'Moderator Analysis'!E:E-FP$3,"")</f>
        <v/>
      </c>
      <c r="FH35" s="74" t="str">
        <f>IF(AND(Include_study?="Yes",Sufficient_data="Yes",Moderator&lt;&gt;""),FE:FE*('Moderator Analysis'!F:F-FP$5-FP$4*'Moderator Analysis'!E:E)^2,"")</f>
        <v/>
      </c>
      <c r="FI35" s="128"/>
      <c r="FJ35" s="92" t="str">
        <f t="shared" si="208"/>
        <v/>
      </c>
      <c r="FK35" s="137" t="str">
        <f>IF(AND(Include_study?="Yes",Sufficient_data="Yes",Moderator&lt;&gt;""),'Moderator Analysis'!F:F-'Moderator Analysis'!J$37,"")</f>
        <v/>
      </c>
      <c r="FL35" s="137" t="str">
        <f>IF(AND(Include_study?="Yes",Sufficient_data="Yes",Moderator&lt;&gt;""),'Moderator Analysis'!E:E-SUMPRODUCT('Moderator Analysis'!E:E,FJ:FJ)/SUM(FJ:FJ),"")</f>
        <v/>
      </c>
      <c r="FM35" s="95" t="str">
        <f>IF(AND(Include_study?="Yes",Sufficient_data="Yes",Moderator&lt;&gt;""),FJ:FJ*('Moderator Analysis'!F:F-'Moderator Analysis'!J$29-'Moderator Analysis'!J$30*'Moderator Analysis'!E:E)^2,"")</f>
        <v/>
      </c>
      <c r="FN35" s="21"/>
      <c r="FR35" s="196"/>
      <c r="FS35" s="182"/>
      <c r="FT3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5" s="39" t="str">
        <f>IF(AND(Include_study?="Yes",Sufficient_data="Yes"),1/('Publication Bias Analysis'!F:F^2+IF(Additional_model="Fixed effect",0,Calculations!GH$12)),"")</f>
        <v/>
      </c>
      <c r="FV35" s="39" t="str">
        <f>IF(AND(Include_study?="Yes",Sufficient_data="Yes"),1/('Publication Bias Analysis'!F:F^2+IF(Additional_model="Fixed effect",0,'Publication Bias Analysis'!L$32)),"")</f>
        <v/>
      </c>
      <c r="FW35" s="39" t="str">
        <f>IF(AND(Include_study?="Yes",Sufficient_data="Yes"),'Publication Bias Analysis'!E:E-'Publication Bias Analysis'!I$37,"")</f>
        <v/>
      </c>
      <c r="FX35" s="39" t="str">
        <f>IF(AND(Include_study?="Yes",Sufficient_data="Yes"),IF(Additional_model="Fixed effect",1/'Publication Bias Analysis'!F:F,1/SQRT('Publication Bias Analysis'!F:F^2+GH$12)),"")</f>
        <v/>
      </c>
      <c r="FY3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5" s="136" t="str">
        <f t="shared" si="209"/>
        <v/>
      </c>
      <c r="GA35" s="144" t="str">
        <f>IF(AND(Include_study?="Yes",Sufficient_data="Yes"),FZ:FZ+IF(GL:GL&lt;0,-1,1)*COUNTIF(FZ$2:FZ34,FZ:FZ),"")</f>
        <v/>
      </c>
      <c r="GB35" s="144" t="str">
        <f>IF(AND(Include_study?="Yes",Sufficient_data="Yes"),RANK(GP:GP,GP:GP,1)*IF(GO:GO&lt;0,-1,1)+IF(GO:GO&lt;0,-1,1)*COUNTIF(FZ$2:FZ34,FZ:FZ),"")</f>
        <v/>
      </c>
      <c r="GC35" s="144" t="str">
        <f>IF(AND(Include_study?="Yes",Sufficient_data="Yes"),RANK(GS:GS,GS:GS,1)*IF(GR:GR&lt;0,-1,1)+IF(GR:GR&lt;0,-1,1)*COUNTIF(FZ$2:FZ34,FZ:FZ),"")</f>
        <v/>
      </c>
      <c r="GD35" s="39" t="e">
        <f>IF(AND(Include_study?="Yes",Sufficient_data="Yes"),'Publication Bias Analysis'!E35,NA())</f>
        <v>#N/A</v>
      </c>
      <c r="GE35" s="74" t="e">
        <f>IF(AND(Include_study?="Yes",Sufficient_data="Yes"),'Publication Bias Analysis'!F35,NA())</f>
        <v>#N/A</v>
      </c>
      <c r="GK35" s="176"/>
      <c r="GL3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5" s="39" t="str">
        <f t="shared" si="210"/>
        <v/>
      </c>
      <c r="GN3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5" s="39" t="str">
        <f>IF(AND(Include_study?="Yes",Sufficient_data="Yes"),IF('Publication Bias Analysis'!L$38="Left",'Publication Bias Analysis'!E:E-GW$3,GW$3-'Publication Bias Analysis'!E:E),"")</f>
        <v/>
      </c>
      <c r="GP35" s="39" t="str">
        <f t="shared" si="211"/>
        <v/>
      </c>
      <c r="GQ3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5" s="39" t="str">
        <f>IF(AND(Include_study?="Yes",Sufficient_data="Yes"),IF('Publication Bias Analysis'!L$38="Left",'Publication Bias Analysis'!E:E-GW$10,GW$10-'Publication Bias Analysis'!E:E),"")</f>
        <v/>
      </c>
      <c r="GS35" s="39" t="str">
        <f t="shared" si="212"/>
        <v/>
      </c>
      <c r="GT3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5"/>
      <c r="GW35"/>
      <c r="GX35"/>
      <c r="GY35" s="89">
        <v>34</v>
      </c>
      <c r="GZ35" s="7" t="str">
        <f>IF(Trim_and_fill="On",IF(GW$21&gt;(COUNT(GZ$2:GZ34)),IF(COUNTIF(GA:GA,-1*(MAX(GA:GA)-GY35+1))=1,"",MAX(GA:GA)-GY35+1),""),"")</f>
        <v/>
      </c>
      <c r="HA35" s="69" t="str">
        <f t="shared" si="84"/>
        <v/>
      </c>
      <c r="HB35" s="69" t="str">
        <f t="shared" si="85"/>
        <v/>
      </c>
      <c r="HC35" s="69" t="str">
        <f t="shared" si="86"/>
        <v/>
      </c>
      <c r="HD35" s="39" t="str">
        <f>IF(GZ35&lt;&gt;"",1/(HB35^2+'Publication Bias Analysis'!L$32),"")</f>
        <v/>
      </c>
      <c r="HE35" s="74" t="str">
        <f>IF(GZ35&lt;&gt;"",HA:HA-'Publication Bias Analysis'!I$37,"")</f>
        <v/>
      </c>
      <c r="HF35" s="45"/>
      <c r="HG35" s="89">
        <v>34</v>
      </c>
      <c r="HH35" s="69" t="e">
        <f t="shared" si="87"/>
        <v>#N/A</v>
      </c>
      <c r="HI35" s="74" t="e">
        <f t="shared" si="88"/>
        <v>#N/A</v>
      </c>
      <c r="HK35" s="176"/>
      <c r="HL35" s="66" t="str">
        <f t="shared" si="89"/>
        <v/>
      </c>
      <c r="HM35" s="74" t="str">
        <f>IF(AND(Include_study?="Yes",Sufficient_data="Yes"),Z_score-('Publication Bias Analysis'!P$3+'Publication Bias Analysis'!P$4*Inverse_standard_error),"")</f>
        <v/>
      </c>
      <c r="HO35" s="176"/>
      <c r="HP35" s="64" t="str">
        <f>IF(AND(Include_study?="Yes",Sufficient_data="Yes"),(GD:GD-SUMPRODUCT(Calculations!FT:FT,'Publication Bias Analysis'!E:E)/SUM(Calculations!FT:FT))/SQRT(Calculations!HQ:HQ),"")</f>
        <v/>
      </c>
      <c r="HQ35" s="64" t="str">
        <f>IF(AND(Include_study?="Yes",Sufficient_data="Yes"),GE:GE^2-1/SUM(Calculations!FT:FT),"")</f>
        <v/>
      </c>
      <c r="HR35" s="7" t="str">
        <f t="shared" si="213"/>
        <v/>
      </c>
      <c r="HS35" s="7" t="str">
        <f t="shared" si="214"/>
        <v/>
      </c>
      <c r="HT35" s="7" t="str">
        <f>IF(AND(Include_study?="Yes",Sufficient_data="Yes"),COUNTIFS(HR$2:HR34,"&lt;"&amp;HR35,HS$2:HS34,"&lt;"&amp;HS35)+COUNTIFS(HR36:HR$201,"&lt;"&amp;HR35,HS36:HS$201,"&lt;"&amp;HS35)+COUNTIFS(HR$2:HR34,"&gt;"&amp;HR35,HS$2:HS34,"&gt;"&amp;HS35)+COUNTIFS(HR36:HR$201,"&gt;"&amp;HR35,HS36:HS$201,"&gt;"&amp;HS35),"")</f>
        <v/>
      </c>
      <c r="HU35" s="104" t="str">
        <f>IF(AND(Include_study?="Yes",Sufficient_data="Yes"),COUNTIFS(HR$2:HR34,"&lt;"&amp;HR35,HS$2:HS34,"&gt;"&amp;HS35)+COUNTIFS(HR36:HR$201,"&lt;"&amp;HR35,HS36:HS$201,"&gt;"&amp;HS35)+COUNTIFS(HR$2:HR34,"&gt;"&amp;HR35,HS$2:HS34,"&lt;"&amp;HS35)+COUNTIFS(HR36:HR$201,"&gt;"&amp;HR35,HS36:HS$201,"&lt;"&amp;HS35),"")</f>
        <v/>
      </c>
      <c r="HW35" s="176"/>
      <c r="IB35" s="176"/>
      <c r="IC35" s="146" t="e">
        <f t="shared" si="215"/>
        <v>#N/A</v>
      </c>
      <c r="ID35" s="137" t="e">
        <f t="shared" si="216"/>
        <v>#N/A</v>
      </c>
      <c r="IE35" s="137" t="str">
        <f t="shared" si="217"/>
        <v/>
      </c>
      <c r="IF35" s="95" t="str">
        <f t="shared" si="218"/>
        <v/>
      </c>
      <c r="IK35" s="176"/>
      <c r="IL35" s="3" t="e">
        <f>IF(AND(Include_study?="Yes",Sufficient_data="Yes"),'Publication Bias Analysis'!AV:AV,NA())</f>
        <v>#N/A</v>
      </c>
      <c r="IM35" s="158" t="e">
        <f>IF(AND(Sufficient_data="Yes",Include_study?="Yes"),'Publication Bias Analysis'!AU:AU,NA())</f>
        <v>#N/A</v>
      </c>
      <c r="IN35" s="62" t="str">
        <f t="shared" si="219"/>
        <v/>
      </c>
      <c r="IO35" s="74" t="str">
        <f>IF(AND(Include_study?="Yes",Sufficient_data="Yes"),Z_score-('Publication Bias Analysis'!AY$30+'Publication Bias Analysis'!AY$31*Inverse_standard_error),"")</f>
        <v/>
      </c>
      <c r="IU35" s="176"/>
      <c r="IV35" s="7" t="str">
        <f>IF('Publication Bias Analysis'!BG:BG&lt;&gt;"",RANK('Publication Bias Analysis'!BG:BG,'Publication Bias Analysis'!BG:BG,1)+COUNTIF('Publication Bias Analysis'!BG$2:BG34,'Publication Bias Analysis'!BG35),"")</f>
        <v/>
      </c>
      <c r="IW35" s="124" t="str">
        <f t="shared" si="220"/>
        <v/>
      </c>
      <c r="IX35" s="125" t="e">
        <f>IF('Publication Bias Analysis'!BF35&lt;&gt;"",'Publication Bias Analysis'!BF35,NA())</f>
        <v>#N/A</v>
      </c>
      <c r="IY35" s="125" t="e">
        <f>IF('Publication Bias Analysis'!BG35&lt;&gt;"",'Publication Bias Analysis'!BG35,NA())</f>
        <v>#N/A</v>
      </c>
      <c r="IZ35" s="62" t="str">
        <f>IF(AND(Include_study?="Yes",Sufficient_data="Yes"),'Publication Bias Analysis'!BF:BF-AVERAGE('Publication Bias Analysis'!BF:BF),"")</f>
        <v/>
      </c>
      <c r="JA35" s="74" t="str">
        <f>IF(AND(Include_study?="Yes",Sufficient_data="Yes"),'Publication Bias Analysis'!BG:BG-('Publication Bias Analysis'!BJ$30+'Publication Bias Analysis'!BJ$31*'Publication Bias Analysis'!BF:BF),"")</f>
        <v/>
      </c>
      <c r="JG35" s="176"/>
      <c r="JH35" s="39" t="str">
        <f t="shared" si="221"/>
        <v/>
      </c>
      <c r="JI35" s="148" t="str">
        <f t="shared" si="124"/>
        <v/>
      </c>
      <c r="JJ35" s="74" t="str">
        <f t="shared" si="125"/>
        <v/>
      </c>
    </row>
    <row r="36" spans="1:270" x14ac:dyDescent="0.2">
      <c r="A36" s="2" t="str">
        <f t="shared" si="126"/>
        <v/>
      </c>
      <c r="B36" s="7" t="str">
        <f>IF(AND(Include_study?="Yes",Sufficient_data="Yes"),IF(Input!a_&lt;&gt;"",Input!a_,Input!n1_-Input!b_),"")</f>
        <v/>
      </c>
      <c r="C36" s="7" t="str">
        <f>IF(AND(Include_study?="Yes",Sufficient_data="Yes"),IF(Input!b_&lt;&gt;"",Input!b_,Input!n1_-Input!a_),"")</f>
        <v/>
      </c>
      <c r="D36" s="7" t="str">
        <f>IF(AND(Include_study?="Yes",Sufficient_data="Yes"),IF(Input!c_&lt;&gt;"",Input!c_,Input!n2_-Input!d_),"")</f>
        <v/>
      </c>
      <c r="E36" s="7" t="str">
        <f>IF(AND(Include_study?="Yes",Sufficient_data="Yes"),IF(Input!d_&lt;&gt;"",Input!d_,Input!n2_-Input!c_),"")</f>
        <v/>
      </c>
      <c r="F36" s="74" t="str">
        <f t="shared" si="127"/>
        <v/>
      </c>
      <c r="H36" s="196"/>
      <c r="I36" s="182"/>
      <c r="J36" s="146" t="str">
        <f t="shared" si="2"/>
        <v/>
      </c>
      <c r="K36" s="39" t="str">
        <f t="shared" si="128"/>
        <v/>
      </c>
      <c r="L36" s="39" t="str">
        <f t="shared" si="129"/>
        <v/>
      </c>
      <c r="M36" s="39" t="str">
        <f t="shared" si="130"/>
        <v/>
      </c>
      <c r="N36" s="74" t="str">
        <f t="shared" si="131"/>
        <v/>
      </c>
      <c r="P36" s="176"/>
      <c r="Q36" s="130" t="str">
        <f t="shared" si="132"/>
        <v/>
      </c>
      <c r="R36" s="39" t="str">
        <f t="shared" si="133"/>
        <v/>
      </c>
      <c r="S36" s="39" t="str">
        <f t="shared" si="134"/>
        <v/>
      </c>
      <c r="T36" s="74" t="str">
        <f t="shared" si="135"/>
        <v/>
      </c>
      <c r="V36" s="176"/>
      <c r="W36" s="130" t="str">
        <f t="shared" si="136"/>
        <v/>
      </c>
      <c r="X36" s="39" t="str">
        <f t="shared" si="137"/>
        <v/>
      </c>
      <c r="Y36" s="39" t="str">
        <f t="shared" si="138"/>
        <v/>
      </c>
      <c r="Z36" s="74" t="str">
        <f t="shared" si="139"/>
        <v/>
      </c>
      <c r="AB36" s="176"/>
      <c r="AC36" s="130" t="str">
        <f t="shared" si="140"/>
        <v/>
      </c>
      <c r="AD36" s="39" t="str">
        <f t="shared" si="141"/>
        <v/>
      </c>
      <c r="AE36" s="39" t="str">
        <f t="shared" si="142"/>
        <v/>
      </c>
      <c r="AF36" s="39" t="str">
        <f t="shared" si="143"/>
        <v/>
      </c>
      <c r="AG36" s="74" t="str">
        <f t="shared" si="144"/>
        <v/>
      </c>
      <c r="AI36" s="196"/>
      <c r="AJ3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6" s="136" t="str">
        <f>IF(AJ36&lt;&gt;"",IF(AJ36=0,COUNTIF(AJ$2:AJ35,0)+1,COUNTIF(AJ$2:AJ35,AJ36)+AJ36+COUNTIF(AJ:AJ,0)),"")</f>
        <v/>
      </c>
      <c r="AL36" s="136" t="str">
        <f t="shared" si="20"/>
        <v/>
      </c>
      <c r="AM36" s="155" t="str">
        <f>IF(AND(Include_study?="Yes",Sufficient_data="Yes",Input!Study_name&lt;&gt;""),Input!Study_name,"")</f>
        <v/>
      </c>
      <c r="AN36" s="136" t="str">
        <f t="shared" si="21"/>
        <v/>
      </c>
      <c r="AO36" s="19" t="str">
        <f t="shared" si="145"/>
        <v/>
      </c>
      <c r="AP36" s="158" t="str">
        <f t="shared" si="146"/>
        <v/>
      </c>
      <c r="AQ36" s="158" t="str">
        <f t="shared" si="147"/>
        <v/>
      </c>
      <c r="AR36" s="39" t="str">
        <f t="shared" si="148"/>
        <v/>
      </c>
      <c r="AS36" s="158" t="str">
        <f t="shared" si="149"/>
        <v/>
      </c>
      <c r="AT36" s="39" t="str">
        <f t="shared" si="150"/>
        <v/>
      </c>
      <c r="AU36" s="172" t="str">
        <f t="shared" si="151"/>
        <v/>
      </c>
      <c r="AW36" s="84" t="e">
        <f t="shared" si="152"/>
        <v>#N/A</v>
      </c>
      <c r="AX36" s="3" t="e">
        <f t="shared" si="153"/>
        <v>#N/A</v>
      </c>
      <c r="AY36" s="74" t="e">
        <f t="shared" si="154"/>
        <v>#N/A</v>
      </c>
      <c r="BD36" s="196"/>
      <c r="BE36" s="182"/>
      <c r="BF36" s="3" t="str">
        <f t="shared" si="155"/>
        <v/>
      </c>
      <c r="BG36" s="3" t="str">
        <f t="shared" si="156"/>
        <v/>
      </c>
      <c r="BH36" s="3" t="str">
        <f t="shared" si="157"/>
        <v/>
      </c>
      <c r="BI36" s="39" t="str">
        <f t="shared" si="158"/>
        <v/>
      </c>
      <c r="BJ36" s="95" t="str">
        <f t="shared" si="159"/>
        <v/>
      </c>
      <c r="BO36" s="176"/>
      <c r="BP36" s="158" t="str">
        <f t="shared" si="160"/>
        <v/>
      </c>
      <c r="BQ36" s="158" t="str">
        <f t="shared" si="161"/>
        <v/>
      </c>
      <c r="BR36" s="158" t="str">
        <f t="shared" si="162"/>
        <v/>
      </c>
      <c r="BS36" s="158" t="str">
        <f>IF(AND(Sufficient_data="Yes",Include_study?="Yes"),IF(Add_0_5="Yes",(a_+d_+1)*(ab_+0.5)*(c_+0.5)/(Number_of_subjects+2)^2,(a_+d_)*b_*c_/Number_of_subjects^2),"")</f>
        <v/>
      </c>
      <c r="BT36" s="158" t="str">
        <f t="shared" si="163"/>
        <v/>
      </c>
      <c r="BU36" s="158" t="str">
        <f t="shared" si="164"/>
        <v/>
      </c>
      <c r="BV36" s="158" t="str">
        <f t="shared" si="165"/>
        <v/>
      </c>
      <c r="BW36" s="3" t="str">
        <f t="shared" si="166"/>
        <v/>
      </c>
      <c r="BX36" s="137" t="str">
        <f t="shared" si="167"/>
        <v/>
      </c>
      <c r="BY36" s="95" t="str">
        <f t="shared" si="168"/>
        <v/>
      </c>
      <c r="CD36" s="176"/>
      <c r="CE36" s="130" t="str">
        <f t="shared" si="169"/>
        <v/>
      </c>
      <c r="CF36" s="39" t="str">
        <f t="shared" si="170"/>
        <v/>
      </c>
      <c r="CG36" s="39" t="str">
        <f t="shared" si="171"/>
        <v/>
      </c>
      <c r="CH36" s="39" t="str">
        <f t="shared" si="172"/>
        <v/>
      </c>
      <c r="CI36" s="39" t="str">
        <f t="shared" si="173"/>
        <v/>
      </c>
      <c r="CJ36" s="39" t="str">
        <f t="shared" si="50"/>
        <v/>
      </c>
      <c r="CK36" s="95" t="str">
        <f t="shared" si="174"/>
        <v/>
      </c>
      <c r="CP36" s="176"/>
      <c r="CQ36" s="99" t="str">
        <f t="shared" si="175"/>
        <v/>
      </c>
      <c r="CX36" s="196"/>
      <c r="CY36" s="89" t="e">
        <f t="shared" si="176"/>
        <v>#N/A</v>
      </c>
      <c r="CZ36" s="136" t="str">
        <f t="shared" si="177"/>
        <v/>
      </c>
      <c r="DA36" s="140" t="str">
        <f t="shared" si="178"/>
        <v/>
      </c>
      <c r="DB36" s="39" t="str">
        <f t="shared" si="179"/>
        <v/>
      </c>
      <c r="DC36" s="39" t="str">
        <f t="shared" si="180"/>
        <v/>
      </c>
      <c r="DD36" s="39" t="str">
        <f t="shared" si="181"/>
        <v/>
      </c>
      <c r="DE36" s="39" t="str">
        <f t="shared" si="182"/>
        <v/>
      </c>
      <c r="DF36" s="141" t="str">
        <f t="shared" si="183"/>
        <v/>
      </c>
      <c r="DG36" s="39" t="str">
        <f t="shared" si="184"/>
        <v/>
      </c>
      <c r="DH36" s="39" t="str">
        <f t="shared" si="185"/>
        <v/>
      </c>
      <c r="DI36" s="39" t="str">
        <f t="shared" si="186"/>
        <v/>
      </c>
      <c r="DJ36" s="74" t="str">
        <f t="shared" si="187"/>
        <v/>
      </c>
      <c r="DL36" s="84" t="e">
        <f t="shared" si="188"/>
        <v>#N/A</v>
      </c>
      <c r="DM36" s="39" t="e">
        <f t="shared" si="189"/>
        <v>#N/A</v>
      </c>
      <c r="DN36" s="74" t="e">
        <f t="shared" si="190"/>
        <v>#N/A</v>
      </c>
      <c r="DP36" s="89" t="str">
        <f t="shared" si="102"/>
        <v/>
      </c>
      <c r="DQ36" s="26" t="str">
        <f>IF(AND(Sufficient_data="Yes",Subgroup&lt;&gt;""),IF(COUNTIFS(Input!J$2:J35,"="&amp;"Yes",Input!C$2:C35,"="&amp;"Yes",Input!K$2:K35,"="&amp;Subgroup)&gt;0,"",Subgroup),"")</f>
        <v/>
      </c>
      <c r="DR36" s="7" t="str">
        <f t="shared" si="103"/>
        <v/>
      </c>
      <c r="DS36" s="7" t="str">
        <f t="shared" si="191"/>
        <v/>
      </c>
      <c r="DT36" s="19" t="str">
        <f t="shared" si="192"/>
        <v/>
      </c>
      <c r="DU36" s="12" t="str">
        <f t="shared" si="104"/>
        <v/>
      </c>
      <c r="DV36" s="11" t="str">
        <f t="shared" si="105"/>
        <v/>
      </c>
      <c r="DW36" s="12" t="str">
        <f t="shared" si="193"/>
        <v/>
      </c>
      <c r="DX36" s="12" t="str">
        <f t="shared" si="194"/>
        <v/>
      </c>
      <c r="DY36" s="19" t="str">
        <f t="shared" si="106"/>
        <v/>
      </c>
      <c r="DZ36" s="12" t="str">
        <f t="shared" si="195"/>
        <v/>
      </c>
      <c r="EA36" s="19" t="str">
        <f t="shared" si="196"/>
        <v/>
      </c>
      <c r="EB36" s="7" t="str">
        <f t="shared" si="197"/>
        <v/>
      </c>
      <c r="EC36" s="19" t="str">
        <f t="shared" si="198"/>
        <v/>
      </c>
      <c r="ED36" s="19" t="str">
        <f t="shared" si="199"/>
        <v/>
      </c>
      <c r="EE36" s="19" t="str">
        <f t="shared" si="109"/>
        <v/>
      </c>
      <c r="EF36" s="19" t="str">
        <f t="shared" si="110"/>
        <v/>
      </c>
      <c r="EG36" s="19" t="str">
        <f t="shared" si="111"/>
        <v/>
      </c>
      <c r="EH36" s="19" t="str">
        <f t="shared" si="112"/>
        <v/>
      </c>
      <c r="EI36" s="19" t="str">
        <f t="shared" si="113"/>
        <v/>
      </c>
      <c r="EJ36" s="19" t="str">
        <f t="shared" si="200"/>
        <v/>
      </c>
      <c r="EK36" s="19" t="str">
        <f t="shared" si="201"/>
        <v/>
      </c>
      <c r="EL36" s="19" t="str">
        <f t="shared" si="115"/>
        <v/>
      </c>
      <c r="EM36" s="19" t="str">
        <f t="shared" si="116"/>
        <v/>
      </c>
      <c r="EN36" s="19" t="str">
        <f t="shared" si="117"/>
        <v/>
      </c>
      <c r="EO36" s="19" t="str">
        <f t="shared" si="118"/>
        <v/>
      </c>
      <c r="EP36" s="19" t="str">
        <f t="shared" si="202"/>
        <v/>
      </c>
      <c r="EQ36" s="19" t="e">
        <f t="shared" si="119"/>
        <v>#N/A</v>
      </c>
      <c r="ER36" s="11" t="str">
        <f t="shared" si="120"/>
        <v/>
      </c>
      <c r="ES36" s="19" t="str">
        <f t="shared" si="121"/>
        <v/>
      </c>
      <c r="ET36" s="156" t="str">
        <f t="shared" si="203"/>
        <v/>
      </c>
      <c r="EU36" s="39" t="str">
        <f t="shared" si="204"/>
        <v/>
      </c>
      <c r="EV36" s="74" t="str">
        <f t="shared" si="205"/>
        <v/>
      </c>
      <c r="EX36" s="45"/>
      <c r="EY36" s="45"/>
      <c r="FA36" s="196"/>
      <c r="FB36" s="84" t="e">
        <f>IF(AND(Include_study?="Yes",Sufficient_data="Yes",Moderator&lt;&gt;""),'Moderator Analysis'!E36,NA())</f>
        <v>#N/A</v>
      </c>
      <c r="FC36" s="39" t="e">
        <f>IF(AND(Include_study?="Yes",Sufficient_data="Yes",Moderator&lt;&gt;""),'Moderator Analysis'!F36,NA())</f>
        <v>#N/A</v>
      </c>
      <c r="FD36" s="39" t="str">
        <f t="shared" si="206"/>
        <v/>
      </c>
      <c r="FE36" s="39" t="str">
        <f t="shared" si="207"/>
        <v/>
      </c>
      <c r="FF36" s="39" t="str">
        <f>IF(AND(Include_study?="Yes",Sufficient_data="Yes",Moderator&lt;&gt;""),'Moderator Analysis'!F:F-FP$2,"")</f>
        <v/>
      </c>
      <c r="FG36" s="39" t="str">
        <f>IF(AND(Include_study?="Yes",Sufficient_data="Yes",Moderator&lt;&gt;""),'Moderator Analysis'!E:E-FP$3,"")</f>
        <v/>
      </c>
      <c r="FH36" s="74" t="str">
        <f>IF(AND(Include_study?="Yes",Sufficient_data="Yes",Moderator&lt;&gt;""),FE:FE*('Moderator Analysis'!F:F-FP$5-FP$4*'Moderator Analysis'!E:E)^2,"")</f>
        <v/>
      </c>
      <c r="FI36" s="128"/>
      <c r="FJ36" s="92" t="str">
        <f t="shared" si="208"/>
        <v/>
      </c>
      <c r="FK36" s="137" t="str">
        <f>IF(AND(Include_study?="Yes",Sufficient_data="Yes",Moderator&lt;&gt;""),'Moderator Analysis'!F:F-'Moderator Analysis'!J$37,"")</f>
        <v/>
      </c>
      <c r="FL36" s="137" t="str">
        <f>IF(AND(Include_study?="Yes",Sufficient_data="Yes",Moderator&lt;&gt;""),'Moderator Analysis'!E:E-SUMPRODUCT('Moderator Analysis'!E:E,FJ:FJ)/SUM(FJ:FJ),"")</f>
        <v/>
      </c>
      <c r="FM36" s="95" t="str">
        <f>IF(AND(Include_study?="Yes",Sufficient_data="Yes",Moderator&lt;&gt;""),FJ:FJ*('Moderator Analysis'!F:F-'Moderator Analysis'!J$29-'Moderator Analysis'!J$30*'Moderator Analysis'!E:E)^2,"")</f>
        <v/>
      </c>
      <c r="FN36" s="21"/>
      <c r="FR36" s="196"/>
      <c r="FS36" s="182"/>
      <c r="FT3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6" s="39" t="str">
        <f>IF(AND(Include_study?="Yes",Sufficient_data="Yes"),1/('Publication Bias Analysis'!F:F^2+IF(Additional_model="Fixed effect",0,Calculations!GH$12)),"")</f>
        <v/>
      </c>
      <c r="FV36" s="39" t="str">
        <f>IF(AND(Include_study?="Yes",Sufficient_data="Yes"),1/('Publication Bias Analysis'!F:F^2+IF(Additional_model="Fixed effect",0,'Publication Bias Analysis'!L$32)),"")</f>
        <v/>
      </c>
      <c r="FW36" s="39" t="str">
        <f>IF(AND(Include_study?="Yes",Sufficient_data="Yes"),'Publication Bias Analysis'!E:E-'Publication Bias Analysis'!I$37,"")</f>
        <v/>
      </c>
      <c r="FX36" s="39" t="str">
        <f>IF(AND(Include_study?="Yes",Sufficient_data="Yes"),IF(Additional_model="Fixed effect",1/'Publication Bias Analysis'!F:F,1/SQRT('Publication Bias Analysis'!F:F^2+GH$12)),"")</f>
        <v/>
      </c>
      <c r="FY3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6" s="136" t="str">
        <f t="shared" si="209"/>
        <v/>
      </c>
      <c r="GA36" s="144" t="str">
        <f>IF(AND(Include_study?="Yes",Sufficient_data="Yes"),FZ:FZ+IF(GL:GL&lt;0,-1,1)*COUNTIF(FZ$2:FZ35,FZ:FZ),"")</f>
        <v/>
      </c>
      <c r="GB36" s="144" t="str">
        <f>IF(AND(Include_study?="Yes",Sufficient_data="Yes"),RANK(GP:GP,GP:GP,1)*IF(GO:GO&lt;0,-1,1)+IF(GO:GO&lt;0,-1,1)*COUNTIF(FZ$2:FZ35,FZ:FZ),"")</f>
        <v/>
      </c>
      <c r="GC36" s="144" t="str">
        <f>IF(AND(Include_study?="Yes",Sufficient_data="Yes"),RANK(GS:GS,GS:GS,1)*IF(GR:GR&lt;0,-1,1)+IF(GR:GR&lt;0,-1,1)*COUNTIF(FZ$2:FZ35,FZ:FZ),"")</f>
        <v/>
      </c>
      <c r="GD36" s="39" t="e">
        <f>IF(AND(Include_study?="Yes",Sufficient_data="Yes"),'Publication Bias Analysis'!E36,NA())</f>
        <v>#N/A</v>
      </c>
      <c r="GE36" s="74" t="e">
        <f>IF(AND(Include_study?="Yes",Sufficient_data="Yes"),'Publication Bias Analysis'!F36,NA())</f>
        <v>#N/A</v>
      </c>
      <c r="GK36" s="176"/>
      <c r="GL3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6" s="39" t="str">
        <f t="shared" si="210"/>
        <v/>
      </c>
      <c r="GN3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6" s="39" t="str">
        <f>IF(AND(Include_study?="Yes",Sufficient_data="Yes"),IF('Publication Bias Analysis'!L$38="Left",'Publication Bias Analysis'!E:E-GW$3,GW$3-'Publication Bias Analysis'!E:E),"")</f>
        <v/>
      </c>
      <c r="GP36" s="39" t="str">
        <f t="shared" si="211"/>
        <v/>
      </c>
      <c r="GQ3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6" s="39" t="str">
        <f>IF(AND(Include_study?="Yes",Sufficient_data="Yes"),IF('Publication Bias Analysis'!L$38="Left",'Publication Bias Analysis'!E:E-GW$10,GW$10-'Publication Bias Analysis'!E:E),"")</f>
        <v/>
      </c>
      <c r="GS36" s="39" t="str">
        <f t="shared" si="212"/>
        <v/>
      </c>
      <c r="GT3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6"/>
      <c r="GW36"/>
      <c r="GX36"/>
      <c r="GY36" s="89">
        <v>35</v>
      </c>
      <c r="GZ36" s="7" t="str">
        <f>IF(Trim_and_fill="On",IF(GW$21&gt;(COUNT(GZ$2:GZ35)),IF(COUNTIF(GA:GA,-1*(MAX(GA:GA)-GY36+1))=1,"",MAX(GA:GA)-GY36+1),""),"")</f>
        <v/>
      </c>
      <c r="HA36" s="69" t="str">
        <f t="shared" si="84"/>
        <v/>
      </c>
      <c r="HB36" s="69" t="str">
        <f t="shared" si="85"/>
        <v/>
      </c>
      <c r="HC36" s="69" t="str">
        <f t="shared" si="86"/>
        <v/>
      </c>
      <c r="HD36" s="39" t="str">
        <f>IF(GZ36&lt;&gt;"",1/(HB36^2+'Publication Bias Analysis'!L$32),"")</f>
        <v/>
      </c>
      <c r="HE36" s="74" t="str">
        <f>IF(GZ36&lt;&gt;"",HA:HA-'Publication Bias Analysis'!I$37,"")</f>
        <v/>
      </c>
      <c r="HF36" s="45"/>
      <c r="HG36" s="89">
        <v>35</v>
      </c>
      <c r="HH36" s="69" t="e">
        <f t="shared" si="87"/>
        <v>#N/A</v>
      </c>
      <c r="HI36" s="74" t="e">
        <f t="shared" si="88"/>
        <v>#N/A</v>
      </c>
      <c r="HK36" s="176"/>
      <c r="HL36" s="66" t="str">
        <f t="shared" si="89"/>
        <v/>
      </c>
      <c r="HM36" s="74" t="str">
        <f>IF(AND(Include_study?="Yes",Sufficient_data="Yes"),Z_score-('Publication Bias Analysis'!P$3+'Publication Bias Analysis'!P$4*Inverse_standard_error),"")</f>
        <v/>
      </c>
      <c r="HO36" s="176"/>
      <c r="HP36" s="64" t="str">
        <f>IF(AND(Include_study?="Yes",Sufficient_data="Yes"),(GD:GD-SUMPRODUCT(Calculations!FT:FT,'Publication Bias Analysis'!E:E)/SUM(Calculations!FT:FT))/SQRT(Calculations!HQ:HQ),"")</f>
        <v/>
      </c>
      <c r="HQ36" s="64" t="str">
        <f>IF(AND(Include_study?="Yes",Sufficient_data="Yes"),GE:GE^2-1/SUM(Calculations!FT:FT),"")</f>
        <v/>
      </c>
      <c r="HR36" s="7" t="str">
        <f t="shared" si="213"/>
        <v/>
      </c>
      <c r="HS36" s="7" t="str">
        <f t="shared" si="214"/>
        <v/>
      </c>
      <c r="HT36" s="7" t="str">
        <f>IF(AND(Include_study?="Yes",Sufficient_data="Yes"),COUNTIFS(HR$2:HR35,"&lt;"&amp;HR36,HS$2:HS35,"&lt;"&amp;HS36)+COUNTIFS(HR37:HR$201,"&lt;"&amp;HR36,HS37:HS$201,"&lt;"&amp;HS36)+COUNTIFS(HR$2:HR35,"&gt;"&amp;HR36,HS$2:HS35,"&gt;"&amp;HS36)+COUNTIFS(HR37:HR$201,"&gt;"&amp;HR36,HS37:HS$201,"&gt;"&amp;HS36),"")</f>
        <v/>
      </c>
      <c r="HU36" s="104" t="str">
        <f>IF(AND(Include_study?="Yes",Sufficient_data="Yes"),COUNTIFS(HR$2:HR35,"&lt;"&amp;HR36,HS$2:HS35,"&gt;"&amp;HS36)+COUNTIFS(HR37:HR$201,"&lt;"&amp;HR36,HS37:HS$201,"&gt;"&amp;HS36)+COUNTIFS(HR$2:HR35,"&gt;"&amp;HR36,HS$2:HS35,"&lt;"&amp;HS36)+COUNTIFS(HR37:HR$201,"&gt;"&amp;HR36,HS37:HS$201,"&lt;"&amp;HS36),"")</f>
        <v/>
      </c>
      <c r="HW36" s="176"/>
      <c r="IB36" s="176"/>
      <c r="IC36" s="146" t="e">
        <f t="shared" si="215"/>
        <v>#N/A</v>
      </c>
      <c r="ID36" s="137" t="e">
        <f t="shared" si="216"/>
        <v>#N/A</v>
      </c>
      <c r="IE36" s="137" t="str">
        <f t="shared" si="217"/>
        <v/>
      </c>
      <c r="IF36" s="95" t="str">
        <f t="shared" si="218"/>
        <v/>
      </c>
      <c r="IK36" s="176"/>
      <c r="IL36" s="3" t="e">
        <f>IF(AND(Include_study?="Yes",Sufficient_data="Yes"),'Publication Bias Analysis'!AV:AV,NA())</f>
        <v>#N/A</v>
      </c>
      <c r="IM36" s="158" t="e">
        <f>IF(AND(Sufficient_data="Yes",Include_study?="Yes"),'Publication Bias Analysis'!AU:AU,NA())</f>
        <v>#N/A</v>
      </c>
      <c r="IN36" s="62" t="str">
        <f t="shared" si="219"/>
        <v/>
      </c>
      <c r="IO36" s="74" t="str">
        <f>IF(AND(Include_study?="Yes",Sufficient_data="Yes"),Z_score-('Publication Bias Analysis'!AY$30+'Publication Bias Analysis'!AY$31*Inverse_standard_error),"")</f>
        <v/>
      </c>
      <c r="IU36" s="176"/>
      <c r="IV36" s="7" t="str">
        <f>IF('Publication Bias Analysis'!BG:BG&lt;&gt;"",RANK('Publication Bias Analysis'!BG:BG,'Publication Bias Analysis'!BG:BG,1)+COUNTIF('Publication Bias Analysis'!BG$2:BG35,'Publication Bias Analysis'!BG36),"")</f>
        <v/>
      </c>
      <c r="IW36" s="124" t="str">
        <f t="shared" si="220"/>
        <v/>
      </c>
      <c r="IX36" s="125" t="e">
        <f>IF('Publication Bias Analysis'!BF36&lt;&gt;"",'Publication Bias Analysis'!BF36,NA())</f>
        <v>#N/A</v>
      </c>
      <c r="IY36" s="125" t="e">
        <f>IF('Publication Bias Analysis'!BG36&lt;&gt;"",'Publication Bias Analysis'!BG36,NA())</f>
        <v>#N/A</v>
      </c>
      <c r="IZ36" s="62" t="str">
        <f>IF(AND(Include_study?="Yes",Sufficient_data="Yes"),'Publication Bias Analysis'!BF:BF-AVERAGE('Publication Bias Analysis'!BF:BF),"")</f>
        <v/>
      </c>
      <c r="JA36" s="74" t="str">
        <f>IF(AND(Include_study?="Yes",Sufficient_data="Yes"),'Publication Bias Analysis'!BG:BG-('Publication Bias Analysis'!BJ$30+'Publication Bias Analysis'!BJ$31*'Publication Bias Analysis'!BF:BF),"")</f>
        <v/>
      </c>
      <c r="JG36" s="176"/>
      <c r="JH36" s="39" t="str">
        <f t="shared" si="221"/>
        <v/>
      </c>
      <c r="JI36" s="148" t="str">
        <f t="shared" si="124"/>
        <v/>
      </c>
      <c r="JJ36" s="74" t="str">
        <f t="shared" si="125"/>
        <v/>
      </c>
    </row>
    <row r="37" spans="1:270" ht="12" customHeight="1" x14ac:dyDescent="0.2">
      <c r="A37" s="2" t="str">
        <f t="shared" si="126"/>
        <v/>
      </c>
      <c r="B37" s="7" t="str">
        <f>IF(AND(Include_study?="Yes",Sufficient_data="Yes"),IF(Input!a_&lt;&gt;"",Input!a_,Input!n1_-Input!b_),"")</f>
        <v/>
      </c>
      <c r="C37" s="7" t="str">
        <f>IF(AND(Include_study?="Yes",Sufficient_data="Yes"),IF(Input!b_&lt;&gt;"",Input!b_,Input!n1_-Input!a_),"")</f>
        <v/>
      </c>
      <c r="D37" s="7" t="str">
        <f>IF(AND(Include_study?="Yes",Sufficient_data="Yes"),IF(Input!c_&lt;&gt;"",Input!c_,Input!n2_-Input!d_),"")</f>
        <v/>
      </c>
      <c r="E37" s="7" t="str">
        <f>IF(AND(Include_study?="Yes",Sufficient_data="Yes"),IF(Input!d_&lt;&gt;"",Input!d_,Input!n2_-Input!c_),"")</f>
        <v/>
      </c>
      <c r="F37" s="74" t="str">
        <f t="shared" si="127"/>
        <v/>
      </c>
      <c r="H37" s="196"/>
      <c r="I37" s="182"/>
      <c r="J37" s="146" t="str">
        <f t="shared" si="2"/>
        <v/>
      </c>
      <c r="K37" s="39" t="str">
        <f t="shared" si="128"/>
        <v/>
      </c>
      <c r="L37" s="39" t="str">
        <f t="shared" si="129"/>
        <v/>
      </c>
      <c r="M37" s="39" t="str">
        <f t="shared" si="130"/>
        <v/>
      </c>
      <c r="N37" s="74" t="str">
        <f t="shared" si="131"/>
        <v/>
      </c>
      <c r="P37" s="176"/>
      <c r="Q37" s="130" t="str">
        <f t="shared" si="132"/>
        <v/>
      </c>
      <c r="R37" s="39" t="str">
        <f t="shared" si="133"/>
        <v/>
      </c>
      <c r="S37" s="39" t="str">
        <f t="shared" si="134"/>
        <v/>
      </c>
      <c r="T37" s="74" t="str">
        <f t="shared" si="135"/>
        <v/>
      </c>
      <c r="V37" s="176"/>
      <c r="W37" s="130" t="str">
        <f t="shared" si="136"/>
        <v/>
      </c>
      <c r="X37" s="39" t="str">
        <f t="shared" si="137"/>
        <v/>
      </c>
      <c r="Y37" s="39" t="str">
        <f t="shared" si="138"/>
        <v/>
      </c>
      <c r="Z37" s="74" t="str">
        <f t="shared" si="139"/>
        <v/>
      </c>
      <c r="AB37" s="176"/>
      <c r="AC37" s="130" t="str">
        <f t="shared" si="140"/>
        <v/>
      </c>
      <c r="AD37" s="39" t="str">
        <f t="shared" si="141"/>
        <v/>
      </c>
      <c r="AE37" s="39" t="str">
        <f t="shared" si="142"/>
        <v/>
      </c>
      <c r="AF37" s="39" t="str">
        <f t="shared" si="143"/>
        <v/>
      </c>
      <c r="AG37" s="74" t="str">
        <f t="shared" si="144"/>
        <v/>
      </c>
      <c r="AI37" s="196"/>
      <c r="AJ3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7" s="136" t="str">
        <f>IF(AJ37&lt;&gt;"",IF(AJ37=0,COUNTIF(AJ$2:AJ36,0)+1,COUNTIF(AJ$2:AJ36,AJ37)+AJ37+COUNTIF(AJ:AJ,0)),"")</f>
        <v/>
      </c>
      <c r="AL37" s="136" t="str">
        <f t="shared" si="20"/>
        <v/>
      </c>
      <c r="AM37" s="155" t="str">
        <f>IF(AND(Include_study?="Yes",Sufficient_data="Yes",Input!Study_name&lt;&gt;""),Input!Study_name,"")</f>
        <v/>
      </c>
      <c r="AN37" s="136" t="str">
        <f t="shared" si="21"/>
        <v/>
      </c>
      <c r="AO37" s="19" t="str">
        <f t="shared" si="145"/>
        <v/>
      </c>
      <c r="AP37" s="158" t="str">
        <f t="shared" si="146"/>
        <v/>
      </c>
      <c r="AQ37" s="158" t="str">
        <f t="shared" si="147"/>
        <v/>
      </c>
      <c r="AR37" s="39" t="str">
        <f t="shared" si="148"/>
        <v/>
      </c>
      <c r="AS37" s="158" t="str">
        <f t="shared" si="149"/>
        <v/>
      </c>
      <c r="AT37" s="39" t="str">
        <f t="shared" si="150"/>
        <v/>
      </c>
      <c r="AU37" s="172" t="str">
        <f t="shared" si="151"/>
        <v/>
      </c>
      <c r="AW37" s="84" t="e">
        <f t="shared" si="152"/>
        <v>#N/A</v>
      </c>
      <c r="AX37" s="3" t="e">
        <f t="shared" si="153"/>
        <v>#N/A</v>
      </c>
      <c r="AY37" s="74" t="e">
        <f t="shared" si="154"/>
        <v>#N/A</v>
      </c>
      <c r="BD37" s="196"/>
      <c r="BE37" s="182"/>
      <c r="BF37" s="3" t="str">
        <f t="shared" si="155"/>
        <v/>
      </c>
      <c r="BG37" s="3" t="str">
        <f t="shared" si="156"/>
        <v/>
      </c>
      <c r="BH37" s="3" t="str">
        <f t="shared" si="157"/>
        <v/>
      </c>
      <c r="BI37" s="39" t="str">
        <f t="shared" si="158"/>
        <v/>
      </c>
      <c r="BJ37" s="95" t="str">
        <f t="shared" si="159"/>
        <v/>
      </c>
      <c r="BO37" s="176"/>
      <c r="BP37" s="158" t="str">
        <f t="shared" si="160"/>
        <v/>
      </c>
      <c r="BQ37" s="158" t="str">
        <f t="shared" si="161"/>
        <v/>
      </c>
      <c r="BR37" s="158" t="str">
        <f t="shared" si="162"/>
        <v/>
      </c>
      <c r="BS37" s="158" t="str">
        <f>IF(AND(Sufficient_data="Yes",Include_study?="Yes"),IF(Add_0_5="Yes",(a_+d_+1)*(ab_+0.5)*(c_+0.5)/(Number_of_subjects+2)^2,(a_+d_)*b_*c_/Number_of_subjects^2),"")</f>
        <v/>
      </c>
      <c r="BT37" s="158" t="str">
        <f t="shared" si="163"/>
        <v/>
      </c>
      <c r="BU37" s="158" t="str">
        <f t="shared" si="164"/>
        <v/>
      </c>
      <c r="BV37" s="158" t="str">
        <f t="shared" si="165"/>
        <v/>
      </c>
      <c r="BW37" s="3" t="str">
        <f t="shared" si="166"/>
        <v/>
      </c>
      <c r="BX37" s="137" t="str">
        <f t="shared" si="167"/>
        <v/>
      </c>
      <c r="BY37" s="95" t="str">
        <f t="shared" si="168"/>
        <v/>
      </c>
      <c r="CD37" s="176"/>
      <c r="CE37" s="130" t="str">
        <f t="shared" si="169"/>
        <v/>
      </c>
      <c r="CF37" s="39" t="str">
        <f t="shared" si="170"/>
        <v/>
      </c>
      <c r="CG37" s="39" t="str">
        <f t="shared" si="171"/>
        <v/>
      </c>
      <c r="CH37" s="39" t="str">
        <f t="shared" si="172"/>
        <v/>
      </c>
      <c r="CI37" s="39" t="str">
        <f t="shared" si="173"/>
        <v/>
      </c>
      <c r="CJ37" s="39" t="str">
        <f t="shared" si="50"/>
        <v/>
      </c>
      <c r="CK37" s="95" t="str">
        <f t="shared" si="174"/>
        <v/>
      </c>
      <c r="CP37" s="176"/>
      <c r="CQ37" s="99" t="str">
        <f t="shared" si="175"/>
        <v/>
      </c>
      <c r="CX37" s="196"/>
      <c r="CY37" s="89" t="e">
        <f t="shared" si="176"/>
        <v>#N/A</v>
      </c>
      <c r="CZ37" s="136" t="str">
        <f t="shared" si="177"/>
        <v/>
      </c>
      <c r="DA37" s="140" t="str">
        <f t="shared" si="178"/>
        <v/>
      </c>
      <c r="DB37" s="39" t="str">
        <f t="shared" si="179"/>
        <v/>
      </c>
      <c r="DC37" s="39" t="str">
        <f t="shared" si="180"/>
        <v/>
      </c>
      <c r="DD37" s="39" t="str">
        <f t="shared" si="181"/>
        <v/>
      </c>
      <c r="DE37" s="39" t="str">
        <f t="shared" si="182"/>
        <v/>
      </c>
      <c r="DF37" s="141" t="str">
        <f t="shared" si="183"/>
        <v/>
      </c>
      <c r="DG37" s="39" t="str">
        <f t="shared" si="184"/>
        <v/>
      </c>
      <c r="DH37" s="39" t="str">
        <f t="shared" si="185"/>
        <v/>
      </c>
      <c r="DI37" s="39" t="str">
        <f t="shared" si="186"/>
        <v/>
      </c>
      <c r="DJ37" s="74" t="str">
        <f t="shared" si="187"/>
        <v/>
      </c>
      <c r="DL37" s="84" t="e">
        <f t="shared" si="188"/>
        <v>#N/A</v>
      </c>
      <c r="DM37" s="39" t="e">
        <f t="shared" si="189"/>
        <v>#N/A</v>
      </c>
      <c r="DN37" s="74" t="e">
        <f t="shared" si="190"/>
        <v>#N/A</v>
      </c>
      <c r="DP37" s="89" t="str">
        <f t="shared" si="102"/>
        <v/>
      </c>
      <c r="DQ37" s="26" t="str">
        <f>IF(AND(Sufficient_data="Yes",Subgroup&lt;&gt;""),IF(COUNTIFS(Input!J$2:J36,"="&amp;"Yes",Input!C$2:C36,"="&amp;"Yes",Input!K$2:K36,"="&amp;Subgroup)&gt;0,"",Subgroup),"")</f>
        <v/>
      </c>
      <c r="DR37" s="7" t="str">
        <f t="shared" si="103"/>
        <v/>
      </c>
      <c r="DS37" s="7" t="str">
        <f t="shared" si="191"/>
        <v/>
      </c>
      <c r="DT37" s="19" t="str">
        <f t="shared" si="192"/>
        <v/>
      </c>
      <c r="DU37" s="12" t="str">
        <f t="shared" si="104"/>
        <v/>
      </c>
      <c r="DV37" s="11" t="str">
        <f t="shared" si="105"/>
        <v/>
      </c>
      <c r="DW37" s="12" t="str">
        <f t="shared" si="193"/>
        <v/>
      </c>
      <c r="DX37" s="12" t="str">
        <f t="shared" si="194"/>
        <v/>
      </c>
      <c r="DY37" s="19" t="str">
        <f t="shared" si="106"/>
        <v/>
      </c>
      <c r="DZ37" s="12" t="str">
        <f t="shared" si="195"/>
        <v/>
      </c>
      <c r="EA37" s="19" t="str">
        <f t="shared" si="196"/>
        <v/>
      </c>
      <c r="EB37" s="7" t="str">
        <f t="shared" si="197"/>
        <v/>
      </c>
      <c r="EC37" s="19" t="str">
        <f t="shared" si="198"/>
        <v/>
      </c>
      <c r="ED37" s="19" t="str">
        <f t="shared" si="199"/>
        <v/>
      </c>
      <c r="EE37" s="19" t="str">
        <f t="shared" si="109"/>
        <v/>
      </c>
      <c r="EF37" s="19" t="str">
        <f t="shared" si="110"/>
        <v/>
      </c>
      <c r="EG37" s="19" t="str">
        <f t="shared" si="111"/>
        <v/>
      </c>
      <c r="EH37" s="19" t="str">
        <f t="shared" si="112"/>
        <v/>
      </c>
      <c r="EI37" s="19" t="str">
        <f t="shared" si="113"/>
        <v/>
      </c>
      <c r="EJ37" s="19" t="str">
        <f t="shared" si="200"/>
        <v/>
      </c>
      <c r="EK37" s="19" t="str">
        <f t="shared" si="201"/>
        <v/>
      </c>
      <c r="EL37" s="19" t="str">
        <f t="shared" si="115"/>
        <v/>
      </c>
      <c r="EM37" s="19" t="str">
        <f t="shared" si="116"/>
        <v/>
      </c>
      <c r="EN37" s="19" t="str">
        <f t="shared" si="117"/>
        <v/>
      </c>
      <c r="EO37" s="19" t="str">
        <f t="shared" si="118"/>
        <v/>
      </c>
      <c r="EP37" s="19" t="str">
        <f t="shared" si="202"/>
        <v/>
      </c>
      <c r="EQ37" s="19" t="e">
        <f t="shared" si="119"/>
        <v>#N/A</v>
      </c>
      <c r="ER37" s="11" t="str">
        <f t="shared" si="120"/>
        <v/>
      </c>
      <c r="ES37" s="19" t="str">
        <f t="shared" si="121"/>
        <v/>
      </c>
      <c r="ET37" s="156" t="str">
        <f t="shared" si="203"/>
        <v/>
      </c>
      <c r="EU37" s="39" t="str">
        <f t="shared" si="204"/>
        <v/>
      </c>
      <c r="EV37" s="74" t="str">
        <f t="shared" si="205"/>
        <v/>
      </c>
      <c r="EX37" s="195" t="s">
        <v>230</v>
      </c>
      <c r="EY37" s="195"/>
      <c r="FA37" s="196"/>
      <c r="FB37" s="84" t="e">
        <f>IF(AND(Include_study?="Yes",Sufficient_data="Yes",Moderator&lt;&gt;""),'Moderator Analysis'!E37,NA())</f>
        <v>#N/A</v>
      </c>
      <c r="FC37" s="39" t="e">
        <f>IF(AND(Include_study?="Yes",Sufficient_data="Yes",Moderator&lt;&gt;""),'Moderator Analysis'!F37,NA())</f>
        <v>#N/A</v>
      </c>
      <c r="FD37" s="39" t="str">
        <f t="shared" si="206"/>
        <v/>
      </c>
      <c r="FE37" s="39" t="str">
        <f t="shared" si="207"/>
        <v/>
      </c>
      <c r="FF37" s="39" t="str">
        <f>IF(AND(Include_study?="Yes",Sufficient_data="Yes",Moderator&lt;&gt;""),'Moderator Analysis'!F:F-FP$2,"")</f>
        <v/>
      </c>
      <c r="FG37" s="39" t="str">
        <f>IF(AND(Include_study?="Yes",Sufficient_data="Yes",Moderator&lt;&gt;""),'Moderator Analysis'!E:E-FP$3,"")</f>
        <v/>
      </c>
      <c r="FH37" s="74" t="str">
        <f>IF(AND(Include_study?="Yes",Sufficient_data="Yes",Moderator&lt;&gt;""),FE:FE*('Moderator Analysis'!F:F-FP$5-FP$4*'Moderator Analysis'!E:E)^2,"")</f>
        <v/>
      </c>
      <c r="FI37" s="128"/>
      <c r="FJ37" s="92" t="str">
        <f t="shared" si="208"/>
        <v/>
      </c>
      <c r="FK37" s="137" t="str">
        <f>IF(AND(Include_study?="Yes",Sufficient_data="Yes",Moderator&lt;&gt;""),'Moderator Analysis'!F:F-'Moderator Analysis'!J$37,"")</f>
        <v/>
      </c>
      <c r="FL37" s="137" t="str">
        <f>IF(AND(Include_study?="Yes",Sufficient_data="Yes",Moderator&lt;&gt;""),'Moderator Analysis'!E:E-SUMPRODUCT('Moderator Analysis'!E:E,FJ:FJ)/SUM(FJ:FJ),"")</f>
        <v/>
      </c>
      <c r="FM37" s="95" t="str">
        <f>IF(AND(Include_study?="Yes",Sufficient_data="Yes",Moderator&lt;&gt;""),FJ:FJ*('Moderator Analysis'!F:F-'Moderator Analysis'!J$29-'Moderator Analysis'!J$30*'Moderator Analysis'!E:E)^2,"")</f>
        <v/>
      </c>
      <c r="FN37" s="21"/>
      <c r="FR37" s="196"/>
      <c r="FS37" s="182"/>
      <c r="FT3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7" s="39" t="str">
        <f>IF(AND(Include_study?="Yes",Sufficient_data="Yes"),1/('Publication Bias Analysis'!F:F^2+IF(Additional_model="Fixed effect",0,Calculations!GH$12)),"")</f>
        <v/>
      </c>
      <c r="FV37" s="39" t="str">
        <f>IF(AND(Include_study?="Yes",Sufficient_data="Yes"),1/('Publication Bias Analysis'!F:F^2+IF(Additional_model="Fixed effect",0,'Publication Bias Analysis'!L$32)),"")</f>
        <v/>
      </c>
      <c r="FW37" s="39" t="str">
        <f>IF(AND(Include_study?="Yes",Sufficient_data="Yes"),'Publication Bias Analysis'!E:E-'Publication Bias Analysis'!I$37,"")</f>
        <v/>
      </c>
      <c r="FX37" s="39" t="str">
        <f>IF(AND(Include_study?="Yes",Sufficient_data="Yes"),IF(Additional_model="Fixed effect",1/'Publication Bias Analysis'!F:F,1/SQRT('Publication Bias Analysis'!F:F^2+GH$12)),"")</f>
        <v/>
      </c>
      <c r="FY3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7" s="136" t="str">
        <f t="shared" si="209"/>
        <v/>
      </c>
      <c r="GA37" s="144" t="str">
        <f>IF(AND(Include_study?="Yes",Sufficient_data="Yes"),FZ:FZ+IF(GL:GL&lt;0,-1,1)*COUNTIF(FZ$2:FZ36,FZ:FZ),"")</f>
        <v/>
      </c>
      <c r="GB37" s="144" t="str">
        <f>IF(AND(Include_study?="Yes",Sufficient_data="Yes"),RANK(GP:GP,GP:GP,1)*IF(GO:GO&lt;0,-1,1)+IF(GO:GO&lt;0,-1,1)*COUNTIF(FZ$2:FZ36,FZ:FZ),"")</f>
        <v/>
      </c>
      <c r="GC37" s="144" t="str">
        <f>IF(AND(Include_study?="Yes",Sufficient_data="Yes"),RANK(GS:GS,GS:GS,1)*IF(GR:GR&lt;0,-1,1)+IF(GR:GR&lt;0,-1,1)*COUNTIF(FZ$2:FZ36,FZ:FZ),"")</f>
        <v/>
      </c>
      <c r="GD37" s="39" t="e">
        <f>IF(AND(Include_study?="Yes",Sufficient_data="Yes"),'Publication Bias Analysis'!E37,NA())</f>
        <v>#N/A</v>
      </c>
      <c r="GE37" s="74" t="e">
        <f>IF(AND(Include_study?="Yes",Sufficient_data="Yes"),'Publication Bias Analysis'!F37,NA())</f>
        <v>#N/A</v>
      </c>
      <c r="GK37" s="176"/>
      <c r="GL3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7" s="39" t="str">
        <f t="shared" si="210"/>
        <v/>
      </c>
      <c r="GN3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7" s="39" t="str">
        <f>IF(AND(Include_study?="Yes",Sufficient_data="Yes"),IF('Publication Bias Analysis'!L$38="Left",'Publication Bias Analysis'!E:E-GW$3,GW$3-'Publication Bias Analysis'!E:E),"")</f>
        <v/>
      </c>
      <c r="GP37" s="39" t="str">
        <f t="shared" si="211"/>
        <v/>
      </c>
      <c r="GQ3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7" s="39" t="str">
        <f>IF(AND(Include_study?="Yes",Sufficient_data="Yes"),IF('Publication Bias Analysis'!L$38="Left",'Publication Bias Analysis'!E:E-GW$10,GW$10-'Publication Bias Analysis'!E:E),"")</f>
        <v/>
      </c>
      <c r="GS37" s="39" t="str">
        <f t="shared" si="212"/>
        <v/>
      </c>
      <c r="GT3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7"/>
      <c r="GW37"/>
      <c r="GX37"/>
      <c r="GY37" s="89">
        <v>36</v>
      </c>
      <c r="GZ37" s="7" t="str">
        <f>IF(Trim_and_fill="On",IF(GW$21&gt;(COUNT(GZ$2:GZ36)),IF(COUNTIF(GA:GA,-1*(MAX(GA:GA)-GY37+1))=1,"",MAX(GA:GA)-GY37+1),""),"")</f>
        <v/>
      </c>
      <c r="HA37" s="69" t="str">
        <f t="shared" si="84"/>
        <v/>
      </c>
      <c r="HB37" s="69" t="str">
        <f t="shared" si="85"/>
        <v/>
      </c>
      <c r="HC37" s="69" t="str">
        <f t="shared" si="86"/>
        <v/>
      </c>
      <c r="HD37" s="39" t="str">
        <f>IF(GZ37&lt;&gt;"",1/(HB37^2+'Publication Bias Analysis'!L$32),"")</f>
        <v/>
      </c>
      <c r="HE37" s="74" t="str">
        <f>IF(GZ37&lt;&gt;"",HA:HA-'Publication Bias Analysis'!I$37,"")</f>
        <v/>
      </c>
      <c r="HF37" s="45"/>
      <c r="HG37" s="89">
        <v>36</v>
      </c>
      <c r="HH37" s="69" t="e">
        <f t="shared" si="87"/>
        <v>#N/A</v>
      </c>
      <c r="HI37" s="74" t="e">
        <f t="shared" si="88"/>
        <v>#N/A</v>
      </c>
      <c r="HK37" s="176"/>
      <c r="HL37" s="66" t="str">
        <f t="shared" si="89"/>
        <v/>
      </c>
      <c r="HM37" s="74" t="str">
        <f>IF(AND(Include_study?="Yes",Sufficient_data="Yes"),Z_score-('Publication Bias Analysis'!P$3+'Publication Bias Analysis'!P$4*Inverse_standard_error),"")</f>
        <v/>
      </c>
      <c r="HO37" s="176"/>
      <c r="HP37" s="64" t="str">
        <f>IF(AND(Include_study?="Yes",Sufficient_data="Yes"),(GD:GD-SUMPRODUCT(Calculations!FT:FT,'Publication Bias Analysis'!E:E)/SUM(Calculations!FT:FT))/SQRT(Calculations!HQ:HQ),"")</f>
        <v/>
      </c>
      <c r="HQ37" s="64" t="str">
        <f>IF(AND(Include_study?="Yes",Sufficient_data="Yes"),GE:GE^2-1/SUM(Calculations!FT:FT),"")</f>
        <v/>
      </c>
      <c r="HR37" s="7" t="str">
        <f t="shared" si="213"/>
        <v/>
      </c>
      <c r="HS37" s="7" t="str">
        <f t="shared" si="214"/>
        <v/>
      </c>
      <c r="HT37" s="7" t="str">
        <f>IF(AND(Include_study?="Yes",Sufficient_data="Yes"),COUNTIFS(HR$2:HR36,"&lt;"&amp;HR37,HS$2:HS36,"&lt;"&amp;HS37)+COUNTIFS(HR38:HR$201,"&lt;"&amp;HR37,HS38:HS$201,"&lt;"&amp;HS37)+COUNTIFS(HR$2:HR36,"&gt;"&amp;HR37,HS$2:HS36,"&gt;"&amp;HS37)+COUNTIFS(HR38:HR$201,"&gt;"&amp;HR37,HS38:HS$201,"&gt;"&amp;HS37),"")</f>
        <v/>
      </c>
      <c r="HU37" s="104" t="str">
        <f>IF(AND(Include_study?="Yes",Sufficient_data="Yes"),COUNTIFS(HR$2:HR36,"&lt;"&amp;HR37,HS$2:HS36,"&gt;"&amp;HS37)+COUNTIFS(HR38:HR$201,"&lt;"&amp;HR37,HS38:HS$201,"&gt;"&amp;HS37)+COUNTIFS(HR$2:HR36,"&gt;"&amp;HR37,HS$2:HS36,"&lt;"&amp;HS37)+COUNTIFS(HR38:HR$201,"&gt;"&amp;HR37,HS38:HS$201,"&lt;"&amp;HS37),"")</f>
        <v/>
      </c>
      <c r="HW37" s="176"/>
      <c r="IB37" s="176"/>
      <c r="IC37" s="146" t="e">
        <f t="shared" si="215"/>
        <v>#N/A</v>
      </c>
      <c r="ID37" s="137" t="e">
        <f t="shared" si="216"/>
        <v>#N/A</v>
      </c>
      <c r="IE37" s="137" t="str">
        <f t="shared" si="217"/>
        <v/>
      </c>
      <c r="IF37" s="95" t="str">
        <f t="shared" si="218"/>
        <v/>
      </c>
      <c r="IK37" s="176"/>
      <c r="IL37" s="3" t="e">
        <f>IF(AND(Include_study?="Yes",Sufficient_data="Yes"),'Publication Bias Analysis'!AV:AV,NA())</f>
        <v>#N/A</v>
      </c>
      <c r="IM37" s="158" t="e">
        <f>IF(AND(Sufficient_data="Yes",Include_study?="Yes"),'Publication Bias Analysis'!AU:AU,NA())</f>
        <v>#N/A</v>
      </c>
      <c r="IN37" s="62" t="str">
        <f t="shared" si="219"/>
        <v/>
      </c>
      <c r="IO37" s="74" t="str">
        <f>IF(AND(Include_study?="Yes",Sufficient_data="Yes"),Z_score-('Publication Bias Analysis'!AY$30+'Publication Bias Analysis'!AY$31*Inverse_standard_error),"")</f>
        <v/>
      </c>
      <c r="IU37" s="176"/>
      <c r="IV37" s="7" t="str">
        <f>IF('Publication Bias Analysis'!BG:BG&lt;&gt;"",RANK('Publication Bias Analysis'!BG:BG,'Publication Bias Analysis'!BG:BG,1)+COUNTIF('Publication Bias Analysis'!BG$2:BG36,'Publication Bias Analysis'!BG37),"")</f>
        <v/>
      </c>
      <c r="IW37" s="124" t="str">
        <f t="shared" si="220"/>
        <v/>
      </c>
      <c r="IX37" s="125" t="e">
        <f>IF('Publication Bias Analysis'!BF37&lt;&gt;"",'Publication Bias Analysis'!BF37,NA())</f>
        <v>#N/A</v>
      </c>
      <c r="IY37" s="125" t="e">
        <f>IF('Publication Bias Analysis'!BG37&lt;&gt;"",'Publication Bias Analysis'!BG37,NA())</f>
        <v>#N/A</v>
      </c>
      <c r="IZ37" s="62" t="str">
        <f>IF(AND(Include_study?="Yes",Sufficient_data="Yes"),'Publication Bias Analysis'!BF:BF-AVERAGE('Publication Bias Analysis'!BF:BF),"")</f>
        <v/>
      </c>
      <c r="JA37" s="74" t="str">
        <f>IF(AND(Include_study?="Yes",Sufficient_data="Yes"),'Publication Bias Analysis'!BG:BG-('Publication Bias Analysis'!BJ$30+'Publication Bias Analysis'!BJ$31*'Publication Bias Analysis'!BF:BF),"")</f>
        <v/>
      </c>
      <c r="JG37" s="176"/>
      <c r="JH37" s="39" t="str">
        <f t="shared" si="221"/>
        <v/>
      </c>
      <c r="JI37" s="148" t="str">
        <f t="shared" si="124"/>
        <v/>
      </c>
      <c r="JJ37" s="74" t="str">
        <f t="shared" si="125"/>
        <v/>
      </c>
    </row>
    <row r="38" spans="1:270" ht="12" customHeight="1" x14ac:dyDescent="0.2">
      <c r="A38" s="2" t="str">
        <f t="shared" si="126"/>
        <v/>
      </c>
      <c r="B38" s="7" t="str">
        <f>IF(AND(Include_study?="Yes",Sufficient_data="Yes"),IF(Input!a_&lt;&gt;"",Input!a_,Input!n1_-Input!b_),"")</f>
        <v/>
      </c>
      <c r="C38" s="7" t="str">
        <f>IF(AND(Include_study?="Yes",Sufficient_data="Yes"),IF(Input!b_&lt;&gt;"",Input!b_,Input!n1_-Input!a_),"")</f>
        <v/>
      </c>
      <c r="D38" s="7" t="str">
        <f>IF(AND(Include_study?="Yes",Sufficient_data="Yes"),IF(Input!c_&lt;&gt;"",Input!c_,Input!n2_-Input!d_),"")</f>
        <v/>
      </c>
      <c r="E38" s="7" t="str">
        <f>IF(AND(Include_study?="Yes",Sufficient_data="Yes"),IF(Input!d_&lt;&gt;"",Input!d_,Input!n2_-Input!c_),"")</f>
        <v/>
      </c>
      <c r="F38" s="74" t="str">
        <f t="shared" si="127"/>
        <v/>
      </c>
      <c r="H38" s="196"/>
      <c r="I38" s="182"/>
      <c r="J38" s="146" t="str">
        <f t="shared" si="2"/>
        <v/>
      </c>
      <c r="K38" s="39" t="str">
        <f t="shared" si="128"/>
        <v/>
      </c>
      <c r="L38" s="39" t="str">
        <f t="shared" si="129"/>
        <v/>
      </c>
      <c r="M38" s="39" t="str">
        <f t="shared" si="130"/>
        <v/>
      </c>
      <c r="N38" s="74" t="str">
        <f t="shared" si="131"/>
        <v/>
      </c>
      <c r="P38" s="176"/>
      <c r="Q38" s="130" t="str">
        <f t="shared" si="132"/>
        <v/>
      </c>
      <c r="R38" s="39" t="str">
        <f t="shared" si="133"/>
        <v/>
      </c>
      <c r="S38" s="39" t="str">
        <f t="shared" si="134"/>
        <v/>
      </c>
      <c r="T38" s="74" t="str">
        <f t="shared" si="135"/>
        <v/>
      </c>
      <c r="V38" s="176"/>
      <c r="W38" s="130" t="str">
        <f t="shared" si="136"/>
        <v/>
      </c>
      <c r="X38" s="39" t="str">
        <f t="shared" si="137"/>
        <v/>
      </c>
      <c r="Y38" s="39" t="str">
        <f t="shared" si="138"/>
        <v/>
      </c>
      <c r="Z38" s="74" t="str">
        <f t="shared" si="139"/>
        <v/>
      </c>
      <c r="AB38" s="176"/>
      <c r="AC38" s="130" t="str">
        <f t="shared" si="140"/>
        <v/>
      </c>
      <c r="AD38" s="39" t="str">
        <f t="shared" si="141"/>
        <v/>
      </c>
      <c r="AE38" s="39" t="str">
        <f t="shared" si="142"/>
        <v/>
      </c>
      <c r="AF38" s="39" t="str">
        <f t="shared" si="143"/>
        <v/>
      </c>
      <c r="AG38" s="74" t="str">
        <f t="shared" si="144"/>
        <v/>
      </c>
      <c r="AI38" s="196"/>
      <c r="AJ3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8" s="136" t="str">
        <f>IF(AJ38&lt;&gt;"",IF(AJ38=0,COUNTIF(AJ$2:AJ37,0)+1,COUNTIF(AJ$2:AJ37,AJ38)+AJ38+COUNTIF(AJ:AJ,0)),"")</f>
        <v/>
      </c>
      <c r="AL38" s="136" t="str">
        <f t="shared" si="20"/>
        <v/>
      </c>
      <c r="AM38" s="155" t="str">
        <f>IF(AND(Include_study?="Yes",Sufficient_data="Yes",Input!Study_name&lt;&gt;""),Input!Study_name,"")</f>
        <v/>
      </c>
      <c r="AN38" s="136" t="str">
        <f t="shared" si="21"/>
        <v/>
      </c>
      <c r="AO38" s="19" t="str">
        <f t="shared" si="145"/>
        <v/>
      </c>
      <c r="AP38" s="158" t="str">
        <f t="shared" si="146"/>
        <v/>
      </c>
      <c r="AQ38" s="158" t="str">
        <f t="shared" si="147"/>
        <v/>
      </c>
      <c r="AR38" s="39" t="str">
        <f t="shared" si="148"/>
        <v/>
      </c>
      <c r="AS38" s="158" t="str">
        <f t="shared" si="149"/>
        <v/>
      </c>
      <c r="AT38" s="39" t="str">
        <f t="shared" si="150"/>
        <v/>
      </c>
      <c r="AU38" s="172" t="str">
        <f t="shared" si="151"/>
        <v/>
      </c>
      <c r="AW38" s="84" t="e">
        <f t="shared" si="152"/>
        <v>#N/A</v>
      </c>
      <c r="AX38" s="3" t="e">
        <f t="shared" si="153"/>
        <v>#N/A</v>
      </c>
      <c r="AY38" s="74" t="e">
        <f t="shared" si="154"/>
        <v>#N/A</v>
      </c>
      <c r="BD38" s="196"/>
      <c r="BE38" s="182"/>
      <c r="BF38" s="3" t="str">
        <f t="shared" si="155"/>
        <v/>
      </c>
      <c r="BG38" s="3" t="str">
        <f t="shared" si="156"/>
        <v/>
      </c>
      <c r="BH38" s="3" t="str">
        <f t="shared" si="157"/>
        <v/>
      </c>
      <c r="BI38" s="39" t="str">
        <f t="shared" si="158"/>
        <v/>
      </c>
      <c r="BJ38" s="95" t="str">
        <f t="shared" si="159"/>
        <v/>
      </c>
      <c r="BO38" s="176"/>
      <c r="BP38" s="158" t="str">
        <f t="shared" si="160"/>
        <v/>
      </c>
      <c r="BQ38" s="158" t="str">
        <f t="shared" si="161"/>
        <v/>
      </c>
      <c r="BR38" s="158" t="str">
        <f t="shared" si="162"/>
        <v/>
      </c>
      <c r="BS38" s="158" t="str">
        <f>IF(AND(Sufficient_data="Yes",Include_study?="Yes"),IF(Add_0_5="Yes",(a_+d_+1)*(ab_+0.5)*(c_+0.5)/(Number_of_subjects+2)^2,(a_+d_)*b_*c_/Number_of_subjects^2),"")</f>
        <v/>
      </c>
      <c r="BT38" s="158" t="str">
        <f t="shared" si="163"/>
        <v/>
      </c>
      <c r="BU38" s="158" t="str">
        <f t="shared" si="164"/>
        <v/>
      </c>
      <c r="BV38" s="158" t="str">
        <f t="shared" si="165"/>
        <v/>
      </c>
      <c r="BW38" s="3" t="str">
        <f t="shared" si="166"/>
        <v/>
      </c>
      <c r="BX38" s="137" t="str">
        <f t="shared" si="167"/>
        <v/>
      </c>
      <c r="BY38" s="95" t="str">
        <f t="shared" si="168"/>
        <v/>
      </c>
      <c r="CD38" s="176"/>
      <c r="CE38" s="130" t="str">
        <f t="shared" si="169"/>
        <v/>
      </c>
      <c r="CF38" s="39" t="str">
        <f t="shared" si="170"/>
        <v/>
      </c>
      <c r="CG38" s="39" t="str">
        <f t="shared" si="171"/>
        <v/>
      </c>
      <c r="CH38" s="39" t="str">
        <f t="shared" si="172"/>
        <v/>
      </c>
      <c r="CI38" s="39" t="str">
        <f t="shared" si="173"/>
        <v/>
      </c>
      <c r="CJ38" s="39" t="str">
        <f t="shared" si="50"/>
        <v/>
      </c>
      <c r="CK38" s="95" t="str">
        <f t="shared" si="174"/>
        <v/>
      </c>
      <c r="CP38" s="176"/>
      <c r="CQ38" s="99" t="str">
        <f t="shared" si="175"/>
        <v/>
      </c>
      <c r="CX38" s="196"/>
      <c r="CY38" s="89" t="e">
        <f t="shared" si="176"/>
        <v>#N/A</v>
      </c>
      <c r="CZ38" s="136" t="str">
        <f t="shared" si="177"/>
        <v/>
      </c>
      <c r="DA38" s="140" t="str">
        <f t="shared" si="178"/>
        <v/>
      </c>
      <c r="DB38" s="39" t="str">
        <f t="shared" si="179"/>
        <v/>
      </c>
      <c r="DC38" s="39" t="str">
        <f t="shared" si="180"/>
        <v/>
      </c>
      <c r="DD38" s="39" t="str">
        <f t="shared" si="181"/>
        <v/>
      </c>
      <c r="DE38" s="39" t="str">
        <f t="shared" si="182"/>
        <v/>
      </c>
      <c r="DF38" s="141" t="str">
        <f t="shared" si="183"/>
        <v/>
      </c>
      <c r="DG38" s="39" t="str">
        <f t="shared" si="184"/>
        <v/>
      </c>
      <c r="DH38" s="39" t="str">
        <f t="shared" si="185"/>
        <v/>
      </c>
      <c r="DI38" s="39" t="str">
        <f t="shared" si="186"/>
        <v/>
      </c>
      <c r="DJ38" s="74" t="str">
        <f t="shared" si="187"/>
        <v/>
      </c>
      <c r="DL38" s="84" t="e">
        <f t="shared" si="188"/>
        <v>#N/A</v>
      </c>
      <c r="DM38" s="39" t="e">
        <f t="shared" si="189"/>
        <v>#N/A</v>
      </c>
      <c r="DN38" s="74" t="e">
        <f t="shared" si="190"/>
        <v>#N/A</v>
      </c>
      <c r="DP38" s="89" t="str">
        <f t="shared" si="102"/>
        <v/>
      </c>
      <c r="DQ38" s="26" t="str">
        <f>IF(AND(Sufficient_data="Yes",Subgroup&lt;&gt;""),IF(COUNTIFS(Input!J$2:J37,"="&amp;"Yes",Input!C$2:C37,"="&amp;"Yes",Input!K$2:K37,"="&amp;Subgroup)&gt;0,"",Subgroup),"")</f>
        <v/>
      </c>
      <c r="DR38" s="7" t="str">
        <f t="shared" si="103"/>
        <v/>
      </c>
      <c r="DS38" s="7" t="str">
        <f t="shared" si="191"/>
        <v/>
      </c>
      <c r="DT38" s="19" t="str">
        <f t="shared" si="192"/>
        <v/>
      </c>
      <c r="DU38" s="12" t="str">
        <f t="shared" si="104"/>
        <v/>
      </c>
      <c r="DV38" s="11" t="str">
        <f t="shared" si="105"/>
        <v/>
      </c>
      <c r="DW38" s="12" t="str">
        <f t="shared" si="193"/>
        <v/>
      </c>
      <c r="DX38" s="12" t="str">
        <f t="shared" si="194"/>
        <v/>
      </c>
      <c r="DY38" s="19" t="str">
        <f t="shared" si="106"/>
        <v/>
      </c>
      <c r="DZ38" s="12" t="str">
        <f t="shared" si="195"/>
        <v/>
      </c>
      <c r="EA38" s="19" t="str">
        <f t="shared" si="196"/>
        <v/>
      </c>
      <c r="EB38" s="7" t="str">
        <f t="shared" si="197"/>
        <v/>
      </c>
      <c r="EC38" s="19" t="str">
        <f t="shared" si="198"/>
        <v/>
      </c>
      <c r="ED38" s="19" t="str">
        <f t="shared" si="199"/>
        <v/>
      </c>
      <c r="EE38" s="19" t="str">
        <f t="shared" si="109"/>
        <v/>
      </c>
      <c r="EF38" s="19" t="str">
        <f t="shared" si="110"/>
        <v/>
      </c>
      <c r="EG38" s="19" t="str">
        <f t="shared" si="111"/>
        <v/>
      </c>
      <c r="EH38" s="19" t="str">
        <f t="shared" si="112"/>
        <v/>
      </c>
      <c r="EI38" s="19" t="str">
        <f t="shared" si="113"/>
        <v/>
      </c>
      <c r="EJ38" s="19" t="str">
        <f t="shared" si="200"/>
        <v/>
      </c>
      <c r="EK38" s="19" t="str">
        <f t="shared" si="201"/>
        <v/>
      </c>
      <c r="EL38" s="19" t="str">
        <f t="shared" si="115"/>
        <v/>
      </c>
      <c r="EM38" s="19" t="str">
        <f t="shared" si="116"/>
        <v/>
      </c>
      <c r="EN38" s="19" t="str">
        <f t="shared" si="117"/>
        <v/>
      </c>
      <c r="EO38" s="19" t="str">
        <f t="shared" si="118"/>
        <v/>
      </c>
      <c r="EP38" s="19" t="str">
        <f t="shared" si="202"/>
        <v/>
      </c>
      <c r="EQ38" s="19" t="e">
        <f t="shared" si="119"/>
        <v>#N/A</v>
      </c>
      <c r="ER38" s="11" t="str">
        <f t="shared" si="120"/>
        <v/>
      </c>
      <c r="ES38" s="19" t="str">
        <f t="shared" si="121"/>
        <v/>
      </c>
      <c r="ET38" s="156" t="str">
        <f t="shared" si="203"/>
        <v/>
      </c>
      <c r="EU38" s="39" t="str">
        <f t="shared" si="204"/>
        <v/>
      </c>
      <c r="EV38" s="74" t="str">
        <f t="shared" si="205"/>
        <v/>
      </c>
      <c r="EX38" s="55" t="s">
        <v>332</v>
      </c>
      <c r="EY38" s="55"/>
      <c r="FA38" s="196"/>
      <c r="FB38" s="84" t="e">
        <f>IF(AND(Include_study?="Yes",Sufficient_data="Yes",Moderator&lt;&gt;""),'Moderator Analysis'!E38,NA())</f>
        <v>#N/A</v>
      </c>
      <c r="FC38" s="39" t="e">
        <f>IF(AND(Include_study?="Yes",Sufficient_data="Yes",Moderator&lt;&gt;""),'Moderator Analysis'!F38,NA())</f>
        <v>#N/A</v>
      </c>
      <c r="FD38" s="39" t="str">
        <f t="shared" si="206"/>
        <v/>
      </c>
      <c r="FE38" s="39" t="str">
        <f t="shared" si="207"/>
        <v/>
      </c>
      <c r="FF38" s="39" t="str">
        <f>IF(AND(Include_study?="Yes",Sufficient_data="Yes",Moderator&lt;&gt;""),'Moderator Analysis'!F:F-FP$2,"")</f>
        <v/>
      </c>
      <c r="FG38" s="39" t="str">
        <f>IF(AND(Include_study?="Yes",Sufficient_data="Yes",Moderator&lt;&gt;""),'Moderator Analysis'!E:E-FP$3,"")</f>
        <v/>
      </c>
      <c r="FH38" s="74" t="str">
        <f>IF(AND(Include_study?="Yes",Sufficient_data="Yes",Moderator&lt;&gt;""),FE:FE*('Moderator Analysis'!F:F-FP$5-FP$4*'Moderator Analysis'!E:E)^2,"")</f>
        <v/>
      </c>
      <c r="FI38" s="128"/>
      <c r="FJ38" s="92" t="str">
        <f t="shared" si="208"/>
        <v/>
      </c>
      <c r="FK38" s="137" t="str">
        <f>IF(AND(Include_study?="Yes",Sufficient_data="Yes",Moderator&lt;&gt;""),'Moderator Analysis'!F:F-'Moderator Analysis'!J$37,"")</f>
        <v/>
      </c>
      <c r="FL38" s="137" t="str">
        <f>IF(AND(Include_study?="Yes",Sufficient_data="Yes",Moderator&lt;&gt;""),'Moderator Analysis'!E:E-SUMPRODUCT('Moderator Analysis'!E:E,FJ:FJ)/SUM(FJ:FJ),"")</f>
        <v/>
      </c>
      <c r="FM38" s="95" t="str">
        <f>IF(AND(Include_study?="Yes",Sufficient_data="Yes",Moderator&lt;&gt;""),FJ:FJ*('Moderator Analysis'!F:F-'Moderator Analysis'!J$29-'Moderator Analysis'!J$30*'Moderator Analysis'!E:E)^2,"")</f>
        <v/>
      </c>
      <c r="FN38" s="21"/>
      <c r="FR38" s="196"/>
      <c r="FS38" s="182"/>
      <c r="FT3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8" s="39" t="str">
        <f>IF(AND(Include_study?="Yes",Sufficient_data="Yes"),1/('Publication Bias Analysis'!F:F^2+IF(Additional_model="Fixed effect",0,Calculations!GH$12)),"")</f>
        <v/>
      </c>
      <c r="FV38" s="39" t="str">
        <f>IF(AND(Include_study?="Yes",Sufficient_data="Yes"),1/('Publication Bias Analysis'!F:F^2+IF(Additional_model="Fixed effect",0,'Publication Bias Analysis'!L$32)),"")</f>
        <v/>
      </c>
      <c r="FW38" s="39" t="str">
        <f>IF(AND(Include_study?="Yes",Sufficient_data="Yes"),'Publication Bias Analysis'!E:E-'Publication Bias Analysis'!I$37,"")</f>
        <v/>
      </c>
      <c r="FX38" s="39" t="str">
        <f>IF(AND(Include_study?="Yes",Sufficient_data="Yes"),IF(Additional_model="Fixed effect",1/'Publication Bias Analysis'!F:F,1/SQRT('Publication Bias Analysis'!F:F^2+GH$12)),"")</f>
        <v/>
      </c>
      <c r="FY3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8" s="136" t="str">
        <f t="shared" si="209"/>
        <v/>
      </c>
      <c r="GA38" s="144" t="str">
        <f>IF(AND(Include_study?="Yes",Sufficient_data="Yes"),FZ:FZ+IF(GL:GL&lt;0,-1,1)*COUNTIF(FZ$2:FZ37,FZ:FZ),"")</f>
        <v/>
      </c>
      <c r="GB38" s="144" t="str">
        <f>IF(AND(Include_study?="Yes",Sufficient_data="Yes"),RANK(GP:GP,GP:GP,1)*IF(GO:GO&lt;0,-1,1)+IF(GO:GO&lt;0,-1,1)*COUNTIF(FZ$2:FZ37,FZ:FZ),"")</f>
        <v/>
      </c>
      <c r="GC38" s="144" t="str">
        <f>IF(AND(Include_study?="Yes",Sufficient_data="Yes"),RANK(GS:GS,GS:GS,1)*IF(GR:GR&lt;0,-1,1)+IF(GR:GR&lt;0,-1,1)*COUNTIF(FZ$2:FZ37,FZ:FZ),"")</f>
        <v/>
      </c>
      <c r="GD38" s="39" t="e">
        <f>IF(AND(Include_study?="Yes",Sufficient_data="Yes"),'Publication Bias Analysis'!E38,NA())</f>
        <v>#N/A</v>
      </c>
      <c r="GE38" s="74" t="e">
        <f>IF(AND(Include_study?="Yes",Sufficient_data="Yes"),'Publication Bias Analysis'!F38,NA())</f>
        <v>#N/A</v>
      </c>
      <c r="GK38" s="176"/>
      <c r="GL3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8" s="39" t="str">
        <f t="shared" si="210"/>
        <v/>
      </c>
      <c r="GN3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8" s="39" t="str">
        <f>IF(AND(Include_study?="Yes",Sufficient_data="Yes"),IF('Publication Bias Analysis'!L$38="Left",'Publication Bias Analysis'!E:E-GW$3,GW$3-'Publication Bias Analysis'!E:E),"")</f>
        <v/>
      </c>
      <c r="GP38" s="39" t="str">
        <f t="shared" si="211"/>
        <v/>
      </c>
      <c r="GQ3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8" s="39" t="str">
        <f>IF(AND(Include_study?="Yes",Sufficient_data="Yes"),IF('Publication Bias Analysis'!L$38="Left",'Publication Bias Analysis'!E:E-GW$10,GW$10-'Publication Bias Analysis'!E:E),"")</f>
        <v/>
      </c>
      <c r="GS38" s="39" t="str">
        <f t="shared" si="212"/>
        <v/>
      </c>
      <c r="GT3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V38"/>
      <c r="GW38"/>
      <c r="GX38"/>
      <c r="GY38" s="89">
        <v>37</v>
      </c>
      <c r="GZ38" s="7" t="str">
        <f>IF(Trim_and_fill="On",IF(GW$21&gt;(COUNT(GZ$2:GZ37)),IF(COUNTIF(GA:GA,-1*(MAX(GA:GA)-GY38+1))=1,"",MAX(GA:GA)-GY38+1),""),"")</f>
        <v/>
      </c>
      <c r="HA38" s="69" t="str">
        <f t="shared" si="84"/>
        <v/>
      </c>
      <c r="HB38" s="69" t="str">
        <f t="shared" si="85"/>
        <v/>
      </c>
      <c r="HC38" s="69" t="str">
        <f t="shared" si="86"/>
        <v/>
      </c>
      <c r="HD38" s="39" t="str">
        <f>IF(GZ38&lt;&gt;"",1/(HB38^2+'Publication Bias Analysis'!L$32),"")</f>
        <v/>
      </c>
      <c r="HE38" s="74" t="str">
        <f>IF(GZ38&lt;&gt;"",HA:HA-'Publication Bias Analysis'!I$37,"")</f>
        <v/>
      </c>
      <c r="HF38" s="45"/>
      <c r="HG38" s="89">
        <v>37</v>
      </c>
      <c r="HH38" s="69" t="e">
        <f t="shared" si="87"/>
        <v>#N/A</v>
      </c>
      <c r="HI38" s="74" t="e">
        <f t="shared" si="88"/>
        <v>#N/A</v>
      </c>
      <c r="HK38" s="176"/>
      <c r="HL38" s="66" t="str">
        <f t="shared" si="89"/>
        <v/>
      </c>
      <c r="HM38" s="74" t="str">
        <f>IF(AND(Include_study?="Yes",Sufficient_data="Yes"),Z_score-('Publication Bias Analysis'!P$3+'Publication Bias Analysis'!P$4*Inverse_standard_error),"")</f>
        <v/>
      </c>
      <c r="HO38" s="176"/>
      <c r="HP38" s="64" t="str">
        <f>IF(AND(Include_study?="Yes",Sufficient_data="Yes"),(GD:GD-SUMPRODUCT(Calculations!FT:FT,'Publication Bias Analysis'!E:E)/SUM(Calculations!FT:FT))/SQRT(Calculations!HQ:HQ),"")</f>
        <v/>
      </c>
      <c r="HQ38" s="64" t="str">
        <f>IF(AND(Include_study?="Yes",Sufficient_data="Yes"),GE:GE^2-1/SUM(Calculations!FT:FT),"")</f>
        <v/>
      </c>
      <c r="HR38" s="7" t="str">
        <f t="shared" si="213"/>
        <v/>
      </c>
      <c r="HS38" s="7" t="str">
        <f t="shared" si="214"/>
        <v/>
      </c>
      <c r="HT38" s="7" t="str">
        <f>IF(AND(Include_study?="Yes",Sufficient_data="Yes"),COUNTIFS(HR$2:HR37,"&lt;"&amp;HR38,HS$2:HS37,"&lt;"&amp;HS38)+COUNTIFS(HR39:HR$201,"&lt;"&amp;HR38,HS39:HS$201,"&lt;"&amp;HS38)+COUNTIFS(HR$2:HR37,"&gt;"&amp;HR38,HS$2:HS37,"&gt;"&amp;HS38)+COUNTIFS(HR39:HR$201,"&gt;"&amp;HR38,HS39:HS$201,"&gt;"&amp;HS38),"")</f>
        <v/>
      </c>
      <c r="HU38" s="104" t="str">
        <f>IF(AND(Include_study?="Yes",Sufficient_data="Yes"),COUNTIFS(HR$2:HR37,"&lt;"&amp;HR38,HS$2:HS37,"&gt;"&amp;HS38)+COUNTIFS(HR39:HR$201,"&lt;"&amp;HR38,HS39:HS$201,"&gt;"&amp;HS38)+COUNTIFS(HR$2:HR37,"&gt;"&amp;HR38,HS$2:HS37,"&lt;"&amp;HS38)+COUNTIFS(HR39:HR$201,"&gt;"&amp;HR38,HS39:HS$201,"&lt;"&amp;HS38),"")</f>
        <v/>
      </c>
      <c r="HW38" s="176"/>
      <c r="IB38" s="176"/>
      <c r="IC38" s="146" t="e">
        <f t="shared" si="215"/>
        <v>#N/A</v>
      </c>
      <c r="ID38" s="137" t="e">
        <f t="shared" si="216"/>
        <v>#N/A</v>
      </c>
      <c r="IE38" s="137" t="str">
        <f t="shared" si="217"/>
        <v/>
      </c>
      <c r="IF38" s="95" t="str">
        <f t="shared" si="218"/>
        <v/>
      </c>
      <c r="IK38" s="176"/>
      <c r="IL38" s="3" t="e">
        <f>IF(AND(Include_study?="Yes",Sufficient_data="Yes"),'Publication Bias Analysis'!AV:AV,NA())</f>
        <v>#N/A</v>
      </c>
      <c r="IM38" s="158" t="e">
        <f>IF(AND(Sufficient_data="Yes",Include_study?="Yes"),'Publication Bias Analysis'!AU:AU,NA())</f>
        <v>#N/A</v>
      </c>
      <c r="IN38" s="62" t="str">
        <f t="shared" si="219"/>
        <v/>
      </c>
      <c r="IO38" s="74" t="str">
        <f>IF(AND(Include_study?="Yes",Sufficient_data="Yes"),Z_score-('Publication Bias Analysis'!AY$30+'Publication Bias Analysis'!AY$31*Inverse_standard_error),"")</f>
        <v/>
      </c>
      <c r="IU38" s="176"/>
      <c r="IV38" s="7" t="str">
        <f>IF('Publication Bias Analysis'!BG:BG&lt;&gt;"",RANK('Publication Bias Analysis'!BG:BG,'Publication Bias Analysis'!BG:BG,1)+COUNTIF('Publication Bias Analysis'!BG$2:BG37,'Publication Bias Analysis'!BG38),"")</f>
        <v/>
      </c>
      <c r="IW38" s="124" t="str">
        <f t="shared" si="220"/>
        <v/>
      </c>
      <c r="IX38" s="125" t="e">
        <f>IF('Publication Bias Analysis'!BF38&lt;&gt;"",'Publication Bias Analysis'!BF38,NA())</f>
        <v>#N/A</v>
      </c>
      <c r="IY38" s="125" t="e">
        <f>IF('Publication Bias Analysis'!BG38&lt;&gt;"",'Publication Bias Analysis'!BG38,NA())</f>
        <v>#N/A</v>
      </c>
      <c r="IZ38" s="62" t="str">
        <f>IF(AND(Include_study?="Yes",Sufficient_data="Yes"),'Publication Bias Analysis'!BF:BF-AVERAGE('Publication Bias Analysis'!BF:BF),"")</f>
        <v/>
      </c>
      <c r="JA38" s="74" t="str">
        <f>IF(AND(Include_study?="Yes",Sufficient_data="Yes"),'Publication Bias Analysis'!BG:BG-('Publication Bias Analysis'!BJ$30+'Publication Bias Analysis'!BJ$31*'Publication Bias Analysis'!BF:BF),"")</f>
        <v/>
      </c>
      <c r="JG38" s="176"/>
      <c r="JH38" s="39" t="str">
        <f t="shared" si="221"/>
        <v/>
      </c>
      <c r="JI38" s="148" t="str">
        <f t="shared" si="124"/>
        <v/>
      </c>
      <c r="JJ38" s="74" t="str">
        <f t="shared" si="125"/>
        <v/>
      </c>
    </row>
    <row r="39" spans="1:270" x14ac:dyDescent="0.2">
      <c r="A39" s="2" t="str">
        <f t="shared" si="126"/>
        <v/>
      </c>
      <c r="B39" s="7" t="str">
        <f>IF(AND(Include_study?="Yes",Sufficient_data="Yes"),IF(Input!a_&lt;&gt;"",Input!a_,Input!n1_-Input!b_),"")</f>
        <v/>
      </c>
      <c r="C39" s="7" t="str">
        <f>IF(AND(Include_study?="Yes",Sufficient_data="Yes"),IF(Input!b_&lt;&gt;"",Input!b_,Input!n1_-Input!a_),"")</f>
        <v/>
      </c>
      <c r="D39" s="7" t="str">
        <f>IF(AND(Include_study?="Yes",Sufficient_data="Yes"),IF(Input!c_&lt;&gt;"",Input!c_,Input!n2_-Input!d_),"")</f>
        <v/>
      </c>
      <c r="E39" s="7" t="str">
        <f>IF(AND(Include_study?="Yes",Sufficient_data="Yes"),IF(Input!d_&lt;&gt;"",Input!d_,Input!n2_-Input!c_),"")</f>
        <v/>
      </c>
      <c r="F39" s="74" t="str">
        <f t="shared" si="127"/>
        <v/>
      </c>
      <c r="H39" s="196"/>
      <c r="I39" s="182"/>
      <c r="J39" s="146" t="str">
        <f t="shared" si="2"/>
        <v/>
      </c>
      <c r="K39" s="39" t="str">
        <f t="shared" si="128"/>
        <v/>
      </c>
      <c r="L39" s="39" t="str">
        <f t="shared" si="129"/>
        <v/>
      </c>
      <c r="M39" s="39" t="str">
        <f t="shared" si="130"/>
        <v/>
      </c>
      <c r="N39" s="74" t="str">
        <f t="shared" si="131"/>
        <v/>
      </c>
      <c r="P39" s="176"/>
      <c r="Q39" s="130" t="str">
        <f t="shared" si="132"/>
        <v/>
      </c>
      <c r="R39" s="39" t="str">
        <f t="shared" si="133"/>
        <v/>
      </c>
      <c r="S39" s="39" t="str">
        <f t="shared" si="134"/>
        <v/>
      </c>
      <c r="T39" s="74" t="str">
        <f t="shared" si="135"/>
        <v/>
      </c>
      <c r="V39" s="176"/>
      <c r="W39" s="130" t="str">
        <f t="shared" si="136"/>
        <v/>
      </c>
      <c r="X39" s="39" t="str">
        <f t="shared" si="137"/>
        <v/>
      </c>
      <c r="Y39" s="39" t="str">
        <f t="shared" si="138"/>
        <v/>
      </c>
      <c r="Z39" s="74" t="str">
        <f t="shared" si="139"/>
        <v/>
      </c>
      <c r="AB39" s="176"/>
      <c r="AC39" s="130" t="str">
        <f t="shared" si="140"/>
        <v/>
      </c>
      <c r="AD39" s="39" t="str">
        <f t="shared" si="141"/>
        <v/>
      </c>
      <c r="AE39" s="39" t="str">
        <f t="shared" si="142"/>
        <v/>
      </c>
      <c r="AF39" s="39" t="str">
        <f t="shared" si="143"/>
        <v/>
      </c>
      <c r="AG39" s="74" t="str">
        <f t="shared" si="144"/>
        <v/>
      </c>
      <c r="AI39" s="196"/>
      <c r="AJ3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39" s="136" t="str">
        <f>IF(AJ39&lt;&gt;"",IF(AJ39=0,COUNTIF(AJ$2:AJ38,0)+1,COUNTIF(AJ$2:AJ38,AJ39)+AJ39+COUNTIF(AJ:AJ,0)),"")</f>
        <v/>
      </c>
      <c r="AL39" s="136" t="str">
        <f t="shared" si="20"/>
        <v/>
      </c>
      <c r="AM39" s="155" t="str">
        <f>IF(AND(Include_study?="Yes",Sufficient_data="Yes",Input!Study_name&lt;&gt;""),Input!Study_name,"")</f>
        <v/>
      </c>
      <c r="AN39" s="136" t="str">
        <f t="shared" si="21"/>
        <v/>
      </c>
      <c r="AO39" s="19" t="str">
        <f t="shared" si="145"/>
        <v/>
      </c>
      <c r="AP39" s="158" t="str">
        <f t="shared" si="146"/>
        <v/>
      </c>
      <c r="AQ39" s="158" t="str">
        <f t="shared" si="147"/>
        <v/>
      </c>
      <c r="AR39" s="39" t="str">
        <f t="shared" si="148"/>
        <v/>
      </c>
      <c r="AS39" s="158" t="str">
        <f t="shared" si="149"/>
        <v/>
      </c>
      <c r="AT39" s="39" t="str">
        <f t="shared" si="150"/>
        <v/>
      </c>
      <c r="AU39" s="172" t="str">
        <f t="shared" si="151"/>
        <v/>
      </c>
      <c r="AW39" s="84" t="e">
        <f t="shared" si="152"/>
        <v>#N/A</v>
      </c>
      <c r="AX39" s="3" t="e">
        <f t="shared" si="153"/>
        <v>#N/A</v>
      </c>
      <c r="AY39" s="74" t="e">
        <f t="shared" si="154"/>
        <v>#N/A</v>
      </c>
      <c r="BD39" s="196"/>
      <c r="BE39" s="182"/>
      <c r="BF39" s="3" t="str">
        <f t="shared" si="155"/>
        <v/>
      </c>
      <c r="BG39" s="3" t="str">
        <f t="shared" si="156"/>
        <v/>
      </c>
      <c r="BH39" s="3" t="str">
        <f t="shared" si="157"/>
        <v/>
      </c>
      <c r="BI39" s="39" t="str">
        <f t="shared" si="158"/>
        <v/>
      </c>
      <c r="BJ39" s="95" t="str">
        <f t="shared" si="159"/>
        <v/>
      </c>
      <c r="BO39" s="176"/>
      <c r="BP39" s="158" t="str">
        <f t="shared" si="160"/>
        <v/>
      </c>
      <c r="BQ39" s="158" t="str">
        <f t="shared" si="161"/>
        <v/>
      </c>
      <c r="BR39" s="158" t="str">
        <f t="shared" si="162"/>
        <v/>
      </c>
      <c r="BS39" s="158" t="str">
        <f>IF(AND(Sufficient_data="Yes",Include_study?="Yes"),IF(Add_0_5="Yes",(a_+d_+1)*(ab_+0.5)*(c_+0.5)/(Number_of_subjects+2)^2,(a_+d_)*b_*c_/Number_of_subjects^2),"")</f>
        <v/>
      </c>
      <c r="BT39" s="158" t="str">
        <f t="shared" si="163"/>
        <v/>
      </c>
      <c r="BU39" s="158" t="str">
        <f t="shared" si="164"/>
        <v/>
      </c>
      <c r="BV39" s="158" t="str">
        <f t="shared" si="165"/>
        <v/>
      </c>
      <c r="BW39" s="3" t="str">
        <f t="shared" si="166"/>
        <v/>
      </c>
      <c r="BX39" s="137" t="str">
        <f t="shared" si="167"/>
        <v/>
      </c>
      <c r="BY39" s="95" t="str">
        <f t="shared" si="168"/>
        <v/>
      </c>
      <c r="CD39" s="176"/>
      <c r="CE39" s="130" t="str">
        <f t="shared" si="169"/>
        <v/>
      </c>
      <c r="CF39" s="39" t="str">
        <f t="shared" si="170"/>
        <v/>
      </c>
      <c r="CG39" s="39" t="str">
        <f t="shared" si="171"/>
        <v/>
      </c>
      <c r="CH39" s="39" t="str">
        <f t="shared" si="172"/>
        <v/>
      </c>
      <c r="CI39" s="39" t="str">
        <f t="shared" si="173"/>
        <v/>
      </c>
      <c r="CJ39" s="39" t="str">
        <f t="shared" si="50"/>
        <v/>
      </c>
      <c r="CK39" s="95" t="str">
        <f t="shared" si="174"/>
        <v/>
      </c>
      <c r="CP39" s="176"/>
      <c r="CQ39" s="99" t="str">
        <f t="shared" si="175"/>
        <v/>
      </c>
      <c r="CX39" s="196"/>
      <c r="CY39" s="89" t="e">
        <f t="shared" si="176"/>
        <v>#N/A</v>
      </c>
      <c r="CZ39" s="136" t="str">
        <f t="shared" si="177"/>
        <v/>
      </c>
      <c r="DA39" s="140" t="str">
        <f t="shared" si="178"/>
        <v/>
      </c>
      <c r="DB39" s="39" t="str">
        <f t="shared" si="179"/>
        <v/>
      </c>
      <c r="DC39" s="39" t="str">
        <f t="shared" si="180"/>
        <v/>
      </c>
      <c r="DD39" s="39" t="str">
        <f t="shared" si="181"/>
        <v/>
      </c>
      <c r="DE39" s="39" t="str">
        <f t="shared" si="182"/>
        <v/>
      </c>
      <c r="DF39" s="141" t="str">
        <f t="shared" si="183"/>
        <v/>
      </c>
      <c r="DG39" s="39" t="str">
        <f t="shared" si="184"/>
        <v/>
      </c>
      <c r="DH39" s="39" t="str">
        <f t="shared" si="185"/>
        <v/>
      </c>
      <c r="DI39" s="39" t="str">
        <f t="shared" si="186"/>
        <v/>
      </c>
      <c r="DJ39" s="74" t="str">
        <f t="shared" si="187"/>
        <v/>
      </c>
      <c r="DL39" s="84" t="e">
        <f t="shared" si="188"/>
        <v>#N/A</v>
      </c>
      <c r="DM39" s="39" t="e">
        <f t="shared" si="189"/>
        <v>#N/A</v>
      </c>
      <c r="DN39" s="74" t="e">
        <f t="shared" si="190"/>
        <v>#N/A</v>
      </c>
      <c r="DP39" s="89" t="str">
        <f t="shared" si="102"/>
        <v/>
      </c>
      <c r="DQ39" s="26" t="str">
        <f>IF(AND(Sufficient_data="Yes",Subgroup&lt;&gt;""),IF(COUNTIFS(Input!J$2:J38,"="&amp;"Yes",Input!C$2:C38,"="&amp;"Yes",Input!K$2:K38,"="&amp;Subgroup)&gt;0,"",Subgroup),"")</f>
        <v/>
      </c>
      <c r="DR39" s="7" t="str">
        <f t="shared" si="103"/>
        <v/>
      </c>
      <c r="DS39" s="7" t="str">
        <f t="shared" si="191"/>
        <v/>
      </c>
      <c r="DT39" s="19" t="str">
        <f t="shared" si="192"/>
        <v/>
      </c>
      <c r="DU39" s="12" t="str">
        <f t="shared" si="104"/>
        <v/>
      </c>
      <c r="DV39" s="11" t="str">
        <f t="shared" si="105"/>
        <v/>
      </c>
      <c r="DW39" s="12" t="str">
        <f t="shared" si="193"/>
        <v/>
      </c>
      <c r="DX39" s="12" t="str">
        <f t="shared" si="194"/>
        <v/>
      </c>
      <c r="DY39" s="19" t="str">
        <f t="shared" si="106"/>
        <v/>
      </c>
      <c r="DZ39" s="12" t="str">
        <f t="shared" si="195"/>
        <v/>
      </c>
      <c r="EA39" s="19" t="str">
        <f t="shared" si="196"/>
        <v/>
      </c>
      <c r="EB39" s="7" t="str">
        <f t="shared" si="197"/>
        <v/>
      </c>
      <c r="EC39" s="19" t="str">
        <f t="shared" si="198"/>
        <v/>
      </c>
      <c r="ED39" s="19" t="str">
        <f t="shared" si="199"/>
        <v/>
      </c>
      <c r="EE39" s="19" t="str">
        <f t="shared" si="109"/>
        <v/>
      </c>
      <c r="EF39" s="19" t="str">
        <f t="shared" si="110"/>
        <v/>
      </c>
      <c r="EG39" s="19" t="str">
        <f t="shared" si="111"/>
        <v/>
      </c>
      <c r="EH39" s="19" t="str">
        <f t="shared" si="112"/>
        <v/>
      </c>
      <c r="EI39" s="19" t="str">
        <f t="shared" si="113"/>
        <v/>
      </c>
      <c r="EJ39" s="19" t="str">
        <f t="shared" si="200"/>
        <v/>
      </c>
      <c r="EK39" s="19" t="str">
        <f t="shared" si="201"/>
        <v/>
      </c>
      <c r="EL39" s="19" t="str">
        <f t="shared" si="115"/>
        <v/>
      </c>
      <c r="EM39" s="19" t="str">
        <f t="shared" si="116"/>
        <v/>
      </c>
      <c r="EN39" s="19" t="str">
        <f t="shared" si="117"/>
        <v/>
      </c>
      <c r="EO39" s="19" t="str">
        <f t="shared" si="118"/>
        <v/>
      </c>
      <c r="EP39" s="19" t="str">
        <f t="shared" si="202"/>
        <v/>
      </c>
      <c r="EQ39" s="19" t="e">
        <f t="shared" si="119"/>
        <v>#N/A</v>
      </c>
      <c r="ER39" s="11" t="str">
        <f t="shared" si="120"/>
        <v/>
      </c>
      <c r="ES39" s="19" t="str">
        <f t="shared" si="121"/>
        <v/>
      </c>
      <c r="ET39" s="156" t="str">
        <f t="shared" si="203"/>
        <v/>
      </c>
      <c r="EU39" s="39" t="str">
        <f t="shared" si="204"/>
        <v/>
      </c>
      <c r="EV39" s="74" t="str">
        <f t="shared" si="205"/>
        <v/>
      </c>
      <c r="EX39" s="55" t="s">
        <v>283</v>
      </c>
      <c r="EY39" s="55"/>
      <c r="FA39" s="196"/>
      <c r="FB39" s="84" t="e">
        <f>IF(AND(Include_study?="Yes",Sufficient_data="Yes",Moderator&lt;&gt;""),'Moderator Analysis'!E39,NA())</f>
        <v>#N/A</v>
      </c>
      <c r="FC39" s="39" t="e">
        <f>IF(AND(Include_study?="Yes",Sufficient_data="Yes",Moderator&lt;&gt;""),'Moderator Analysis'!F39,NA())</f>
        <v>#N/A</v>
      </c>
      <c r="FD39" s="39" t="str">
        <f t="shared" si="206"/>
        <v/>
      </c>
      <c r="FE39" s="39" t="str">
        <f t="shared" si="207"/>
        <v/>
      </c>
      <c r="FF39" s="39" t="str">
        <f>IF(AND(Include_study?="Yes",Sufficient_data="Yes",Moderator&lt;&gt;""),'Moderator Analysis'!F:F-FP$2,"")</f>
        <v/>
      </c>
      <c r="FG39" s="39" t="str">
        <f>IF(AND(Include_study?="Yes",Sufficient_data="Yes",Moderator&lt;&gt;""),'Moderator Analysis'!E:E-FP$3,"")</f>
        <v/>
      </c>
      <c r="FH39" s="74" t="str">
        <f>IF(AND(Include_study?="Yes",Sufficient_data="Yes",Moderator&lt;&gt;""),FE:FE*('Moderator Analysis'!F:F-FP$5-FP$4*'Moderator Analysis'!E:E)^2,"")</f>
        <v/>
      </c>
      <c r="FI39" s="128"/>
      <c r="FJ39" s="92" t="str">
        <f t="shared" si="208"/>
        <v/>
      </c>
      <c r="FK39" s="137" t="str">
        <f>IF(AND(Include_study?="Yes",Sufficient_data="Yes",Moderator&lt;&gt;""),'Moderator Analysis'!F:F-'Moderator Analysis'!J$37,"")</f>
        <v/>
      </c>
      <c r="FL39" s="137" t="str">
        <f>IF(AND(Include_study?="Yes",Sufficient_data="Yes",Moderator&lt;&gt;""),'Moderator Analysis'!E:E-SUMPRODUCT('Moderator Analysis'!E:E,FJ:FJ)/SUM(FJ:FJ),"")</f>
        <v/>
      </c>
      <c r="FM39" s="95" t="str">
        <f>IF(AND(Include_study?="Yes",Sufficient_data="Yes",Moderator&lt;&gt;""),FJ:FJ*('Moderator Analysis'!F:F-'Moderator Analysis'!J$29-'Moderator Analysis'!J$30*'Moderator Analysis'!E:E)^2,"")</f>
        <v/>
      </c>
      <c r="FN39" s="21"/>
      <c r="FR39" s="196"/>
      <c r="FS39" s="182"/>
      <c r="FT3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39" s="39" t="str">
        <f>IF(AND(Include_study?="Yes",Sufficient_data="Yes"),1/('Publication Bias Analysis'!F:F^2+IF(Additional_model="Fixed effect",0,Calculations!GH$12)),"")</f>
        <v/>
      </c>
      <c r="FV39" s="39" t="str">
        <f>IF(AND(Include_study?="Yes",Sufficient_data="Yes"),1/('Publication Bias Analysis'!F:F^2+IF(Additional_model="Fixed effect",0,'Publication Bias Analysis'!L$32)),"")</f>
        <v/>
      </c>
      <c r="FW39" s="39" t="str">
        <f>IF(AND(Include_study?="Yes",Sufficient_data="Yes"),'Publication Bias Analysis'!E:E-'Publication Bias Analysis'!I$37,"")</f>
        <v/>
      </c>
      <c r="FX39" s="39" t="str">
        <f>IF(AND(Include_study?="Yes",Sufficient_data="Yes"),IF(Additional_model="Fixed effect",1/'Publication Bias Analysis'!F:F,1/SQRT('Publication Bias Analysis'!F:F^2+GH$12)),"")</f>
        <v/>
      </c>
      <c r="FY3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39" s="136" t="str">
        <f t="shared" si="209"/>
        <v/>
      </c>
      <c r="GA39" s="144" t="str">
        <f>IF(AND(Include_study?="Yes",Sufficient_data="Yes"),FZ:FZ+IF(GL:GL&lt;0,-1,1)*COUNTIF(FZ$2:FZ38,FZ:FZ),"")</f>
        <v/>
      </c>
      <c r="GB39" s="144" t="str">
        <f>IF(AND(Include_study?="Yes",Sufficient_data="Yes"),RANK(GP:GP,GP:GP,1)*IF(GO:GO&lt;0,-1,1)+IF(GO:GO&lt;0,-1,1)*COUNTIF(FZ$2:FZ38,FZ:FZ),"")</f>
        <v/>
      </c>
      <c r="GC39" s="144" t="str">
        <f>IF(AND(Include_study?="Yes",Sufficient_data="Yes"),RANK(GS:GS,GS:GS,1)*IF(GR:GR&lt;0,-1,1)+IF(GR:GR&lt;0,-1,1)*COUNTIF(FZ$2:FZ38,FZ:FZ),"")</f>
        <v/>
      </c>
      <c r="GD39" s="39" t="e">
        <f>IF(AND(Include_study?="Yes",Sufficient_data="Yes"),'Publication Bias Analysis'!E39,NA())</f>
        <v>#N/A</v>
      </c>
      <c r="GE39" s="74" t="e">
        <f>IF(AND(Include_study?="Yes",Sufficient_data="Yes"),'Publication Bias Analysis'!F39,NA())</f>
        <v>#N/A</v>
      </c>
      <c r="GK39" s="176"/>
      <c r="GL3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39" s="39" t="str">
        <f t="shared" si="210"/>
        <v/>
      </c>
      <c r="GN3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39" s="39" t="str">
        <f>IF(AND(Include_study?="Yes",Sufficient_data="Yes"),IF('Publication Bias Analysis'!L$38="Left",'Publication Bias Analysis'!E:E-GW$3,GW$3-'Publication Bias Analysis'!E:E),"")</f>
        <v/>
      </c>
      <c r="GP39" s="39" t="str">
        <f t="shared" si="211"/>
        <v/>
      </c>
      <c r="GQ3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39" s="39" t="str">
        <f>IF(AND(Include_study?="Yes",Sufficient_data="Yes"),IF('Publication Bias Analysis'!L$38="Left",'Publication Bias Analysis'!E:E-GW$10,GW$10-'Publication Bias Analysis'!E:E),"")</f>
        <v/>
      </c>
      <c r="GS39" s="39" t="str">
        <f t="shared" si="212"/>
        <v/>
      </c>
      <c r="GT3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X39"/>
      <c r="GY39" s="89">
        <v>38</v>
      </c>
      <c r="GZ39" s="7" t="str">
        <f>IF(Trim_and_fill="On",IF(GW$21&gt;(COUNT(GZ$2:GZ38)),IF(COUNTIF(GA:GA,-1*(MAX(GA:GA)-GY39+1))=1,"",MAX(GA:GA)-GY39+1),""),"")</f>
        <v/>
      </c>
      <c r="HA39" s="69" t="str">
        <f t="shared" si="84"/>
        <v/>
      </c>
      <c r="HB39" s="69" t="str">
        <f t="shared" si="85"/>
        <v/>
      </c>
      <c r="HC39" s="69" t="str">
        <f t="shared" si="86"/>
        <v/>
      </c>
      <c r="HD39" s="39" t="str">
        <f>IF(GZ39&lt;&gt;"",1/(HB39^2+'Publication Bias Analysis'!L$32),"")</f>
        <v/>
      </c>
      <c r="HE39" s="74" t="str">
        <f>IF(GZ39&lt;&gt;"",HA:HA-'Publication Bias Analysis'!I$37,"")</f>
        <v/>
      </c>
      <c r="HF39" s="45"/>
      <c r="HG39" s="89">
        <v>38</v>
      </c>
      <c r="HH39" s="69" t="e">
        <f t="shared" si="87"/>
        <v>#N/A</v>
      </c>
      <c r="HI39" s="74" t="e">
        <f t="shared" si="88"/>
        <v>#N/A</v>
      </c>
      <c r="HK39" s="176"/>
      <c r="HL39" s="66" t="str">
        <f t="shared" si="89"/>
        <v/>
      </c>
      <c r="HM39" s="74" t="str">
        <f>IF(AND(Include_study?="Yes",Sufficient_data="Yes"),Z_score-('Publication Bias Analysis'!P$3+'Publication Bias Analysis'!P$4*Inverse_standard_error),"")</f>
        <v/>
      </c>
      <c r="HO39" s="176"/>
      <c r="HP39" s="64" t="str">
        <f>IF(AND(Include_study?="Yes",Sufficient_data="Yes"),(GD:GD-SUMPRODUCT(Calculations!FT:FT,'Publication Bias Analysis'!E:E)/SUM(Calculations!FT:FT))/SQRT(Calculations!HQ:HQ),"")</f>
        <v/>
      </c>
      <c r="HQ39" s="64" t="str">
        <f>IF(AND(Include_study?="Yes",Sufficient_data="Yes"),GE:GE^2-1/SUM(Calculations!FT:FT),"")</f>
        <v/>
      </c>
      <c r="HR39" s="7" t="str">
        <f t="shared" si="213"/>
        <v/>
      </c>
      <c r="HS39" s="7" t="str">
        <f t="shared" si="214"/>
        <v/>
      </c>
      <c r="HT39" s="7" t="str">
        <f>IF(AND(Include_study?="Yes",Sufficient_data="Yes"),COUNTIFS(HR$2:HR38,"&lt;"&amp;HR39,HS$2:HS38,"&lt;"&amp;HS39)+COUNTIFS(HR40:HR$201,"&lt;"&amp;HR39,HS40:HS$201,"&lt;"&amp;HS39)+COUNTIFS(HR$2:HR38,"&gt;"&amp;HR39,HS$2:HS38,"&gt;"&amp;HS39)+COUNTIFS(HR40:HR$201,"&gt;"&amp;HR39,HS40:HS$201,"&gt;"&amp;HS39),"")</f>
        <v/>
      </c>
      <c r="HU39" s="104" t="str">
        <f>IF(AND(Include_study?="Yes",Sufficient_data="Yes"),COUNTIFS(HR$2:HR38,"&lt;"&amp;HR39,HS$2:HS38,"&gt;"&amp;HS39)+COUNTIFS(HR40:HR$201,"&lt;"&amp;HR39,HS40:HS$201,"&gt;"&amp;HS39)+COUNTIFS(HR$2:HR38,"&gt;"&amp;HR39,HS$2:HS38,"&lt;"&amp;HS39)+COUNTIFS(HR40:HR$201,"&gt;"&amp;HR39,HS40:HS$201,"&lt;"&amp;HS39),"")</f>
        <v/>
      </c>
      <c r="HW39" s="176"/>
      <c r="IB39" s="176"/>
      <c r="IC39" s="146" t="e">
        <f t="shared" si="215"/>
        <v>#N/A</v>
      </c>
      <c r="ID39" s="137" t="e">
        <f t="shared" si="216"/>
        <v>#N/A</v>
      </c>
      <c r="IE39" s="137" t="str">
        <f t="shared" si="217"/>
        <v/>
      </c>
      <c r="IF39" s="95" t="str">
        <f t="shared" si="218"/>
        <v/>
      </c>
      <c r="IK39" s="176"/>
      <c r="IL39" s="3" t="e">
        <f>IF(AND(Include_study?="Yes",Sufficient_data="Yes"),'Publication Bias Analysis'!AV:AV,NA())</f>
        <v>#N/A</v>
      </c>
      <c r="IM39" s="158" t="e">
        <f>IF(AND(Sufficient_data="Yes",Include_study?="Yes"),'Publication Bias Analysis'!AU:AU,NA())</f>
        <v>#N/A</v>
      </c>
      <c r="IN39" s="62" t="str">
        <f t="shared" si="219"/>
        <v/>
      </c>
      <c r="IO39" s="74" t="str">
        <f>IF(AND(Include_study?="Yes",Sufficient_data="Yes"),Z_score-('Publication Bias Analysis'!AY$30+'Publication Bias Analysis'!AY$31*Inverse_standard_error),"")</f>
        <v/>
      </c>
      <c r="IU39" s="176"/>
      <c r="IV39" s="7" t="str">
        <f>IF('Publication Bias Analysis'!BG:BG&lt;&gt;"",RANK('Publication Bias Analysis'!BG:BG,'Publication Bias Analysis'!BG:BG,1)+COUNTIF('Publication Bias Analysis'!BG$2:BG38,'Publication Bias Analysis'!BG39),"")</f>
        <v/>
      </c>
      <c r="IW39" s="124" t="str">
        <f t="shared" si="220"/>
        <v/>
      </c>
      <c r="IX39" s="125" t="e">
        <f>IF('Publication Bias Analysis'!BF39&lt;&gt;"",'Publication Bias Analysis'!BF39,NA())</f>
        <v>#N/A</v>
      </c>
      <c r="IY39" s="125" t="e">
        <f>IF('Publication Bias Analysis'!BG39&lt;&gt;"",'Publication Bias Analysis'!BG39,NA())</f>
        <v>#N/A</v>
      </c>
      <c r="IZ39" s="62" t="str">
        <f>IF(AND(Include_study?="Yes",Sufficient_data="Yes"),'Publication Bias Analysis'!BF:BF-AVERAGE('Publication Bias Analysis'!BF:BF),"")</f>
        <v/>
      </c>
      <c r="JA39" s="74" t="str">
        <f>IF(AND(Include_study?="Yes",Sufficient_data="Yes"),'Publication Bias Analysis'!BG:BG-('Publication Bias Analysis'!BJ$30+'Publication Bias Analysis'!BJ$31*'Publication Bias Analysis'!BF:BF),"")</f>
        <v/>
      </c>
      <c r="JG39" s="176"/>
      <c r="JH39" s="39" t="str">
        <f t="shared" si="221"/>
        <v/>
      </c>
      <c r="JI39" s="148" t="str">
        <f t="shared" si="124"/>
        <v/>
      </c>
      <c r="JJ39" s="74" t="str">
        <f t="shared" si="125"/>
        <v/>
      </c>
    </row>
    <row r="40" spans="1:270" x14ac:dyDescent="0.2">
      <c r="A40" s="2" t="str">
        <f t="shared" si="126"/>
        <v/>
      </c>
      <c r="B40" s="7" t="str">
        <f>IF(AND(Include_study?="Yes",Sufficient_data="Yes"),IF(Input!a_&lt;&gt;"",Input!a_,Input!n1_-Input!b_),"")</f>
        <v/>
      </c>
      <c r="C40" s="7" t="str">
        <f>IF(AND(Include_study?="Yes",Sufficient_data="Yes"),IF(Input!b_&lt;&gt;"",Input!b_,Input!n1_-Input!a_),"")</f>
        <v/>
      </c>
      <c r="D40" s="7" t="str">
        <f>IF(AND(Include_study?="Yes",Sufficient_data="Yes"),IF(Input!c_&lt;&gt;"",Input!c_,Input!n2_-Input!d_),"")</f>
        <v/>
      </c>
      <c r="E40" s="7" t="str">
        <f>IF(AND(Include_study?="Yes",Sufficient_data="Yes"),IF(Input!d_&lt;&gt;"",Input!d_,Input!n2_-Input!c_),"")</f>
        <v/>
      </c>
      <c r="F40" s="74" t="str">
        <f t="shared" si="127"/>
        <v/>
      </c>
      <c r="H40" s="196"/>
      <c r="I40" s="182"/>
      <c r="J40" s="146" t="str">
        <f t="shared" si="2"/>
        <v/>
      </c>
      <c r="K40" s="39" t="str">
        <f t="shared" si="128"/>
        <v/>
      </c>
      <c r="L40" s="39" t="str">
        <f t="shared" si="129"/>
        <v/>
      </c>
      <c r="M40" s="39" t="str">
        <f t="shared" si="130"/>
        <v/>
      </c>
      <c r="N40" s="74" t="str">
        <f t="shared" si="131"/>
        <v/>
      </c>
      <c r="P40" s="176"/>
      <c r="Q40" s="130" t="str">
        <f t="shared" si="132"/>
        <v/>
      </c>
      <c r="R40" s="39" t="str">
        <f t="shared" si="133"/>
        <v/>
      </c>
      <c r="S40" s="39" t="str">
        <f t="shared" si="134"/>
        <v/>
      </c>
      <c r="T40" s="74" t="str">
        <f t="shared" si="135"/>
        <v/>
      </c>
      <c r="V40" s="176"/>
      <c r="W40" s="130" t="str">
        <f t="shared" si="136"/>
        <v/>
      </c>
      <c r="X40" s="39" t="str">
        <f t="shared" si="137"/>
        <v/>
      </c>
      <c r="Y40" s="39" t="str">
        <f t="shared" si="138"/>
        <v/>
      </c>
      <c r="Z40" s="74" t="str">
        <f t="shared" si="139"/>
        <v/>
      </c>
      <c r="AB40" s="176"/>
      <c r="AC40" s="130" t="str">
        <f t="shared" si="140"/>
        <v/>
      </c>
      <c r="AD40" s="39" t="str">
        <f t="shared" si="141"/>
        <v/>
      </c>
      <c r="AE40" s="39" t="str">
        <f t="shared" si="142"/>
        <v/>
      </c>
      <c r="AF40" s="39" t="str">
        <f t="shared" si="143"/>
        <v/>
      </c>
      <c r="AG40" s="74" t="str">
        <f t="shared" si="144"/>
        <v/>
      </c>
      <c r="AI40" s="196"/>
      <c r="AJ4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0" s="136" t="str">
        <f>IF(AJ40&lt;&gt;"",IF(AJ40=0,COUNTIF(AJ$2:AJ39,0)+1,COUNTIF(AJ$2:AJ39,AJ40)+AJ40+COUNTIF(AJ:AJ,0)),"")</f>
        <v/>
      </c>
      <c r="AL40" s="136" t="str">
        <f t="shared" si="20"/>
        <v/>
      </c>
      <c r="AM40" s="155" t="str">
        <f>IF(AND(Include_study?="Yes",Sufficient_data="Yes",Input!Study_name&lt;&gt;""),Input!Study_name,"")</f>
        <v/>
      </c>
      <c r="AN40" s="136" t="str">
        <f t="shared" si="21"/>
        <v/>
      </c>
      <c r="AO40" s="19" t="str">
        <f t="shared" si="145"/>
        <v/>
      </c>
      <c r="AP40" s="158" t="str">
        <f t="shared" si="146"/>
        <v/>
      </c>
      <c r="AQ40" s="158" t="str">
        <f t="shared" si="147"/>
        <v/>
      </c>
      <c r="AR40" s="39" t="str">
        <f t="shared" si="148"/>
        <v/>
      </c>
      <c r="AS40" s="158" t="str">
        <f t="shared" si="149"/>
        <v/>
      </c>
      <c r="AT40" s="39" t="str">
        <f t="shared" si="150"/>
        <v/>
      </c>
      <c r="AU40" s="172" t="str">
        <f t="shared" si="151"/>
        <v/>
      </c>
      <c r="AW40" s="84" t="e">
        <f t="shared" si="152"/>
        <v>#N/A</v>
      </c>
      <c r="AX40" s="3" t="e">
        <f t="shared" si="153"/>
        <v>#N/A</v>
      </c>
      <c r="AY40" s="74" t="e">
        <f t="shared" si="154"/>
        <v>#N/A</v>
      </c>
      <c r="BD40" s="196"/>
      <c r="BE40" s="182"/>
      <c r="BF40" s="3" t="str">
        <f t="shared" si="155"/>
        <v/>
      </c>
      <c r="BG40" s="3" t="str">
        <f t="shared" si="156"/>
        <v/>
      </c>
      <c r="BH40" s="3" t="str">
        <f t="shared" si="157"/>
        <v/>
      </c>
      <c r="BI40" s="39" t="str">
        <f t="shared" si="158"/>
        <v/>
      </c>
      <c r="BJ40" s="95" t="str">
        <f t="shared" si="159"/>
        <v/>
      </c>
      <c r="BO40" s="176"/>
      <c r="BP40" s="158" t="str">
        <f t="shared" si="160"/>
        <v/>
      </c>
      <c r="BQ40" s="158" t="str">
        <f t="shared" si="161"/>
        <v/>
      </c>
      <c r="BR40" s="158" t="str">
        <f t="shared" si="162"/>
        <v/>
      </c>
      <c r="BS40" s="158" t="str">
        <f>IF(AND(Sufficient_data="Yes",Include_study?="Yes"),IF(Add_0_5="Yes",(a_+d_+1)*(ab_+0.5)*(c_+0.5)/(Number_of_subjects+2)^2,(a_+d_)*b_*c_/Number_of_subjects^2),"")</f>
        <v/>
      </c>
      <c r="BT40" s="158" t="str">
        <f t="shared" si="163"/>
        <v/>
      </c>
      <c r="BU40" s="158" t="str">
        <f t="shared" si="164"/>
        <v/>
      </c>
      <c r="BV40" s="158" t="str">
        <f t="shared" si="165"/>
        <v/>
      </c>
      <c r="BW40" s="3" t="str">
        <f t="shared" si="166"/>
        <v/>
      </c>
      <c r="BX40" s="137" t="str">
        <f t="shared" si="167"/>
        <v/>
      </c>
      <c r="BY40" s="95" t="str">
        <f t="shared" si="168"/>
        <v/>
      </c>
      <c r="CD40" s="176"/>
      <c r="CE40" s="130" t="str">
        <f t="shared" si="169"/>
        <v/>
      </c>
      <c r="CF40" s="39" t="str">
        <f t="shared" si="170"/>
        <v/>
      </c>
      <c r="CG40" s="39" t="str">
        <f t="shared" si="171"/>
        <v/>
      </c>
      <c r="CH40" s="39" t="str">
        <f t="shared" si="172"/>
        <v/>
      </c>
      <c r="CI40" s="39" t="str">
        <f t="shared" si="173"/>
        <v/>
      </c>
      <c r="CJ40" s="39" t="str">
        <f t="shared" si="50"/>
        <v/>
      </c>
      <c r="CK40" s="95" t="str">
        <f t="shared" si="174"/>
        <v/>
      </c>
      <c r="CP40" s="176"/>
      <c r="CQ40" s="99" t="str">
        <f t="shared" si="175"/>
        <v/>
      </c>
      <c r="CX40" s="196"/>
      <c r="CY40" s="89" t="e">
        <f t="shared" si="176"/>
        <v>#N/A</v>
      </c>
      <c r="CZ40" s="136" t="str">
        <f t="shared" si="177"/>
        <v/>
      </c>
      <c r="DA40" s="140" t="str">
        <f t="shared" si="178"/>
        <v/>
      </c>
      <c r="DB40" s="39" t="str">
        <f t="shared" si="179"/>
        <v/>
      </c>
      <c r="DC40" s="39" t="str">
        <f t="shared" si="180"/>
        <v/>
      </c>
      <c r="DD40" s="39" t="str">
        <f t="shared" si="181"/>
        <v/>
      </c>
      <c r="DE40" s="39" t="str">
        <f t="shared" si="182"/>
        <v/>
      </c>
      <c r="DF40" s="141" t="str">
        <f t="shared" si="183"/>
        <v/>
      </c>
      <c r="DG40" s="39" t="str">
        <f t="shared" si="184"/>
        <v/>
      </c>
      <c r="DH40" s="39" t="str">
        <f t="shared" si="185"/>
        <v/>
      </c>
      <c r="DI40" s="39" t="str">
        <f t="shared" si="186"/>
        <v/>
      </c>
      <c r="DJ40" s="74" t="str">
        <f t="shared" si="187"/>
        <v/>
      </c>
      <c r="DL40" s="84" t="e">
        <f t="shared" si="188"/>
        <v>#N/A</v>
      </c>
      <c r="DM40" s="39" t="e">
        <f t="shared" si="189"/>
        <v>#N/A</v>
      </c>
      <c r="DN40" s="74" t="e">
        <f t="shared" si="190"/>
        <v>#N/A</v>
      </c>
      <c r="DP40" s="89" t="str">
        <f t="shared" si="102"/>
        <v/>
      </c>
      <c r="DQ40" s="26" t="str">
        <f>IF(AND(Sufficient_data="Yes",Subgroup&lt;&gt;""),IF(COUNTIFS(Input!J$2:J39,"="&amp;"Yes",Input!C$2:C39,"="&amp;"Yes",Input!K$2:K39,"="&amp;Subgroup)&gt;0,"",Subgroup),"")</f>
        <v/>
      </c>
      <c r="DR40" s="7" t="str">
        <f t="shared" si="103"/>
        <v/>
      </c>
      <c r="DS40" s="7" t="str">
        <f t="shared" si="191"/>
        <v/>
      </c>
      <c r="DT40" s="19" t="str">
        <f t="shared" si="192"/>
        <v/>
      </c>
      <c r="DU40" s="12" t="str">
        <f t="shared" si="104"/>
        <v/>
      </c>
      <c r="DV40" s="11" t="str">
        <f t="shared" si="105"/>
        <v/>
      </c>
      <c r="DW40" s="12" t="str">
        <f t="shared" si="193"/>
        <v/>
      </c>
      <c r="DX40" s="12" t="str">
        <f t="shared" si="194"/>
        <v/>
      </c>
      <c r="DY40" s="19" t="str">
        <f t="shared" si="106"/>
        <v/>
      </c>
      <c r="DZ40" s="12" t="str">
        <f t="shared" si="195"/>
        <v/>
      </c>
      <c r="EA40" s="19" t="str">
        <f t="shared" si="196"/>
        <v/>
      </c>
      <c r="EB40" s="7" t="str">
        <f t="shared" si="197"/>
        <v/>
      </c>
      <c r="EC40" s="19" t="str">
        <f t="shared" si="198"/>
        <v/>
      </c>
      <c r="ED40" s="19" t="str">
        <f t="shared" si="199"/>
        <v/>
      </c>
      <c r="EE40" s="19" t="str">
        <f t="shared" si="109"/>
        <v/>
      </c>
      <c r="EF40" s="19" t="str">
        <f t="shared" si="110"/>
        <v/>
      </c>
      <c r="EG40" s="19" t="str">
        <f t="shared" si="111"/>
        <v/>
      </c>
      <c r="EH40" s="19" t="str">
        <f t="shared" si="112"/>
        <v/>
      </c>
      <c r="EI40" s="19" t="str">
        <f t="shared" si="113"/>
        <v/>
      </c>
      <c r="EJ40" s="19" t="str">
        <f t="shared" si="200"/>
        <v/>
      </c>
      <c r="EK40" s="19" t="str">
        <f t="shared" si="201"/>
        <v/>
      </c>
      <c r="EL40" s="19" t="str">
        <f t="shared" si="115"/>
        <v/>
      </c>
      <c r="EM40" s="19" t="str">
        <f t="shared" si="116"/>
        <v/>
      </c>
      <c r="EN40" s="19" t="str">
        <f t="shared" si="117"/>
        <v/>
      </c>
      <c r="EO40" s="19" t="str">
        <f t="shared" si="118"/>
        <v/>
      </c>
      <c r="EP40" s="19" t="str">
        <f t="shared" si="202"/>
        <v/>
      </c>
      <c r="EQ40" s="19" t="e">
        <f t="shared" si="119"/>
        <v>#N/A</v>
      </c>
      <c r="ER40" s="11" t="str">
        <f t="shared" si="120"/>
        <v/>
      </c>
      <c r="ES40" s="19" t="str">
        <f t="shared" si="121"/>
        <v/>
      </c>
      <c r="ET40" s="156" t="str">
        <f t="shared" si="203"/>
        <v/>
      </c>
      <c r="EU40" s="39" t="str">
        <f t="shared" si="204"/>
        <v/>
      </c>
      <c r="EV40" s="74" t="str">
        <f t="shared" si="205"/>
        <v/>
      </c>
      <c r="EX40" s="45"/>
      <c r="EY40" s="45"/>
      <c r="FA40" s="196"/>
      <c r="FB40" s="84" t="e">
        <f>IF(AND(Include_study?="Yes",Sufficient_data="Yes",Moderator&lt;&gt;""),'Moderator Analysis'!E40,NA())</f>
        <v>#N/A</v>
      </c>
      <c r="FC40" s="39" t="e">
        <f>IF(AND(Include_study?="Yes",Sufficient_data="Yes",Moderator&lt;&gt;""),'Moderator Analysis'!F40,NA())</f>
        <v>#N/A</v>
      </c>
      <c r="FD40" s="39" t="str">
        <f t="shared" si="206"/>
        <v/>
      </c>
      <c r="FE40" s="39" t="str">
        <f t="shared" si="207"/>
        <v/>
      </c>
      <c r="FF40" s="39" t="str">
        <f>IF(AND(Include_study?="Yes",Sufficient_data="Yes",Moderator&lt;&gt;""),'Moderator Analysis'!F:F-FP$2,"")</f>
        <v/>
      </c>
      <c r="FG40" s="39" t="str">
        <f>IF(AND(Include_study?="Yes",Sufficient_data="Yes",Moderator&lt;&gt;""),'Moderator Analysis'!E:E-FP$3,"")</f>
        <v/>
      </c>
      <c r="FH40" s="74" t="str">
        <f>IF(AND(Include_study?="Yes",Sufficient_data="Yes",Moderator&lt;&gt;""),FE:FE*('Moderator Analysis'!F:F-FP$5-FP$4*'Moderator Analysis'!E:E)^2,"")</f>
        <v/>
      </c>
      <c r="FI40" s="128"/>
      <c r="FJ40" s="92" t="str">
        <f t="shared" si="208"/>
        <v/>
      </c>
      <c r="FK40" s="137" t="str">
        <f>IF(AND(Include_study?="Yes",Sufficient_data="Yes",Moderator&lt;&gt;""),'Moderator Analysis'!F:F-'Moderator Analysis'!J$37,"")</f>
        <v/>
      </c>
      <c r="FL40" s="137" t="str">
        <f>IF(AND(Include_study?="Yes",Sufficient_data="Yes",Moderator&lt;&gt;""),'Moderator Analysis'!E:E-SUMPRODUCT('Moderator Analysis'!E:E,FJ:FJ)/SUM(FJ:FJ),"")</f>
        <v/>
      </c>
      <c r="FM40" s="95" t="str">
        <f>IF(AND(Include_study?="Yes",Sufficient_data="Yes",Moderator&lt;&gt;""),FJ:FJ*('Moderator Analysis'!F:F-'Moderator Analysis'!J$29-'Moderator Analysis'!J$30*'Moderator Analysis'!E:E)^2,"")</f>
        <v/>
      </c>
      <c r="FN40" s="21"/>
      <c r="FR40" s="196"/>
      <c r="FS40" s="182"/>
      <c r="FT4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0" s="39" t="str">
        <f>IF(AND(Include_study?="Yes",Sufficient_data="Yes"),1/('Publication Bias Analysis'!F:F^2+IF(Additional_model="Fixed effect",0,Calculations!GH$12)),"")</f>
        <v/>
      </c>
      <c r="FV40" s="39" t="str">
        <f>IF(AND(Include_study?="Yes",Sufficient_data="Yes"),1/('Publication Bias Analysis'!F:F^2+IF(Additional_model="Fixed effect",0,'Publication Bias Analysis'!L$32)),"")</f>
        <v/>
      </c>
      <c r="FW40" s="39" t="str">
        <f>IF(AND(Include_study?="Yes",Sufficient_data="Yes"),'Publication Bias Analysis'!E:E-'Publication Bias Analysis'!I$37,"")</f>
        <v/>
      </c>
      <c r="FX40" s="39" t="str">
        <f>IF(AND(Include_study?="Yes",Sufficient_data="Yes"),IF(Additional_model="Fixed effect",1/'Publication Bias Analysis'!F:F,1/SQRT('Publication Bias Analysis'!F:F^2+GH$12)),"")</f>
        <v/>
      </c>
      <c r="FY4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0" s="136" t="str">
        <f t="shared" si="209"/>
        <v/>
      </c>
      <c r="GA40" s="144" t="str">
        <f>IF(AND(Include_study?="Yes",Sufficient_data="Yes"),FZ:FZ+IF(GL:GL&lt;0,-1,1)*COUNTIF(FZ$2:FZ39,FZ:FZ),"")</f>
        <v/>
      </c>
      <c r="GB40" s="144" t="str">
        <f>IF(AND(Include_study?="Yes",Sufficient_data="Yes"),RANK(GP:GP,GP:GP,1)*IF(GO:GO&lt;0,-1,1)+IF(GO:GO&lt;0,-1,1)*COUNTIF(FZ$2:FZ39,FZ:FZ),"")</f>
        <v/>
      </c>
      <c r="GC40" s="144" t="str">
        <f>IF(AND(Include_study?="Yes",Sufficient_data="Yes"),RANK(GS:GS,GS:GS,1)*IF(GR:GR&lt;0,-1,1)+IF(GR:GR&lt;0,-1,1)*COUNTIF(FZ$2:FZ39,FZ:FZ),"")</f>
        <v/>
      </c>
      <c r="GD40" s="39" t="e">
        <f>IF(AND(Include_study?="Yes",Sufficient_data="Yes"),'Publication Bias Analysis'!E40,NA())</f>
        <v>#N/A</v>
      </c>
      <c r="GE40" s="74" t="e">
        <f>IF(AND(Include_study?="Yes",Sufficient_data="Yes"),'Publication Bias Analysis'!F40,NA())</f>
        <v>#N/A</v>
      </c>
      <c r="GK40" s="176"/>
      <c r="GL4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0" s="39" t="str">
        <f t="shared" si="210"/>
        <v/>
      </c>
      <c r="GN4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0" s="39" t="str">
        <f>IF(AND(Include_study?="Yes",Sufficient_data="Yes"),IF('Publication Bias Analysis'!L$38="Left",'Publication Bias Analysis'!E:E-GW$3,GW$3-'Publication Bias Analysis'!E:E),"")</f>
        <v/>
      </c>
      <c r="GP40" s="39" t="str">
        <f t="shared" si="211"/>
        <v/>
      </c>
      <c r="GQ4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0" s="39" t="str">
        <f>IF(AND(Include_study?="Yes",Sufficient_data="Yes"),IF('Publication Bias Analysis'!L$38="Left",'Publication Bias Analysis'!E:E-GW$10,GW$10-'Publication Bias Analysis'!E:E),"")</f>
        <v/>
      </c>
      <c r="GS40" s="39" t="str">
        <f t="shared" si="212"/>
        <v/>
      </c>
      <c r="GT4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X40"/>
      <c r="GY40" s="89">
        <v>39</v>
      </c>
      <c r="GZ40" s="7" t="str">
        <f>IF(Trim_and_fill="On",IF(GW$21&gt;(COUNT(GZ$2:GZ39)),IF(COUNTIF(GA:GA,-1*(MAX(GA:GA)-GY40+1))=1,"",MAX(GA:GA)-GY40+1),""),"")</f>
        <v/>
      </c>
      <c r="HA40" s="69" t="str">
        <f t="shared" si="84"/>
        <v/>
      </c>
      <c r="HB40" s="69" t="str">
        <f t="shared" si="85"/>
        <v/>
      </c>
      <c r="HC40" s="69" t="str">
        <f t="shared" si="86"/>
        <v/>
      </c>
      <c r="HD40" s="39" t="str">
        <f>IF(GZ40&lt;&gt;"",1/(HB40^2+'Publication Bias Analysis'!L$32),"")</f>
        <v/>
      </c>
      <c r="HE40" s="74" t="str">
        <f>IF(GZ40&lt;&gt;"",HA:HA-'Publication Bias Analysis'!I$37,"")</f>
        <v/>
      </c>
      <c r="HF40" s="45"/>
      <c r="HG40" s="89">
        <v>39</v>
      </c>
      <c r="HH40" s="69" t="e">
        <f t="shared" si="87"/>
        <v>#N/A</v>
      </c>
      <c r="HI40" s="74" t="e">
        <f t="shared" si="88"/>
        <v>#N/A</v>
      </c>
      <c r="HK40" s="176"/>
      <c r="HL40" s="66" t="str">
        <f t="shared" si="89"/>
        <v/>
      </c>
      <c r="HM40" s="74" t="str">
        <f>IF(AND(Include_study?="Yes",Sufficient_data="Yes"),Z_score-('Publication Bias Analysis'!P$3+'Publication Bias Analysis'!P$4*Inverse_standard_error),"")</f>
        <v/>
      </c>
      <c r="HO40" s="176"/>
      <c r="HP40" s="64" t="str">
        <f>IF(AND(Include_study?="Yes",Sufficient_data="Yes"),(GD:GD-SUMPRODUCT(Calculations!FT:FT,'Publication Bias Analysis'!E:E)/SUM(Calculations!FT:FT))/SQRT(Calculations!HQ:HQ),"")</f>
        <v/>
      </c>
      <c r="HQ40" s="64" t="str">
        <f>IF(AND(Include_study?="Yes",Sufficient_data="Yes"),GE:GE^2-1/SUM(Calculations!FT:FT),"")</f>
        <v/>
      </c>
      <c r="HR40" s="7" t="str">
        <f t="shared" si="213"/>
        <v/>
      </c>
      <c r="HS40" s="7" t="str">
        <f t="shared" si="214"/>
        <v/>
      </c>
      <c r="HT40" s="7" t="str">
        <f>IF(AND(Include_study?="Yes",Sufficient_data="Yes"),COUNTIFS(HR$2:HR39,"&lt;"&amp;HR40,HS$2:HS39,"&lt;"&amp;HS40)+COUNTIFS(HR41:HR$201,"&lt;"&amp;HR40,HS41:HS$201,"&lt;"&amp;HS40)+COUNTIFS(HR$2:HR39,"&gt;"&amp;HR40,HS$2:HS39,"&gt;"&amp;HS40)+COUNTIFS(HR41:HR$201,"&gt;"&amp;HR40,HS41:HS$201,"&gt;"&amp;HS40),"")</f>
        <v/>
      </c>
      <c r="HU40" s="104" t="str">
        <f>IF(AND(Include_study?="Yes",Sufficient_data="Yes"),COUNTIFS(HR$2:HR39,"&lt;"&amp;HR40,HS$2:HS39,"&gt;"&amp;HS40)+COUNTIFS(HR41:HR$201,"&lt;"&amp;HR40,HS41:HS$201,"&gt;"&amp;HS40)+COUNTIFS(HR$2:HR39,"&gt;"&amp;HR40,HS$2:HS39,"&lt;"&amp;HS40)+COUNTIFS(HR41:HR$201,"&gt;"&amp;HR40,HS41:HS$201,"&lt;"&amp;HS40),"")</f>
        <v/>
      </c>
      <c r="HW40" s="176"/>
      <c r="IB40" s="176"/>
      <c r="IC40" s="146" t="e">
        <f t="shared" si="215"/>
        <v>#N/A</v>
      </c>
      <c r="ID40" s="137" t="e">
        <f t="shared" si="216"/>
        <v>#N/A</v>
      </c>
      <c r="IE40" s="137" t="str">
        <f t="shared" si="217"/>
        <v/>
      </c>
      <c r="IF40" s="95" t="str">
        <f t="shared" si="218"/>
        <v/>
      </c>
      <c r="IK40" s="176"/>
      <c r="IL40" s="3" t="e">
        <f>IF(AND(Include_study?="Yes",Sufficient_data="Yes"),'Publication Bias Analysis'!AV:AV,NA())</f>
        <v>#N/A</v>
      </c>
      <c r="IM40" s="158" t="e">
        <f>IF(AND(Sufficient_data="Yes",Include_study?="Yes"),'Publication Bias Analysis'!AU:AU,NA())</f>
        <v>#N/A</v>
      </c>
      <c r="IN40" s="62" t="str">
        <f t="shared" si="219"/>
        <v/>
      </c>
      <c r="IO40" s="74" t="str">
        <f>IF(AND(Include_study?="Yes",Sufficient_data="Yes"),Z_score-('Publication Bias Analysis'!AY$30+'Publication Bias Analysis'!AY$31*Inverse_standard_error),"")</f>
        <v/>
      </c>
      <c r="IU40" s="176"/>
      <c r="IV40" s="7" t="str">
        <f>IF('Publication Bias Analysis'!BG:BG&lt;&gt;"",RANK('Publication Bias Analysis'!BG:BG,'Publication Bias Analysis'!BG:BG,1)+COUNTIF('Publication Bias Analysis'!BG$2:BG39,'Publication Bias Analysis'!BG40),"")</f>
        <v/>
      </c>
      <c r="IW40" s="124" t="str">
        <f t="shared" si="220"/>
        <v/>
      </c>
      <c r="IX40" s="125" t="e">
        <f>IF('Publication Bias Analysis'!BF40&lt;&gt;"",'Publication Bias Analysis'!BF40,NA())</f>
        <v>#N/A</v>
      </c>
      <c r="IY40" s="125" t="e">
        <f>IF('Publication Bias Analysis'!BG40&lt;&gt;"",'Publication Bias Analysis'!BG40,NA())</f>
        <v>#N/A</v>
      </c>
      <c r="IZ40" s="62" t="str">
        <f>IF(AND(Include_study?="Yes",Sufficient_data="Yes"),'Publication Bias Analysis'!BF:BF-AVERAGE('Publication Bias Analysis'!BF:BF),"")</f>
        <v/>
      </c>
      <c r="JA40" s="74" t="str">
        <f>IF(AND(Include_study?="Yes",Sufficient_data="Yes"),'Publication Bias Analysis'!BG:BG-('Publication Bias Analysis'!BJ$30+'Publication Bias Analysis'!BJ$31*'Publication Bias Analysis'!BF:BF),"")</f>
        <v/>
      </c>
      <c r="JG40" s="176"/>
      <c r="JH40" s="39" t="str">
        <f t="shared" si="221"/>
        <v/>
      </c>
      <c r="JI40" s="148" t="str">
        <f t="shared" si="124"/>
        <v/>
      </c>
      <c r="JJ40" s="74" t="str">
        <f t="shared" si="125"/>
        <v/>
      </c>
    </row>
    <row r="41" spans="1:270" x14ac:dyDescent="0.2">
      <c r="A41" s="2" t="str">
        <f t="shared" si="126"/>
        <v/>
      </c>
      <c r="B41" s="7" t="str">
        <f>IF(AND(Include_study?="Yes",Sufficient_data="Yes"),IF(Input!a_&lt;&gt;"",Input!a_,Input!n1_-Input!b_),"")</f>
        <v/>
      </c>
      <c r="C41" s="7" t="str">
        <f>IF(AND(Include_study?="Yes",Sufficient_data="Yes"),IF(Input!b_&lt;&gt;"",Input!b_,Input!n1_-Input!a_),"")</f>
        <v/>
      </c>
      <c r="D41" s="7" t="str">
        <f>IF(AND(Include_study?="Yes",Sufficient_data="Yes"),IF(Input!c_&lt;&gt;"",Input!c_,Input!n2_-Input!d_),"")</f>
        <v/>
      </c>
      <c r="E41" s="7" t="str">
        <f>IF(AND(Include_study?="Yes",Sufficient_data="Yes"),IF(Input!d_&lt;&gt;"",Input!d_,Input!n2_-Input!c_),"")</f>
        <v/>
      </c>
      <c r="F41" s="74" t="str">
        <f t="shared" si="127"/>
        <v/>
      </c>
      <c r="H41" s="196"/>
      <c r="I41" s="182"/>
      <c r="J41" s="146" t="str">
        <f t="shared" si="2"/>
        <v/>
      </c>
      <c r="K41" s="39" t="str">
        <f t="shared" si="128"/>
        <v/>
      </c>
      <c r="L41" s="39" t="str">
        <f t="shared" si="129"/>
        <v/>
      </c>
      <c r="M41" s="39" t="str">
        <f t="shared" si="130"/>
        <v/>
      </c>
      <c r="N41" s="74" t="str">
        <f t="shared" si="131"/>
        <v/>
      </c>
      <c r="P41" s="176"/>
      <c r="Q41" s="130" t="str">
        <f t="shared" si="132"/>
        <v/>
      </c>
      <c r="R41" s="39" t="str">
        <f t="shared" si="133"/>
        <v/>
      </c>
      <c r="S41" s="39" t="str">
        <f t="shared" si="134"/>
        <v/>
      </c>
      <c r="T41" s="74" t="str">
        <f t="shared" si="135"/>
        <v/>
      </c>
      <c r="V41" s="176"/>
      <c r="W41" s="130" t="str">
        <f t="shared" si="136"/>
        <v/>
      </c>
      <c r="X41" s="39" t="str">
        <f t="shared" si="137"/>
        <v/>
      </c>
      <c r="Y41" s="39" t="str">
        <f t="shared" si="138"/>
        <v/>
      </c>
      <c r="Z41" s="74" t="str">
        <f t="shared" si="139"/>
        <v/>
      </c>
      <c r="AB41" s="176"/>
      <c r="AC41" s="130" t="str">
        <f t="shared" si="140"/>
        <v/>
      </c>
      <c r="AD41" s="39" t="str">
        <f t="shared" si="141"/>
        <v/>
      </c>
      <c r="AE41" s="39" t="str">
        <f t="shared" si="142"/>
        <v/>
      </c>
      <c r="AF41" s="39" t="str">
        <f t="shared" si="143"/>
        <v/>
      </c>
      <c r="AG41" s="74" t="str">
        <f t="shared" si="144"/>
        <v/>
      </c>
      <c r="AI41" s="196"/>
      <c r="AJ4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1" s="136" t="str">
        <f>IF(AJ41&lt;&gt;"",IF(AJ41=0,COUNTIF(AJ$2:AJ40,0)+1,COUNTIF(AJ$2:AJ40,AJ41)+AJ41+COUNTIF(AJ:AJ,0)),"")</f>
        <v/>
      </c>
      <c r="AL41" s="136" t="str">
        <f t="shared" si="20"/>
        <v/>
      </c>
      <c r="AM41" s="155" t="str">
        <f>IF(AND(Include_study?="Yes",Sufficient_data="Yes",Input!Study_name&lt;&gt;""),Input!Study_name,"")</f>
        <v/>
      </c>
      <c r="AN41" s="136" t="str">
        <f t="shared" si="21"/>
        <v/>
      </c>
      <c r="AO41" s="19" t="str">
        <f t="shared" si="145"/>
        <v/>
      </c>
      <c r="AP41" s="158" t="str">
        <f t="shared" si="146"/>
        <v/>
      </c>
      <c r="AQ41" s="158" t="str">
        <f t="shared" si="147"/>
        <v/>
      </c>
      <c r="AR41" s="39" t="str">
        <f t="shared" si="148"/>
        <v/>
      </c>
      <c r="AS41" s="158" t="str">
        <f t="shared" si="149"/>
        <v/>
      </c>
      <c r="AT41" s="39" t="str">
        <f t="shared" si="150"/>
        <v/>
      </c>
      <c r="AU41" s="172" t="str">
        <f t="shared" si="151"/>
        <v/>
      </c>
      <c r="AW41" s="84" t="e">
        <f t="shared" si="152"/>
        <v>#N/A</v>
      </c>
      <c r="AX41" s="3" t="e">
        <f t="shared" si="153"/>
        <v>#N/A</v>
      </c>
      <c r="AY41" s="74" t="e">
        <f t="shared" si="154"/>
        <v>#N/A</v>
      </c>
      <c r="BD41" s="196"/>
      <c r="BE41" s="182"/>
      <c r="BF41" s="3" t="str">
        <f t="shared" si="155"/>
        <v/>
      </c>
      <c r="BG41" s="3" t="str">
        <f t="shared" si="156"/>
        <v/>
      </c>
      <c r="BH41" s="3" t="str">
        <f t="shared" si="157"/>
        <v/>
      </c>
      <c r="BI41" s="39" t="str">
        <f t="shared" si="158"/>
        <v/>
      </c>
      <c r="BJ41" s="95" t="str">
        <f t="shared" si="159"/>
        <v/>
      </c>
      <c r="BO41" s="176"/>
      <c r="BP41" s="158" t="str">
        <f t="shared" si="160"/>
        <v/>
      </c>
      <c r="BQ41" s="158" t="str">
        <f t="shared" si="161"/>
        <v/>
      </c>
      <c r="BR41" s="158" t="str">
        <f t="shared" si="162"/>
        <v/>
      </c>
      <c r="BS41" s="158" t="str">
        <f>IF(AND(Sufficient_data="Yes",Include_study?="Yes"),IF(Add_0_5="Yes",(a_+d_+1)*(ab_+0.5)*(c_+0.5)/(Number_of_subjects+2)^2,(a_+d_)*b_*c_/Number_of_subjects^2),"")</f>
        <v/>
      </c>
      <c r="BT41" s="158" t="str">
        <f t="shared" si="163"/>
        <v/>
      </c>
      <c r="BU41" s="158" t="str">
        <f t="shared" si="164"/>
        <v/>
      </c>
      <c r="BV41" s="158" t="str">
        <f t="shared" si="165"/>
        <v/>
      </c>
      <c r="BW41" s="3" t="str">
        <f t="shared" si="166"/>
        <v/>
      </c>
      <c r="BX41" s="137" t="str">
        <f t="shared" si="167"/>
        <v/>
      </c>
      <c r="BY41" s="95" t="str">
        <f t="shared" si="168"/>
        <v/>
      </c>
      <c r="CD41" s="176"/>
      <c r="CE41" s="130" t="str">
        <f t="shared" si="169"/>
        <v/>
      </c>
      <c r="CF41" s="39" t="str">
        <f t="shared" si="170"/>
        <v/>
      </c>
      <c r="CG41" s="39" t="str">
        <f t="shared" si="171"/>
        <v/>
      </c>
      <c r="CH41" s="39" t="str">
        <f t="shared" si="172"/>
        <v/>
      </c>
      <c r="CI41" s="39" t="str">
        <f t="shared" si="173"/>
        <v/>
      </c>
      <c r="CJ41" s="39" t="str">
        <f t="shared" si="50"/>
        <v/>
      </c>
      <c r="CK41" s="95" t="str">
        <f t="shared" si="174"/>
        <v/>
      </c>
      <c r="CP41" s="176"/>
      <c r="CQ41" s="99" t="str">
        <f t="shared" si="175"/>
        <v/>
      </c>
      <c r="CX41" s="196"/>
      <c r="CY41" s="89" t="e">
        <f t="shared" si="176"/>
        <v>#N/A</v>
      </c>
      <c r="CZ41" s="136" t="str">
        <f t="shared" si="177"/>
        <v/>
      </c>
      <c r="DA41" s="140" t="str">
        <f t="shared" si="178"/>
        <v/>
      </c>
      <c r="DB41" s="39" t="str">
        <f t="shared" si="179"/>
        <v/>
      </c>
      <c r="DC41" s="39" t="str">
        <f t="shared" si="180"/>
        <v/>
      </c>
      <c r="DD41" s="39" t="str">
        <f t="shared" si="181"/>
        <v/>
      </c>
      <c r="DE41" s="39" t="str">
        <f t="shared" si="182"/>
        <v/>
      </c>
      <c r="DF41" s="141" t="str">
        <f t="shared" si="183"/>
        <v/>
      </c>
      <c r="DG41" s="39" t="str">
        <f t="shared" si="184"/>
        <v/>
      </c>
      <c r="DH41" s="39" t="str">
        <f t="shared" si="185"/>
        <v/>
      </c>
      <c r="DI41" s="39" t="str">
        <f t="shared" si="186"/>
        <v/>
      </c>
      <c r="DJ41" s="74" t="str">
        <f t="shared" si="187"/>
        <v/>
      </c>
      <c r="DL41" s="84" t="e">
        <f t="shared" si="188"/>
        <v>#N/A</v>
      </c>
      <c r="DM41" s="39" t="e">
        <f t="shared" si="189"/>
        <v>#N/A</v>
      </c>
      <c r="DN41" s="74" t="e">
        <f t="shared" si="190"/>
        <v>#N/A</v>
      </c>
      <c r="DP41" s="89" t="str">
        <f t="shared" si="102"/>
        <v/>
      </c>
      <c r="DQ41" s="26" t="str">
        <f>IF(AND(Sufficient_data="Yes",Subgroup&lt;&gt;""),IF(COUNTIFS(Input!J$2:J40,"="&amp;"Yes",Input!C$2:C40,"="&amp;"Yes",Input!K$2:K40,"="&amp;Subgroup)&gt;0,"",Subgroup),"")</f>
        <v/>
      </c>
      <c r="DR41" s="7" t="str">
        <f t="shared" si="103"/>
        <v/>
      </c>
      <c r="DS41" s="7" t="str">
        <f t="shared" si="191"/>
        <v/>
      </c>
      <c r="DT41" s="19" t="str">
        <f t="shared" si="192"/>
        <v/>
      </c>
      <c r="DU41" s="12" t="str">
        <f t="shared" si="104"/>
        <v/>
      </c>
      <c r="DV41" s="11" t="str">
        <f t="shared" si="105"/>
        <v/>
      </c>
      <c r="DW41" s="12" t="str">
        <f t="shared" si="193"/>
        <v/>
      </c>
      <c r="DX41" s="12" t="str">
        <f t="shared" si="194"/>
        <v/>
      </c>
      <c r="DY41" s="19" t="str">
        <f t="shared" si="106"/>
        <v/>
      </c>
      <c r="DZ41" s="12" t="str">
        <f t="shared" si="195"/>
        <v/>
      </c>
      <c r="EA41" s="19" t="str">
        <f t="shared" si="196"/>
        <v/>
      </c>
      <c r="EB41" s="7" t="str">
        <f t="shared" si="197"/>
        <v/>
      </c>
      <c r="EC41" s="19" t="str">
        <f t="shared" si="198"/>
        <v/>
      </c>
      <c r="ED41" s="19" t="str">
        <f t="shared" si="199"/>
        <v/>
      </c>
      <c r="EE41" s="19" t="str">
        <f t="shared" si="109"/>
        <v/>
      </c>
      <c r="EF41" s="19" t="str">
        <f t="shared" si="110"/>
        <v/>
      </c>
      <c r="EG41" s="19" t="str">
        <f t="shared" si="111"/>
        <v/>
      </c>
      <c r="EH41" s="19" t="str">
        <f t="shared" si="112"/>
        <v/>
      </c>
      <c r="EI41" s="19" t="str">
        <f t="shared" si="113"/>
        <v/>
      </c>
      <c r="EJ41" s="19" t="str">
        <f t="shared" si="200"/>
        <v/>
      </c>
      <c r="EK41" s="19" t="str">
        <f t="shared" si="201"/>
        <v/>
      </c>
      <c r="EL41" s="19" t="str">
        <f t="shared" si="115"/>
        <v/>
      </c>
      <c r="EM41" s="19" t="str">
        <f t="shared" si="116"/>
        <v/>
      </c>
      <c r="EN41" s="19" t="str">
        <f t="shared" si="117"/>
        <v/>
      </c>
      <c r="EO41" s="19" t="str">
        <f t="shared" si="118"/>
        <v/>
      </c>
      <c r="EP41" s="19" t="str">
        <f t="shared" si="202"/>
        <v/>
      </c>
      <c r="EQ41" s="19" t="e">
        <f t="shared" si="119"/>
        <v>#N/A</v>
      </c>
      <c r="ER41" s="11" t="str">
        <f t="shared" si="120"/>
        <v/>
      </c>
      <c r="ES41" s="19" t="str">
        <f t="shared" si="121"/>
        <v/>
      </c>
      <c r="ET41" s="156" t="str">
        <f t="shared" si="203"/>
        <v/>
      </c>
      <c r="EU41" s="39" t="str">
        <f t="shared" si="204"/>
        <v/>
      </c>
      <c r="EV41" s="74" t="str">
        <f t="shared" si="205"/>
        <v/>
      </c>
      <c r="EX41" s="195" t="s">
        <v>233</v>
      </c>
      <c r="EY41" s="195"/>
      <c r="FA41" s="196"/>
      <c r="FB41" s="84" t="e">
        <f>IF(AND(Include_study?="Yes",Sufficient_data="Yes",Moderator&lt;&gt;""),'Moderator Analysis'!E41,NA())</f>
        <v>#N/A</v>
      </c>
      <c r="FC41" s="39" t="e">
        <f>IF(AND(Include_study?="Yes",Sufficient_data="Yes",Moderator&lt;&gt;""),'Moderator Analysis'!F41,NA())</f>
        <v>#N/A</v>
      </c>
      <c r="FD41" s="39" t="str">
        <f t="shared" si="206"/>
        <v/>
      </c>
      <c r="FE41" s="39" t="str">
        <f t="shared" si="207"/>
        <v/>
      </c>
      <c r="FF41" s="39" t="str">
        <f>IF(AND(Include_study?="Yes",Sufficient_data="Yes",Moderator&lt;&gt;""),'Moderator Analysis'!F:F-FP$2,"")</f>
        <v/>
      </c>
      <c r="FG41" s="39" t="str">
        <f>IF(AND(Include_study?="Yes",Sufficient_data="Yes",Moderator&lt;&gt;""),'Moderator Analysis'!E:E-FP$3,"")</f>
        <v/>
      </c>
      <c r="FH41" s="74" t="str">
        <f>IF(AND(Include_study?="Yes",Sufficient_data="Yes",Moderator&lt;&gt;""),FE:FE*('Moderator Analysis'!F:F-FP$5-FP$4*'Moderator Analysis'!E:E)^2,"")</f>
        <v/>
      </c>
      <c r="FI41" s="128"/>
      <c r="FJ41" s="92" t="str">
        <f t="shared" si="208"/>
        <v/>
      </c>
      <c r="FK41" s="137" t="str">
        <f>IF(AND(Include_study?="Yes",Sufficient_data="Yes",Moderator&lt;&gt;""),'Moderator Analysis'!F:F-'Moderator Analysis'!J$37,"")</f>
        <v/>
      </c>
      <c r="FL41" s="137" t="str">
        <f>IF(AND(Include_study?="Yes",Sufficient_data="Yes",Moderator&lt;&gt;""),'Moderator Analysis'!E:E-SUMPRODUCT('Moderator Analysis'!E:E,FJ:FJ)/SUM(FJ:FJ),"")</f>
        <v/>
      </c>
      <c r="FM41" s="95" t="str">
        <f>IF(AND(Include_study?="Yes",Sufficient_data="Yes",Moderator&lt;&gt;""),FJ:FJ*('Moderator Analysis'!F:F-'Moderator Analysis'!J$29-'Moderator Analysis'!J$30*'Moderator Analysis'!E:E)^2,"")</f>
        <v/>
      </c>
      <c r="FN41" s="21"/>
      <c r="FR41" s="196"/>
      <c r="FS41" s="182"/>
      <c r="FT4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1" s="39" t="str">
        <f>IF(AND(Include_study?="Yes",Sufficient_data="Yes"),1/('Publication Bias Analysis'!F:F^2+IF(Additional_model="Fixed effect",0,Calculations!GH$12)),"")</f>
        <v/>
      </c>
      <c r="FV41" s="39" t="str">
        <f>IF(AND(Include_study?="Yes",Sufficient_data="Yes"),1/('Publication Bias Analysis'!F:F^2+IF(Additional_model="Fixed effect",0,'Publication Bias Analysis'!L$32)),"")</f>
        <v/>
      </c>
      <c r="FW41" s="39" t="str">
        <f>IF(AND(Include_study?="Yes",Sufficient_data="Yes"),'Publication Bias Analysis'!E:E-'Publication Bias Analysis'!I$37,"")</f>
        <v/>
      </c>
      <c r="FX41" s="39" t="str">
        <f>IF(AND(Include_study?="Yes",Sufficient_data="Yes"),IF(Additional_model="Fixed effect",1/'Publication Bias Analysis'!F:F,1/SQRT('Publication Bias Analysis'!F:F^2+GH$12)),"")</f>
        <v/>
      </c>
      <c r="FY4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1" s="136" t="str">
        <f t="shared" si="209"/>
        <v/>
      </c>
      <c r="GA41" s="144" t="str">
        <f>IF(AND(Include_study?="Yes",Sufficient_data="Yes"),FZ:FZ+IF(GL:GL&lt;0,-1,1)*COUNTIF(FZ$2:FZ40,FZ:FZ),"")</f>
        <v/>
      </c>
      <c r="GB41" s="144" t="str">
        <f>IF(AND(Include_study?="Yes",Sufficient_data="Yes"),RANK(GP:GP,GP:GP,1)*IF(GO:GO&lt;0,-1,1)+IF(GO:GO&lt;0,-1,1)*COUNTIF(FZ$2:FZ40,FZ:FZ),"")</f>
        <v/>
      </c>
      <c r="GC41" s="144" t="str">
        <f>IF(AND(Include_study?="Yes",Sufficient_data="Yes"),RANK(GS:GS,GS:GS,1)*IF(GR:GR&lt;0,-1,1)+IF(GR:GR&lt;0,-1,1)*COUNTIF(FZ$2:FZ40,FZ:FZ),"")</f>
        <v/>
      </c>
      <c r="GD41" s="39" t="e">
        <f>IF(AND(Include_study?="Yes",Sufficient_data="Yes"),'Publication Bias Analysis'!E41,NA())</f>
        <v>#N/A</v>
      </c>
      <c r="GE41" s="74" t="e">
        <f>IF(AND(Include_study?="Yes",Sufficient_data="Yes"),'Publication Bias Analysis'!F41,NA())</f>
        <v>#N/A</v>
      </c>
      <c r="GK41" s="176"/>
      <c r="GL4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1" s="39" t="str">
        <f t="shared" si="210"/>
        <v/>
      </c>
      <c r="GN4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1" s="39" t="str">
        <f>IF(AND(Include_study?="Yes",Sufficient_data="Yes"),IF('Publication Bias Analysis'!L$38="Left",'Publication Bias Analysis'!E:E-GW$3,GW$3-'Publication Bias Analysis'!E:E),"")</f>
        <v/>
      </c>
      <c r="GP41" s="39" t="str">
        <f t="shared" si="211"/>
        <v/>
      </c>
      <c r="GQ4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1" s="39" t="str">
        <f>IF(AND(Include_study?="Yes",Sufficient_data="Yes"),IF('Publication Bias Analysis'!L$38="Left",'Publication Bias Analysis'!E:E-GW$10,GW$10-'Publication Bias Analysis'!E:E),"")</f>
        <v/>
      </c>
      <c r="GS41" s="39" t="str">
        <f t="shared" si="212"/>
        <v/>
      </c>
      <c r="GT4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X41"/>
      <c r="GY41" s="79">
        <v>40</v>
      </c>
      <c r="GZ41" s="80" t="str">
        <f>IF(Trim_and_fill="On",IF(GW$21&gt;(COUNT(GZ$2:GZ40)),IF(COUNTIF(GA:GA,-1*(MAX(GA:GA)-GY41+1))=1,"",MAX(GA:GA)-GY41+1),""),"")</f>
        <v/>
      </c>
      <c r="HA41" s="71" t="str">
        <f t="shared" si="84"/>
        <v/>
      </c>
      <c r="HB41" s="71" t="str">
        <f t="shared" si="85"/>
        <v/>
      </c>
      <c r="HC41" s="71" t="str">
        <f t="shared" si="86"/>
        <v/>
      </c>
      <c r="HD41" s="71" t="str">
        <f>IF(GZ41&lt;&gt;"",1/(HB41^2+'Publication Bias Analysis'!L$32),"")</f>
        <v/>
      </c>
      <c r="HE41" s="78" t="str">
        <f>IF(GZ41&lt;&gt;"",HA:HA-'Publication Bias Analysis'!I$37,"")</f>
        <v/>
      </c>
      <c r="HF41" s="45"/>
      <c r="HG41" s="79">
        <v>40</v>
      </c>
      <c r="HH41" s="71" t="e">
        <f t="shared" si="87"/>
        <v>#N/A</v>
      </c>
      <c r="HI41" s="78" t="e">
        <f t="shared" si="88"/>
        <v>#N/A</v>
      </c>
      <c r="HK41" s="176"/>
      <c r="HL41" s="66" t="str">
        <f t="shared" si="89"/>
        <v/>
      </c>
      <c r="HM41" s="74" t="str">
        <f>IF(AND(Include_study?="Yes",Sufficient_data="Yes"),Z_score-('Publication Bias Analysis'!P$3+'Publication Bias Analysis'!P$4*Inverse_standard_error),"")</f>
        <v/>
      </c>
      <c r="HO41" s="176"/>
      <c r="HP41" s="64" t="str">
        <f>IF(AND(Include_study?="Yes",Sufficient_data="Yes"),(GD:GD-SUMPRODUCT(Calculations!FT:FT,'Publication Bias Analysis'!E:E)/SUM(Calculations!FT:FT))/SQRT(Calculations!HQ:HQ),"")</f>
        <v/>
      </c>
      <c r="HQ41" s="64" t="str">
        <f>IF(AND(Include_study?="Yes",Sufficient_data="Yes"),GE:GE^2-1/SUM(Calculations!FT:FT),"")</f>
        <v/>
      </c>
      <c r="HR41" s="7" t="str">
        <f t="shared" si="213"/>
        <v/>
      </c>
      <c r="HS41" s="7" t="str">
        <f t="shared" si="214"/>
        <v/>
      </c>
      <c r="HT41" s="7" t="str">
        <f>IF(AND(Include_study?="Yes",Sufficient_data="Yes"),COUNTIFS(HR$2:HR40,"&lt;"&amp;HR41,HS$2:HS40,"&lt;"&amp;HS41)+COUNTIFS(HR42:HR$201,"&lt;"&amp;HR41,HS42:HS$201,"&lt;"&amp;HS41)+COUNTIFS(HR$2:HR40,"&gt;"&amp;HR41,HS$2:HS40,"&gt;"&amp;HS41)+COUNTIFS(HR42:HR$201,"&gt;"&amp;HR41,HS42:HS$201,"&gt;"&amp;HS41),"")</f>
        <v/>
      </c>
      <c r="HU41" s="104" t="str">
        <f>IF(AND(Include_study?="Yes",Sufficient_data="Yes"),COUNTIFS(HR$2:HR40,"&lt;"&amp;HR41,HS$2:HS40,"&gt;"&amp;HS41)+COUNTIFS(HR42:HR$201,"&lt;"&amp;HR41,HS42:HS$201,"&gt;"&amp;HS41)+COUNTIFS(HR$2:HR40,"&gt;"&amp;HR41,HS$2:HS40,"&lt;"&amp;HS41)+COUNTIFS(HR42:HR$201,"&gt;"&amp;HR41,HS42:HS$201,"&lt;"&amp;HS41),"")</f>
        <v/>
      </c>
      <c r="HW41" s="176"/>
      <c r="IB41" s="176"/>
      <c r="IC41" s="146" t="e">
        <f t="shared" si="215"/>
        <v>#N/A</v>
      </c>
      <c r="ID41" s="137" t="e">
        <f t="shared" si="216"/>
        <v>#N/A</v>
      </c>
      <c r="IE41" s="137" t="str">
        <f t="shared" si="217"/>
        <v/>
      </c>
      <c r="IF41" s="95" t="str">
        <f t="shared" si="218"/>
        <v/>
      </c>
      <c r="IK41" s="176"/>
      <c r="IL41" s="3" t="e">
        <f>IF(AND(Include_study?="Yes",Sufficient_data="Yes"),'Publication Bias Analysis'!AV:AV,NA())</f>
        <v>#N/A</v>
      </c>
      <c r="IM41" s="158" t="e">
        <f>IF(AND(Sufficient_data="Yes",Include_study?="Yes"),'Publication Bias Analysis'!AU:AU,NA())</f>
        <v>#N/A</v>
      </c>
      <c r="IN41" s="62" t="str">
        <f t="shared" si="219"/>
        <v/>
      </c>
      <c r="IO41" s="74" t="str">
        <f>IF(AND(Include_study?="Yes",Sufficient_data="Yes"),Z_score-('Publication Bias Analysis'!AY$30+'Publication Bias Analysis'!AY$31*Inverse_standard_error),"")</f>
        <v/>
      </c>
      <c r="IU41" s="176"/>
      <c r="IV41" s="7" t="str">
        <f>IF('Publication Bias Analysis'!BG:BG&lt;&gt;"",RANK('Publication Bias Analysis'!BG:BG,'Publication Bias Analysis'!BG:BG,1)+COUNTIF('Publication Bias Analysis'!BG$2:BG40,'Publication Bias Analysis'!BG41),"")</f>
        <v/>
      </c>
      <c r="IW41" s="124" t="str">
        <f t="shared" si="220"/>
        <v/>
      </c>
      <c r="IX41" s="125" t="e">
        <f>IF('Publication Bias Analysis'!BF41&lt;&gt;"",'Publication Bias Analysis'!BF41,NA())</f>
        <v>#N/A</v>
      </c>
      <c r="IY41" s="125" t="e">
        <f>IF('Publication Bias Analysis'!BG41&lt;&gt;"",'Publication Bias Analysis'!BG41,NA())</f>
        <v>#N/A</v>
      </c>
      <c r="IZ41" s="62" t="str">
        <f>IF(AND(Include_study?="Yes",Sufficient_data="Yes"),'Publication Bias Analysis'!BF:BF-AVERAGE('Publication Bias Analysis'!BF:BF),"")</f>
        <v/>
      </c>
      <c r="JA41" s="74" t="str">
        <f>IF(AND(Include_study?="Yes",Sufficient_data="Yes"),'Publication Bias Analysis'!BG:BG-('Publication Bias Analysis'!BJ$30+'Publication Bias Analysis'!BJ$31*'Publication Bias Analysis'!BF:BF),"")</f>
        <v/>
      </c>
      <c r="JG41" s="176"/>
      <c r="JH41" s="39" t="str">
        <f t="shared" si="221"/>
        <v/>
      </c>
      <c r="JI41" s="148" t="str">
        <f t="shared" si="124"/>
        <v/>
      </c>
      <c r="JJ41" s="74" t="str">
        <f t="shared" si="125"/>
        <v/>
      </c>
    </row>
    <row r="42" spans="1:270" x14ac:dyDescent="0.2">
      <c r="A42" s="2" t="str">
        <f t="shared" si="126"/>
        <v/>
      </c>
      <c r="B42" s="7" t="str">
        <f>IF(AND(Include_study?="Yes",Sufficient_data="Yes"),IF(Input!a_&lt;&gt;"",Input!a_,Input!n1_-Input!b_),"")</f>
        <v/>
      </c>
      <c r="C42" s="7" t="str">
        <f>IF(AND(Include_study?="Yes",Sufficient_data="Yes"),IF(Input!b_&lt;&gt;"",Input!b_,Input!n1_-Input!a_),"")</f>
        <v/>
      </c>
      <c r="D42" s="7" t="str">
        <f>IF(AND(Include_study?="Yes",Sufficient_data="Yes"),IF(Input!c_&lt;&gt;"",Input!c_,Input!n2_-Input!d_),"")</f>
        <v/>
      </c>
      <c r="E42" s="7" t="str">
        <f>IF(AND(Include_study?="Yes",Sufficient_data="Yes"),IF(Input!d_&lt;&gt;"",Input!d_,Input!n2_-Input!c_),"")</f>
        <v/>
      </c>
      <c r="F42" s="74" t="str">
        <f t="shared" si="127"/>
        <v/>
      </c>
      <c r="H42" s="196"/>
      <c r="I42" s="182"/>
      <c r="J42" s="146" t="str">
        <f t="shared" si="2"/>
        <v/>
      </c>
      <c r="K42" s="39" t="str">
        <f t="shared" si="128"/>
        <v/>
      </c>
      <c r="L42" s="39" t="str">
        <f t="shared" si="129"/>
        <v/>
      </c>
      <c r="M42" s="39" t="str">
        <f t="shared" si="130"/>
        <v/>
      </c>
      <c r="N42" s="74" t="str">
        <f t="shared" si="131"/>
        <v/>
      </c>
      <c r="P42" s="176"/>
      <c r="Q42" s="130" t="str">
        <f t="shared" si="132"/>
        <v/>
      </c>
      <c r="R42" s="39" t="str">
        <f t="shared" si="133"/>
        <v/>
      </c>
      <c r="S42" s="39" t="str">
        <f t="shared" si="134"/>
        <v/>
      </c>
      <c r="T42" s="74" t="str">
        <f t="shared" si="135"/>
        <v/>
      </c>
      <c r="V42" s="176"/>
      <c r="W42" s="130" t="str">
        <f t="shared" si="136"/>
        <v/>
      </c>
      <c r="X42" s="39" t="str">
        <f t="shared" si="137"/>
        <v/>
      </c>
      <c r="Y42" s="39" t="str">
        <f t="shared" si="138"/>
        <v/>
      </c>
      <c r="Z42" s="74" t="str">
        <f t="shared" si="139"/>
        <v/>
      </c>
      <c r="AB42" s="176"/>
      <c r="AC42" s="130" t="str">
        <f t="shared" si="140"/>
        <v/>
      </c>
      <c r="AD42" s="39" t="str">
        <f t="shared" si="141"/>
        <v/>
      </c>
      <c r="AE42" s="39" t="str">
        <f t="shared" si="142"/>
        <v/>
      </c>
      <c r="AF42" s="39" t="str">
        <f t="shared" si="143"/>
        <v/>
      </c>
      <c r="AG42" s="74" t="str">
        <f t="shared" si="144"/>
        <v/>
      </c>
      <c r="AI42" s="196"/>
      <c r="AJ4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2" s="136" t="str">
        <f>IF(AJ42&lt;&gt;"",IF(AJ42=0,COUNTIF(AJ$2:AJ41,0)+1,COUNTIF(AJ$2:AJ41,AJ42)+AJ42+COUNTIF(AJ:AJ,0)),"")</f>
        <v/>
      </c>
      <c r="AL42" s="136" t="str">
        <f t="shared" si="20"/>
        <v/>
      </c>
      <c r="AM42" s="155" t="str">
        <f>IF(AND(Include_study?="Yes",Sufficient_data="Yes",Input!Study_name&lt;&gt;""),Input!Study_name,"")</f>
        <v/>
      </c>
      <c r="AN42" s="136" t="str">
        <f t="shared" si="21"/>
        <v/>
      </c>
      <c r="AO42" s="19" t="str">
        <f t="shared" si="145"/>
        <v/>
      </c>
      <c r="AP42" s="158" t="str">
        <f t="shared" si="146"/>
        <v/>
      </c>
      <c r="AQ42" s="158" t="str">
        <f t="shared" si="147"/>
        <v/>
      </c>
      <c r="AR42" s="39" t="str">
        <f t="shared" si="148"/>
        <v/>
      </c>
      <c r="AS42" s="158" t="str">
        <f t="shared" si="149"/>
        <v/>
      </c>
      <c r="AT42" s="39" t="str">
        <f t="shared" si="150"/>
        <v/>
      </c>
      <c r="AU42" s="172" t="str">
        <f t="shared" si="151"/>
        <v/>
      </c>
      <c r="AW42" s="84" t="e">
        <f t="shared" si="152"/>
        <v>#N/A</v>
      </c>
      <c r="AX42" s="3" t="e">
        <f t="shared" si="153"/>
        <v>#N/A</v>
      </c>
      <c r="AY42" s="74" t="e">
        <f t="shared" si="154"/>
        <v>#N/A</v>
      </c>
      <c r="BD42" s="196"/>
      <c r="BE42" s="182"/>
      <c r="BF42" s="3" t="str">
        <f t="shared" si="155"/>
        <v/>
      </c>
      <c r="BG42" s="3" t="str">
        <f t="shared" si="156"/>
        <v/>
      </c>
      <c r="BH42" s="3" t="str">
        <f t="shared" si="157"/>
        <v/>
      </c>
      <c r="BI42" s="39" t="str">
        <f t="shared" si="158"/>
        <v/>
      </c>
      <c r="BJ42" s="95" t="str">
        <f t="shared" si="159"/>
        <v/>
      </c>
      <c r="BO42" s="176"/>
      <c r="BP42" s="158" t="str">
        <f t="shared" si="160"/>
        <v/>
      </c>
      <c r="BQ42" s="158" t="str">
        <f t="shared" si="161"/>
        <v/>
      </c>
      <c r="BR42" s="158" t="str">
        <f t="shared" si="162"/>
        <v/>
      </c>
      <c r="BS42" s="158" t="str">
        <f>IF(AND(Sufficient_data="Yes",Include_study?="Yes"),IF(Add_0_5="Yes",(a_+d_+1)*(ab_+0.5)*(c_+0.5)/(Number_of_subjects+2)^2,(a_+d_)*b_*c_/Number_of_subjects^2),"")</f>
        <v/>
      </c>
      <c r="BT42" s="158" t="str">
        <f t="shared" si="163"/>
        <v/>
      </c>
      <c r="BU42" s="158" t="str">
        <f t="shared" si="164"/>
        <v/>
      </c>
      <c r="BV42" s="158" t="str">
        <f t="shared" si="165"/>
        <v/>
      </c>
      <c r="BW42" s="3" t="str">
        <f t="shared" si="166"/>
        <v/>
      </c>
      <c r="BX42" s="137" t="str">
        <f t="shared" si="167"/>
        <v/>
      </c>
      <c r="BY42" s="95" t="str">
        <f t="shared" si="168"/>
        <v/>
      </c>
      <c r="CD42" s="176"/>
      <c r="CE42" s="130" t="str">
        <f t="shared" si="169"/>
        <v/>
      </c>
      <c r="CF42" s="39" t="str">
        <f t="shared" si="170"/>
        <v/>
      </c>
      <c r="CG42" s="39" t="str">
        <f t="shared" si="171"/>
        <v/>
      </c>
      <c r="CH42" s="39" t="str">
        <f t="shared" si="172"/>
        <v/>
      </c>
      <c r="CI42" s="39" t="str">
        <f t="shared" si="173"/>
        <v/>
      </c>
      <c r="CJ42" s="39" t="str">
        <f t="shared" si="50"/>
        <v/>
      </c>
      <c r="CK42" s="95" t="str">
        <f t="shared" si="174"/>
        <v/>
      </c>
      <c r="CP42" s="176"/>
      <c r="CQ42" s="99" t="str">
        <f t="shared" si="175"/>
        <v/>
      </c>
      <c r="CX42" s="196"/>
      <c r="CY42" s="89" t="e">
        <f t="shared" si="176"/>
        <v>#N/A</v>
      </c>
      <c r="CZ42" s="136" t="str">
        <f t="shared" si="177"/>
        <v/>
      </c>
      <c r="DA42" s="140" t="str">
        <f t="shared" si="178"/>
        <v/>
      </c>
      <c r="DB42" s="39" t="str">
        <f t="shared" si="179"/>
        <v/>
      </c>
      <c r="DC42" s="39" t="str">
        <f t="shared" si="180"/>
        <v/>
      </c>
      <c r="DD42" s="39" t="str">
        <f t="shared" si="181"/>
        <v/>
      </c>
      <c r="DE42" s="39" t="str">
        <f t="shared" si="182"/>
        <v/>
      </c>
      <c r="DF42" s="141" t="str">
        <f t="shared" si="183"/>
        <v/>
      </c>
      <c r="DG42" s="39" t="str">
        <f t="shared" si="184"/>
        <v/>
      </c>
      <c r="DH42" s="39" t="str">
        <f t="shared" si="185"/>
        <v/>
      </c>
      <c r="DI42" s="39" t="str">
        <f t="shared" si="186"/>
        <v/>
      </c>
      <c r="DJ42" s="74" t="str">
        <f t="shared" si="187"/>
        <v/>
      </c>
      <c r="DL42" s="84" t="e">
        <f t="shared" si="188"/>
        <v>#N/A</v>
      </c>
      <c r="DM42" s="39" t="e">
        <f t="shared" si="189"/>
        <v>#N/A</v>
      </c>
      <c r="DN42" s="74" t="e">
        <f t="shared" si="190"/>
        <v>#N/A</v>
      </c>
      <c r="DP42" s="89" t="str">
        <f t="shared" si="102"/>
        <v/>
      </c>
      <c r="DQ42" s="26" t="str">
        <f>IF(AND(Sufficient_data="Yes",Subgroup&lt;&gt;""),IF(COUNTIFS(Input!J$2:J41,"="&amp;"Yes",Input!C$2:C41,"="&amp;"Yes",Input!K$2:K41,"="&amp;Subgroup)&gt;0,"",Subgroup),"")</f>
        <v/>
      </c>
      <c r="DR42" s="7" t="str">
        <f t="shared" si="103"/>
        <v/>
      </c>
      <c r="DS42" s="7" t="str">
        <f t="shared" si="191"/>
        <v/>
      </c>
      <c r="DT42" s="19" t="str">
        <f t="shared" si="192"/>
        <v/>
      </c>
      <c r="DU42" s="12" t="str">
        <f t="shared" si="104"/>
        <v/>
      </c>
      <c r="DV42" s="11" t="str">
        <f t="shared" si="105"/>
        <v/>
      </c>
      <c r="DW42" s="12" t="str">
        <f t="shared" si="193"/>
        <v/>
      </c>
      <c r="DX42" s="12" t="str">
        <f t="shared" si="194"/>
        <v/>
      </c>
      <c r="DY42" s="19" t="str">
        <f t="shared" si="106"/>
        <v/>
      </c>
      <c r="DZ42" s="12" t="str">
        <f t="shared" si="195"/>
        <v/>
      </c>
      <c r="EA42" s="19" t="str">
        <f t="shared" si="196"/>
        <v/>
      </c>
      <c r="EB42" s="7" t="str">
        <f t="shared" si="197"/>
        <v/>
      </c>
      <c r="EC42" s="19" t="str">
        <f t="shared" si="198"/>
        <v/>
      </c>
      <c r="ED42" s="19" t="str">
        <f t="shared" si="199"/>
        <v/>
      </c>
      <c r="EE42" s="19" t="str">
        <f t="shared" si="109"/>
        <v/>
      </c>
      <c r="EF42" s="19" t="str">
        <f t="shared" si="110"/>
        <v/>
      </c>
      <c r="EG42" s="19" t="str">
        <f t="shared" si="111"/>
        <v/>
      </c>
      <c r="EH42" s="19" t="str">
        <f t="shared" si="112"/>
        <v/>
      </c>
      <c r="EI42" s="19" t="str">
        <f t="shared" si="113"/>
        <v/>
      </c>
      <c r="EJ42" s="19" t="str">
        <f t="shared" si="200"/>
        <v/>
      </c>
      <c r="EK42" s="19" t="str">
        <f t="shared" si="201"/>
        <v/>
      </c>
      <c r="EL42" s="19" t="str">
        <f t="shared" si="115"/>
        <v/>
      </c>
      <c r="EM42" s="19" t="str">
        <f t="shared" si="116"/>
        <v/>
      </c>
      <c r="EN42" s="19" t="str">
        <f t="shared" si="117"/>
        <v/>
      </c>
      <c r="EO42" s="19" t="str">
        <f t="shared" si="118"/>
        <v/>
      </c>
      <c r="EP42" s="19" t="str">
        <f t="shared" si="202"/>
        <v/>
      </c>
      <c r="EQ42" s="19" t="e">
        <f t="shared" si="119"/>
        <v>#N/A</v>
      </c>
      <c r="ER42" s="11" t="str">
        <f t="shared" si="120"/>
        <v/>
      </c>
      <c r="ES42" s="19" t="str">
        <f t="shared" si="121"/>
        <v/>
      </c>
      <c r="ET42" s="156" t="str">
        <f t="shared" si="203"/>
        <v/>
      </c>
      <c r="EU42" s="39" t="str">
        <f t="shared" si="204"/>
        <v/>
      </c>
      <c r="EV42" s="74" t="str">
        <f t="shared" si="205"/>
        <v/>
      </c>
      <c r="EX42" s="57" t="s">
        <v>332</v>
      </c>
      <c r="EY42" s="57"/>
      <c r="FA42" s="196"/>
      <c r="FB42" s="84" t="e">
        <f>IF(AND(Include_study?="Yes",Sufficient_data="Yes",Moderator&lt;&gt;""),'Moderator Analysis'!E42,NA())</f>
        <v>#N/A</v>
      </c>
      <c r="FC42" s="39" t="e">
        <f>IF(AND(Include_study?="Yes",Sufficient_data="Yes",Moderator&lt;&gt;""),'Moderator Analysis'!F42,NA())</f>
        <v>#N/A</v>
      </c>
      <c r="FD42" s="39" t="str">
        <f t="shared" si="206"/>
        <v/>
      </c>
      <c r="FE42" s="39" t="str">
        <f t="shared" si="207"/>
        <v/>
      </c>
      <c r="FF42" s="39" t="str">
        <f>IF(AND(Include_study?="Yes",Sufficient_data="Yes",Moderator&lt;&gt;""),'Moderator Analysis'!F:F-FP$2,"")</f>
        <v/>
      </c>
      <c r="FG42" s="39" t="str">
        <f>IF(AND(Include_study?="Yes",Sufficient_data="Yes",Moderator&lt;&gt;""),'Moderator Analysis'!E:E-FP$3,"")</f>
        <v/>
      </c>
      <c r="FH42" s="74" t="str">
        <f>IF(AND(Include_study?="Yes",Sufficient_data="Yes",Moderator&lt;&gt;""),FE:FE*('Moderator Analysis'!F:F-FP$5-FP$4*'Moderator Analysis'!E:E)^2,"")</f>
        <v/>
      </c>
      <c r="FI42" s="128"/>
      <c r="FJ42" s="92" t="str">
        <f t="shared" si="208"/>
        <v/>
      </c>
      <c r="FK42" s="137" t="str">
        <f>IF(AND(Include_study?="Yes",Sufficient_data="Yes",Moderator&lt;&gt;""),'Moderator Analysis'!F:F-'Moderator Analysis'!J$37,"")</f>
        <v/>
      </c>
      <c r="FL42" s="137" t="str">
        <f>IF(AND(Include_study?="Yes",Sufficient_data="Yes",Moderator&lt;&gt;""),'Moderator Analysis'!E:E-SUMPRODUCT('Moderator Analysis'!E:E,FJ:FJ)/SUM(FJ:FJ),"")</f>
        <v/>
      </c>
      <c r="FM42" s="95" t="str">
        <f>IF(AND(Include_study?="Yes",Sufficient_data="Yes",Moderator&lt;&gt;""),FJ:FJ*('Moderator Analysis'!F:F-'Moderator Analysis'!J$29-'Moderator Analysis'!J$30*'Moderator Analysis'!E:E)^2,"")</f>
        <v/>
      </c>
      <c r="FN42" s="21"/>
      <c r="FR42" s="196"/>
      <c r="FS42" s="182"/>
      <c r="FT4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2" s="39" t="str">
        <f>IF(AND(Include_study?="Yes",Sufficient_data="Yes"),1/('Publication Bias Analysis'!F:F^2+IF(Additional_model="Fixed effect",0,Calculations!GH$12)),"")</f>
        <v/>
      </c>
      <c r="FV42" s="39" t="str">
        <f>IF(AND(Include_study?="Yes",Sufficient_data="Yes"),1/('Publication Bias Analysis'!F:F^2+IF(Additional_model="Fixed effect",0,'Publication Bias Analysis'!L$32)),"")</f>
        <v/>
      </c>
      <c r="FW42" s="39" t="str">
        <f>IF(AND(Include_study?="Yes",Sufficient_data="Yes"),'Publication Bias Analysis'!E:E-'Publication Bias Analysis'!I$37,"")</f>
        <v/>
      </c>
      <c r="FX42" s="39" t="str">
        <f>IF(AND(Include_study?="Yes",Sufficient_data="Yes"),IF(Additional_model="Fixed effect",1/'Publication Bias Analysis'!F:F,1/SQRT('Publication Bias Analysis'!F:F^2+GH$12)),"")</f>
        <v/>
      </c>
      <c r="FY4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2" s="136" t="str">
        <f t="shared" si="209"/>
        <v/>
      </c>
      <c r="GA42" s="144" t="str">
        <f>IF(AND(Include_study?="Yes",Sufficient_data="Yes"),FZ:FZ+IF(GL:GL&lt;0,-1,1)*COUNTIF(FZ$2:FZ41,FZ:FZ),"")</f>
        <v/>
      </c>
      <c r="GB42" s="144" t="str">
        <f>IF(AND(Include_study?="Yes",Sufficient_data="Yes"),RANK(GP:GP,GP:GP,1)*IF(GO:GO&lt;0,-1,1)+IF(GO:GO&lt;0,-1,1)*COUNTIF(FZ$2:FZ41,FZ:FZ),"")</f>
        <v/>
      </c>
      <c r="GC42" s="144" t="str">
        <f>IF(AND(Include_study?="Yes",Sufficient_data="Yes"),RANK(GS:GS,GS:GS,1)*IF(GR:GR&lt;0,-1,1)+IF(GR:GR&lt;0,-1,1)*COUNTIF(FZ$2:FZ41,FZ:FZ),"")</f>
        <v/>
      </c>
      <c r="GD42" s="39" t="e">
        <f>IF(AND(Include_study?="Yes",Sufficient_data="Yes"),'Publication Bias Analysis'!E42,NA())</f>
        <v>#N/A</v>
      </c>
      <c r="GE42" s="74" t="e">
        <f>IF(AND(Include_study?="Yes",Sufficient_data="Yes"),'Publication Bias Analysis'!F42,NA())</f>
        <v>#N/A</v>
      </c>
      <c r="GK42" s="176"/>
      <c r="GL4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2" s="39" t="str">
        <f t="shared" si="210"/>
        <v/>
      </c>
      <c r="GN4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2" s="39" t="str">
        <f>IF(AND(Include_study?="Yes",Sufficient_data="Yes"),IF('Publication Bias Analysis'!L$38="Left",'Publication Bias Analysis'!E:E-GW$3,GW$3-'Publication Bias Analysis'!E:E),"")</f>
        <v/>
      </c>
      <c r="GP42" s="39" t="str">
        <f t="shared" si="211"/>
        <v/>
      </c>
      <c r="GQ4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2" s="39" t="str">
        <f>IF(AND(Include_study?="Yes",Sufficient_data="Yes"),IF('Publication Bias Analysis'!L$38="Left",'Publication Bias Analysis'!E:E-GW$10,GW$10-'Publication Bias Analysis'!E:E),"")</f>
        <v/>
      </c>
      <c r="GS42" s="39" t="str">
        <f t="shared" si="212"/>
        <v/>
      </c>
      <c r="GT4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X42"/>
      <c r="HK42" s="176"/>
      <c r="HL42" s="66" t="str">
        <f t="shared" si="89"/>
        <v/>
      </c>
      <c r="HM42" s="74" t="str">
        <f>IF(AND(Include_study?="Yes",Sufficient_data="Yes"),Z_score-('Publication Bias Analysis'!P$3+'Publication Bias Analysis'!P$4*Inverse_standard_error),"")</f>
        <v/>
      </c>
      <c r="HO42" s="176"/>
      <c r="HP42" s="64" t="str">
        <f>IF(AND(Include_study?="Yes",Sufficient_data="Yes"),(GD:GD-SUMPRODUCT(Calculations!FT:FT,'Publication Bias Analysis'!E:E)/SUM(Calculations!FT:FT))/SQRT(Calculations!HQ:HQ),"")</f>
        <v/>
      </c>
      <c r="HQ42" s="64" t="str">
        <f>IF(AND(Include_study?="Yes",Sufficient_data="Yes"),GE:GE^2-1/SUM(Calculations!FT:FT),"")</f>
        <v/>
      </c>
      <c r="HR42" s="7" t="str">
        <f t="shared" si="213"/>
        <v/>
      </c>
      <c r="HS42" s="7" t="str">
        <f t="shared" si="214"/>
        <v/>
      </c>
      <c r="HT42" s="7" t="str">
        <f>IF(AND(Include_study?="Yes",Sufficient_data="Yes"),COUNTIFS(HR$2:HR41,"&lt;"&amp;HR42,HS$2:HS41,"&lt;"&amp;HS42)+COUNTIFS(HR43:HR$201,"&lt;"&amp;HR42,HS43:HS$201,"&lt;"&amp;HS42)+COUNTIFS(HR$2:HR41,"&gt;"&amp;HR42,HS$2:HS41,"&gt;"&amp;HS42)+COUNTIFS(HR43:HR$201,"&gt;"&amp;HR42,HS43:HS$201,"&gt;"&amp;HS42),"")</f>
        <v/>
      </c>
      <c r="HU42" s="104" t="str">
        <f>IF(AND(Include_study?="Yes",Sufficient_data="Yes"),COUNTIFS(HR$2:HR41,"&lt;"&amp;HR42,HS$2:HS41,"&gt;"&amp;HS42)+COUNTIFS(HR43:HR$201,"&lt;"&amp;HR42,HS43:HS$201,"&gt;"&amp;HS42)+COUNTIFS(HR$2:HR41,"&gt;"&amp;HR42,HS$2:HS41,"&lt;"&amp;HS42)+COUNTIFS(HR43:HR$201,"&gt;"&amp;HR42,HS43:HS$201,"&lt;"&amp;HS42),"")</f>
        <v/>
      </c>
      <c r="HW42" s="176"/>
      <c r="IB42" s="176"/>
      <c r="IC42" s="146" t="e">
        <f t="shared" si="215"/>
        <v>#N/A</v>
      </c>
      <c r="ID42" s="137" t="e">
        <f t="shared" si="216"/>
        <v>#N/A</v>
      </c>
      <c r="IE42" s="137" t="str">
        <f t="shared" si="217"/>
        <v/>
      </c>
      <c r="IF42" s="95" t="str">
        <f t="shared" si="218"/>
        <v/>
      </c>
      <c r="IK42" s="176"/>
      <c r="IL42" s="3" t="e">
        <f>IF(AND(Include_study?="Yes",Sufficient_data="Yes"),'Publication Bias Analysis'!AV:AV,NA())</f>
        <v>#N/A</v>
      </c>
      <c r="IM42" s="158" t="e">
        <f>IF(AND(Sufficient_data="Yes",Include_study?="Yes"),'Publication Bias Analysis'!AU:AU,NA())</f>
        <v>#N/A</v>
      </c>
      <c r="IN42" s="62" t="str">
        <f t="shared" si="219"/>
        <v/>
      </c>
      <c r="IO42" s="74" t="str">
        <f>IF(AND(Include_study?="Yes",Sufficient_data="Yes"),Z_score-('Publication Bias Analysis'!AY$30+'Publication Bias Analysis'!AY$31*Inverse_standard_error),"")</f>
        <v/>
      </c>
      <c r="IU42" s="176"/>
      <c r="IV42" s="7" t="str">
        <f>IF('Publication Bias Analysis'!BG:BG&lt;&gt;"",RANK('Publication Bias Analysis'!BG:BG,'Publication Bias Analysis'!BG:BG,1)+COUNTIF('Publication Bias Analysis'!BG$2:BG41,'Publication Bias Analysis'!BG42),"")</f>
        <v/>
      </c>
      <c r="IW42" s="124" t="str">
        <f t="shared" si="220"/>
        <v/>
      </c>
      <c r="IX42" s="125" t="e">
        <f>IF('Publication Bias Analysis'!BF42&lt;&gt;"",'Publication Bias Analysis'!BF42,NA())</f>
        <v>#N/A</v>
      </c>
      <c r="IY42" s="125" t="e">
        <f>IF('Publication Bias Analysis'!BG42&lt;&gt;"",'Publication Bias Analysis'!BG42,NA())</f>
        <v>#N/A</v>
      </c>
      <c r="IZ42" s="62" t="str">
        <f>IF(AND(Include_study?="Yes",Sufficient_data="Yes"),'Publication Bias Analysis'!BF:BF-AVERAGE('Publication Bias Analysis'!BF:BF),"")</f>
        <v/>
      </c>
      <c r="JA42" s="74" t="str">
        <f>IF(AND(Include_study?="Yes",Sufficient_data="Yes"),'Publication Bias Analysis'!BG:BG-('Publication Bias Analysis'!BJ$30+'Publication Bias Analysis'!BJ$31*'Publication Bias Analysis'!BF:BF),"")</f>
        <v/>
      </c>
      <c r="JG42" s="176"/>
      <c r="JH42" s="39" t="str">
        <f t="shared" si="221"/>
        <v/>
      </c>
      <c r="JI42" s="148" t="str">
        <f t="shared" si="124"/>
        <v/>
      </c>
      <c r="JJ42" s="74" t="str">
        <f t="shared" si="125"/>
        <v/>
      </c>
    </row>
    <row r="43" spans="1:270" x14ac:dyDescent="0.2">
      <c r="A43" s="2" t="str">
        <f t="shared" si="126"/>
        <v/>
      </c>
      <c r="B43" s="7" t="str">
        <f>IF(AND(Include_study?="Yes",Sufficient_data="Yes"),IF(Input!a_&lt;&gt;"",Input!a_,Input!n1_-Input!b_),"")</f>
        <v/>
      </c>
      <c r="C43" s="7" t="str">
        <f>IF(AND(Include_study?="Yes",Sufficient_data="Yes"),IF(Input!b_&lt;&gt;"",Input!b_,Input!n1_-Input!a_),"")</f>
        <v/>
      </c>
      <c r="D43" s="7" t="str">
        <f>IF(AND(Include_study?="Yes",Sufficient_data="Yes"),IF(Input!c_&lt;&gt;"",Input!c_,Input!n2_-Input!d_),"")</f>
        <v/>
      </c>
      <c r="E43" s="7" t="str">
        <f>IF(AND(Include_study?="Yes",Sufficient_data="Yes"),IF(Input!d_&lt;&gt;"",Input!d_,Input!n2_-Input!c_),"")</f>
        <v/>
      </c>
      <c r="F43" s="74" t="str">
        <f t="shared" si="127"/>
        <v/>
      </c>
      <c r="H43" s="196"/>
      <c r="I43" s="182"/>
      <c r="J43" s="146" t="str">
        <f t="shared" si="2"/>
        <v/>
      </c>
      <c r="K43" s="39" t="str">
        <f t="shared" si="128"/>
        <v/>
      </c>
      <c r="L43" s="39" t="str">
        <f t="shared" si="129"/>
        <v/>
      </c>
      <c r="M43" s="39" t="str">
        <f t="shared" si="130"/>
        <v/>
      </c>
      <c r="N43" s="74" t="str">
        <f t="shared" si="131"/>
        <v/>
      </c>
      <c r="P43" s="176"/>
      <c r="Q43" s="130" t="str">
        <f t="shared" si="132"/>
        <v/>
      </c>
      <c r="R43" s="39" t="str">
        <f t="shared" si="133"/>
        <v/>
      </c>
      <c r="S43" s="39" t="str">
        <f t="shared" si="134"/>
        <v/>
      </c>
      <c r="T43" s="74" t="str">
        <f t="shared" si="135"/>
        <v/>
      </c>
      <c r="V43" s="176"/>
      <c r="W43" s="130" t="str">
        <f t="shared" si="136"/>
        <v/>
      </c>
      <c r="X43" s="39" t="str">
        <f t="shared" si="137"/>
        <v/>
      </c>
      <c r="Y43" s="39" t="str">
        <f t="shared" si="138"/>
        <v/>
      </c>
      <c r="Z43" s="74" t="str">
        <f t="shared" si="139"/>
        <v/>
      </c>
      <c r="AB43" s="176"/>
      <c r="AC43" s="130" t="str">
        <f t="shared" si="140"/>
        <v/>
      </c>
      <c r="AD43" s="39" t="str">
        <f t="shared" si="141"/>
        <v/>
      </c>
      <c r="AE43" s="39" t="str">
        <f t="shared" si="142"/>
        <v/>
      </c>
      <c r="AF43" s="39" t="str">
        <f t="shared" si="143"/>
        <v/>
      </c>
      <c r="AG43" s="74" t="str">
        <f t="shared" si="144"/>
        <v/>
      </c>
      <c r="AI43" s="196"/>
      <c r="AJ4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3" s="136" t="str">
        <f>IF(AJ43&lt;&gt;"",IF(AJ43=0,COUNTIF(AJ$2:AJ42,0)+1,COUNTIF(AJ$2:AJ42,AJ43)+AJ43+COUNTIF(AJ:AJ,0)),"")</f>
        <v/>
      </c>
      <c r="AL43" s="136" t="str">
        <f t="shared" si="20"/>
        <v/>
      </c>
      <c r="AM43" s="155" t="str">
        <f>IF(AND(Include_study?="Yes",Sufficient_data="Yes",Input!Study_name&lt;&gt;""),Input!Study_name,"")</f>
        <v/>
      </c>
      <c r="AN43" s="136" t="str">
        <f t="shared" si="21"/>
        <v/>
      </c>
      <c r="AO43" s="19" t="str">
        <f t="shared" si="145"/>
        <v/>
      </c>
      <c r="AP43" s="158" t="str">
        <f t="shared" si="146"/>
        <v/>
      </c>
      <c r="AQ43" s="158" t="str">
        <f t="shared" si="147"/>
        <v/>
      </c>
      <c r="AR43" s="39" t="str">
        <f t="shared" si="148"/>
        <v/>
      </c>
      <c r="AS43" s="158" t="str">
        <f t="shared" si="149"/>
        <v/>
      </c>
      <c r="AT43" s="39" t="str">
        <f t="shared" si="150"/>
        <v/>
      </c>
      <c r="AU43" s="172" t="str">
        <f t="shared" si="151"/>
        <v/>
      </c>
      <c r="AW43" s="84" t="e">
        <f t="shared" si="152"/>
        <v>#N/A</v>
      </c>
      <c r="AX43" s="3" t="e">
        <f t="shared" si="153"/>
        <v>#N/A</v>
      </c>
      <c r="AY43" s="74" t="e">
        <f t="shared" si="154"/>
        <v>#N/A</v>
      </c>
      <c r="BD43" s="196"/>
      <c r="BE43" s="182"/>
      <c r="BF43" s="3" t="str">
        <f t="shared" si="155"/>
        <v/>
      </c>
      <c r="BG43" s="3" t="str">
        <f t="shared" si="156"/>
        <v/>
      </c>
      <c r="BH43" s="3" t="str">
        <f t="shared" si="157"/>
        <v/>
      </c>
      <c r="BI43" s="39" t="str">
        <f t="shared" si="158"/>
        <v/>
      </c>
      <c r="BJ43" s="95" t="str">
        <f t="shared" si="159"/>
        <v/>
      </c>
      <c r="BO43" s="176"/>
      <c r="BP43" s="158" t="str">
        <f t="shared" si="160"/>
        <v/>
      </c>
      <c r="BQ43" s="158" t="str">
        <f t="shared" si="161"/>
        <v/>
      </c>
      <c r="BR43" s="158" t="str">
        <f t="shared" si="162"/>
        <v/>
      </c>
      <c r="BS43" s="158" t="str">
        <f>IF(AND(Sufficient_data="Yes",Include_study?="Yes"),IF(Add_0_5="Yes",(a_+d_+1)*(ab_+0.5)*(c_+0.5)/(Number_of_subjects+2)^2,(a_+d_)*b_*c_/Number_of_subjects^2),"")</f>
        <v/>
      </c>
      <c r="BT43" s="158" t="str">
        <f t="shared" si="163"/>
        <v/>
      </c>
      <c r="BU43" s="158" t="str">
        <f t="shared" si="164"/>
        <v/>
      </c>
      <c r="BV43" s="158" t="str">
        <f t="shared" si="165"/>
        <v/>
      </c>
      <c r="BW43" s="3" t="str">
        <f t="shared" si="166"/>
        <v/>
      </c>
      <c r="BX43" s="137" t="str">
        <f t="shared" si="167"/>
        <v/>
      </c>
      <c r="BY43" s="95" t="str">
        <f t="shared" si="168"/>
        <v/>
      </c>
      <c r="CD43" s="176"/>
      <c r="CE43" s="130" t="str">
        <f t="shared" si="169"/>
        <v/>
      </c>
      <c r="CF43" s="39" t="str">
        <f t="shared" si="170"/>
        <v/>
      </c>
      <c r="CG43" s="39" t="str">
        <f t="shared" si="171"/>
        <v/>
      </c>
      <c r="CH43" s="39" t="str">
        <f t="shared" si="172"/>
        <v/>
      </c>
      <c r="CI43" s="39" t="str">
        <f t="shared" si="173"/>
        <v/>
      </c>
      <c r="CJ43" s="39" t="str">
        <f t="shared" si="50"/>
        <v/>
      </c>
      <c r="CK43" s="95" t="str">
        <f t="shared" si="174"/>
        <v/>
      </c>
      <c r="CP43" s="176"/>
      <c r="CQ43" s="99" t="str">
        <f t="shared" si="175"/>
        <v/>
      </c>
      <c r="CX43" s="196"/>
      <c r="CY43" s="89" t="e">
        <f t="shared" si="176"/>
        <v>#N/A</v>
      </c>
      <c r="CZ43" s="136" t="str">
        <f t="shared" si="177"/>
        <v/>
      </c>
      <c r="DA43" s="140" t="str">
        <f t="shared" si="178"/>
        <v/>
      </c>
      <c r="DB43" s="39" t="str">
        <f t="shared" si="179"/>
        <v/>
      </c>
      <c r="DC43" s="39" t="str">
        <f t="shared" si="180"/>
        <v/>
      </c>
      <c r="DD43" s="39" t="str">
        <f t="shared" si="181"/>
        <v/>
      </c>
      <c r="DE43" s="39" t="str">
        <f t="shared" si="182"/>
        <v/>
      </c>
      <c r="DF43" s="141" t="str">
        <f t="shared" si="183"/>
        <v/>
      </c>
      <c r="DG43" s="39" t="str">
        <f t="shared" si="184"/>
        <v/>
      </c>
      <c r="DH43" s="39" t="str">
        <f t="shared" si="185"/>
        <v/>
      </c>
      <c r="DI43" s="39" t="str">
        <f t="shared" si="186"/>
        <v/>
      </c>
      <c r="DJ43" s="74" t="str">
        <f t="shared" si="187"/>
        <v/>
      </c>
      <c r="DL43" s="84" t="e">
        <f t="shared" si="188"/>
        <v>#N/A</v>
      </c>
      <c r="DM43" s="39" t="e">
        <f t="shared" si="189"/>
        <v>#N/A</v>
      </c>
      <c r="DN43" s="74" t="e">
        <f t="shared" si="190"/>
        <v>#N/A</v>
      </c>
      <c r="DP43" s="89" t="str">
        <f t="shared" si="102"/>
        <v/>
      </c>
      <c r="DQ43" s="26" t="str">
        <f>IF(AND(Sufficient_data="Yes",Subgroup&lt;&gt;""),IF(COUNTIFS(Input!J$2:J42,"="&amp;"Yes",Input!C$2:C42,"="&amp;"Yes",Input!K$2:K42,"="&amp;Subgroup)&gt;0,"",Subgroup),"")</f>
        <v/>
      </c>
      <c r="DR43" s="7" t="str">
        <f t="shared" si="103"/>
        <v/>
      </c>
      <c r="DS43" s="7" t="str">
        <f t="shared" si="191"/>
        <v/>
      </c>
      <c r="DT43" s="19" t="str">
        <f t="shared" si="192"/>
        <v/>
      </c>
      <c r="DU43" s="12" t="str">
        <f t="shared" si="104"/>
        <v/>
      </c>
      <c r="DV43" s="11" t="str">
        <f t="shared" si="105"/>
        <v/>
      </c>
      <c r="DW43" s="12" t="str">
        <f t="shared" si="193"/>
        <v/>
      </c>
      <c r="DX43" s="12" t="str">
        <f t="shared" si="194"/>
        <v/>
      </c>
      <c r="DY43" s="19" t="str">
        <f t="shared" si="106"/>
        <v/>
      </c>
      <c r="DZ43" s="12" t="str">
        <f t="shared" si="195"/>
        <v/>
      </c>
      <c r="EA43" s="19" t="str">
        <f t="shared" si="196"/>
        <v/>
      </c>
      <c r="EB43" s="7" t="str">
        <f t="shared" si="197"/>
        <v/>
      </c>
      <c r="EC43" s="19" t="str">
        <f t="shared" si="198"/>
        <v/>
      </c>
      <c r="ED43" s="19" t="str">
        <f t="shared" si="199"/>
        <v/>
      </c>
      <c r="EE43" s="19" t="str">
        <f t="shared" si="109"/>
        <v/>
      </c>
      <c r="EF43" s="19" t="str">
        <f t="shared" si="110"/>
        <v/>
      </c>
      <c r="EG43" s="19" t="str">
        <f t="shared" si="111"/>
        <v/>
      </c>
      <c r="EH43" s="19" t="str">
        <f t="shared" si="112"/>
        <v/>
      </c>
      <c r="EI43" s="19" t="str">
        <f t="shared" si="113"/>
        <v/>
      </c>
      <c r="EJ43" s="19" t="str">
        <f t="shared" si="200"/>
        <v/>
      </c>
      <c r="EK43" s="19" t="str">
        <f t="shared" si="201"/>
        <v/>
      </c>
      <c r="EL43" s="19" t="str">
        <f t="shared" si="115"/>
        <v/>
      </c>
      <c r="EM43" s="19" t="str">
        <f t="shared" si="116"/>
        <v/>
      </c>
      <c r="EN43" s="19" t="str">
        <f t="shared" si="117"/>
        <v/>
      </c>
      <c r="EO43" s="19" t="str">
        <f t="shared" si="118"/>
        <v/>
      </c>
      <c r="EP43" s="19" t="str">
        <f t="shared" si="202"/>
        <v/>
      </c>
      <c r="EQ43" s="19" t="e">
        <f t="shared" si="119"/>
        <v>#N/A</v>
      </c>
      <c r="ER43" s="11" t="str">
        <f t="shared" si="120"/>
        <v/>
      </c>
      <c r="ES43" s="19" t="str">
        <f t="shared" si="121"/>
        <v/>
      </c>
      <c r="ET43" s="156" t="str">
        <f t="shared" si="203"/>
        <v/>
      </c>
      <c r="EU43" s="39" t="str">
        <f t="shared" si="204"/>
        <v/>
      </c>
      <c r="EV43" s="74" t="str">
        <f t="shared" si="205"/>
        <v/>
      </c>
      <c r="EX43" s="58" t="s">
        <v>231</v>
      </c>
      <c r="EY43" s="169"/>
      <c r="FA43" s="196"/>
      <c r="FB43" s="84" t="e">
        <f>IF(AND(Include_study?="Yes",Sufficient_data="Yes",Moderator&lt;&gt;""),'Moderator Analysis'!E43,NA())</f>
        <v>#N/A</v>
      </c>
      <c r="FC43" s="39" t="e">
        <f>IF(AND(Include_study?="Yes",Sufficient_data="Yes",Moderator&lt;&gt;""),'Moderator Analysis'!F43,NA())</f>
        <v>#N/A</v>
      </c>
      <c r="FD43" s="39" t="str">
        <f t="shared" si="206"/>
        <v/>
      </c>
      <c r="FE43" s="39" t="str">
        <f t="shared" si="207"/>
        <v/>
      </c>
      <c r="FF43" s="39" t="str">
        <f>IF(AND(Include_study?="Yes",Sufficient_data="Yes",Moderator&lt;&gt;""),'Moderator Analysis'!F:F-FP$2,"")</f>
        <v/>
      </c>
      <c r="FG43" s="39" t="str">
        <f>IF(AND(Include_study?="Yes",Sufficient_data="Yes",Moderator&lt;&gt;""),'Moderator Analysis'!E:E-FP$3,"")</f>
        <v/>
      </c>
      <c r="FH43" s="74" t="str">
        <f>IF(AND(Include_study?="Yes",Sufficient_data="Yes",Moderator&lt;&gt;""),FE:FE*('Moderator Analysis'!F:F-FP$5-FP$4*'Moderator Analysis'!E:E)^2,"")</f>
        <v/>
      </c>
      <c r="FI43" s="128"/>
      <c r="FJ43" s="92" t="str">
        <f t="shared" si="208"/>
        <v/>
      </c>
      <c r="FK43" s="137" t="str">
        <f>IF(AND(Include_study?="Yes",Sufficient_data="Yes",Moderator&lt;&gt;""),'Moderator Analysis'!F:F-'Moderator Analysis'!J$37,"")</f>
        <v/>
      </c>
      <c r="FL43" s="137" t="str">
        <f>IF(AND(Include_study?="Yes",Sufficient_data="Yes",Moderator&lt;&gt;""),'Moderator Analysis'!E:E-SUMPRODUCT('Moderator Analysis'!E:E,FJ:FJ)/SUM(FJ:FJ),"")</f>
        <v/>
      </c>
      <c r="FM43" s="95" t="str">
        <f>IF(AND(Include_study?="Yes",Sufficient_data="Yes",Moderator&lt;&gt;""),FJ:FJ*('Moderator Analysis'!F:F-'Moderator Analysis'!J$29-'Moderator Analysis'!J$30*'Moderator Analysis'!E:E)^2,"")</f>
        <v/>
      </c>
      <c r="FN43" s="21"/>
      <c r="FR43" s="196"/>
      <c r="FS43" s="182"/>
      <c r="FT4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3" s="39" t="str">
        <f>IF(AND(Include_study?="Yes",Sufficient_data="Yes"),1/('Publication Bias Analysis'!F:F^2+IF(Additional_model="Fixed effect",0,Calculations!GH$12)),"")</f>
        <v/>
      </c>
      <c r="FV43" s="39" t="str">
        <f>IF(AND(Include_study?="Yes",Sufficient_data="Yes"),1/('Publication Bias Analysis'!F:F^2+IF(Additional_model="Fixed effect",0,'Publication Bias Analysis'!L$32)),"")</f>
        <v/>
      </c>
      <c r="FW43" s="39" t="str">
        <f>IF(AND(Include_study?="Yes",Sufficient_data="Yes"),'Publication Bias Analysis'!E:E-'Publication Bias Analysis'!I$37,"")</f>
        <v/>
      </c>
      <c r="FX43" s="39" t="str">
        <f>IF(AND(Include_study?="Yes",Sufficient_data="Yes"),IF(Additional_model="Fixed effect",1/'Publication Bias Analysis'!F:F,1/SQRT('Publication Bias Analysis'!F:F^2+GH$12)),"")</f>
        <v/>
      </c>
      <c r="FY4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3" s="136" t="str">
        <f t="shared" si="209"/>
        <v/>
      </c>
      <c r="GA43" s="144" t="str">
        <f>IF(AND(Include_study?="Yes",Sufficient_data="Yes"),FZ:FZ+IF(GL:GL&lt;0,-1,1)*COUNTIF(FZ$2:FZ42,FZ:FZ),"")</f>
        <v/>
      </c>
      <c r="GB43" s="144" t="str">
        <f>IF(AND(Include_study?="Yes",Sufficient_data="Yes"),RANK(GP:GP,GP:GP,1)*IF(GO:GO&lt;0,-1,1)+IF(GO:GO&lt;0,-1,1)*COUNTIF(FZ$2:FZ42,FZ:FZ),"")</f>
        <v/>
      </c>
      <c r="GC43" s="144" t="str">
        <f>IF(AND(Include_study?="Yes",Sufficient_data="Yes"),RANK(GS:GS,GS:GS,1)*IF(GR:GR&lt;0,-1,1)+IF(GR:GR&lt;0,-1,1)*COUNTIF(FZ$2:FZ42,FZ:FZ),"")</f>
        <v/>
      </c>
      <c r="GD43" s="39" t="e">
        <f>IF(AND(Include_study?="Yes",Sufficient_data="Yes"),'Publication Bias Analysis'!E43,NA())</f>
        <v>#N/A</v>
      </c>
      <c r="GE43" s="74" t="e">
        <f>IF(AND(Include_study?="Yes",Sufficient_data="Yes"),'Publication Bias Analysis'!F43,NA())</f>
        <v>#N/A</v>
      </c>
      <c r="GK43" s="176"/>
      <c r="GL4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3" s="39" t="str">
        <f t="shared" si="210"/>
        <v/>
      </c>
      <c r="GN4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3" s="39" t="str">
        <f>IF(AND(Include_study?="Yes",Sufficient_data="Yes"),IF('Publication Bias Analysis'!L$38="Left",'Publication Bias Analysis'!E:E-GW$3,GW$3-'Publication Bias Analysis'!E:E),"")</f>
        <v/>
      </c>
      <c r="GP43" s="39" t="str">
        <f t="shared" si="211"/>
        <v/>
      </c>
      <c r="GQ4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3" s="39" t="str">
        <f>IF(AND(Include_study?="Yes",Sufficient_data="Yes"),IF('Publication Bias Analysis'!L$38="Left",'Publication Bias Analysis'!E:E-GW$10,GW$10-'Publication Bias Analysis'!E:E),"")</f>
        <v/>
      </c>
      <c r="GS43" s="39" t="str">
        <f t="shared" si="212"/>
        <v/>
      </c>
      <c r="GT4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X43"/>
      <c r="HK43" s="176"/>
      <c r="HL43" s="66" t="str">
        <f t="shared" si="89"/>
        <v/>
      </c>
      <c r="HM43" s="74" t="str">
        <f>IF(AND(Include_study?="Yes",Sufficient_data="Yes"),Z_score-('Publication Bias Analysis'!P$3+'Publication Bias Analysis'!P$4*Inverse_standard_error),"")</f>
        <v/>
      </c>
      <c r="HO43" s="176"/>
      <c r="HP43" s="64" t="str">
        <f>IF(AND(Include_study?="Yes",Sufficient_data="Yes"),(GD:GD-SUMPRODUCT(Calculations!FT:FT,'Publication Bias Analysis'!E:E)/SUM(Calculations!FT:FT))/SQRT(Calculations!HQ:HQ),"")</f>
        <v/>
      </c>
      <c r="HQ43" s="64" t="str">
        <f>IF(AND(Include_study?="Yes",Sufficient_data="Yes"),GE:GE^2-1/SUM(Calculations!FT:FT),"")</f>
        <v/>
      </c>
      <c r="HR43" s="7" t="str">
        <f t="shared" si="213"/>
        <v/>
      </c>
      <c r="HS43" s="7" t="str">
        <f t="shared" si="214"/>
        <v/>
      </c>
      <c r="HT43" s="7" t="str">
        <f>IF(AND(Include_study?="Yes",Sufficient_data="Yes"),COUNTIFS(HR$2:HR42,"&lt;"&amp;HR43,HS$2:HS42,"&lt;"&amp;HS43)+COUNTIFS(HR44:HR$201,"&lt;"&amp;HR43,HS44:HS$201,"&lt;"&amp;HS43)+COUNTIFS(HR$2:HR42,"&gt;"&amp;HR43,HS$2:HS42,"&gt;"&amp;HS43)+COUNTIFS(HR44:HR$201,"&gt;"&amp;HR43,HS44:HS$201,"&gt;"&amp;HS43),"")</f>
        <v/>
      </c>
      <c r="HU43" s="104" t="str">
        <f>IF(AND(Include_study?="Yes",Sufficient_data="Yes"),COUNTIFS(HR$2:HR42,"&lt;"&amp;HR43,HS$2:HS42,"&gt;"&amp;HS43)+COUNTIFS(HR44:HR$201,"&lt;"&amp;HR43,HS44:HS$201,"&gt;"&amp;HS43)+COUNTIFS(HR$2:HR42,"&gt;"&amp;HR43,HS$2:HS42,"&lt;"&amp;HS43)+COUNTIFS(HR44:HR$201,"&gt;"&amp;HR43,HS44:HS$201,"&lt;"&amp;HS43),"")</f>
        <v/>
      </c>
      <c r="HW43" s="176"/>
      <c r="IB43" s="176"/>
      <c r="IC43" s="146" t="e">
        <f t="shared" si="215"/>
        <v>#N/A</v>
      </c>
      <c r="ID43" s="137" t="e">
        <f t="shared" si="216"/>
        <v>#N/A</v>
      </c>
      <c r="IE43" s="137" t="str">
        <f t="shared" si="217"/>
        <v/>
      </c>
      <c r="IF43" s="95" t="str">
        <f t="shared" si="218"/>
        <v/>
      </c>
      <c r="IK43" s="176"/>
      <c r="IL43" s="3" t="e">
        <f>IF(AND(Include_study?="Yes",Sufficient_data="Yes"),'Publication Bias Analysis'!AV:AV,NA())</f>
        <v>#N/A</v>
      </c>
      <c r="IM43" s="158" t="e">
        <f>IF(AND(Sufficient_data="Yes",Include_study?="Yes"),'Publication Bias Analysis'!AU:AU,NA())</f>
        <v>#N/A</v>
      </c>
      <c r="IN43" s="62" t="str">
        <f t="shared" si="219"/>
        <v/>
      </c>
      <c r="IO43" s="74" t="str">
        <f>IF(AND(Include_study?="Yes",Sufficient_data="Yes"),Z_score-('Publication Bias Analysis'!AY$30+'Publication Bias Analysis'!AY$31*Inverse_standard_error),"")</f>
        <v/>
      </c>
      <c r="IU43" s="176"/>
      <c r="IV43" s="7" t="str">
        <f>IF('Publication Bias Analysis'!BG:BG&lt;&gt;"",RANK('Publication Bias Analysis'!BG:BG,'Publication Bias Analysis'!BG:BG,1)+COUNTIF('Publication Bias Analysis'!BG$2:BG42,'Publication Bias Analysis'!BG43),"")</f>
        <v/>
      </c>
      <c r="IW43" s="124" t="str">
        <f t="shared" si="220"/>
        <v/>
      </c>
      <c r="IX43" s="125" t="e">
        <f>IF('Publication Bias Analysis'!BF43&lt;&gt;"",'Publication Bias Analysis'!BF43,NA())</f>
        <v>#N/A</v>
      </c>
      <c r="IY43" s="125" t="e">
        <f>IF('Publication Bias Analysis'!BG43&lt;&gt;"",'Publication Bias Analysis'!BG43,NA())</f>
        <v>#N/A</v>
      </c>
      <c r="IZ43" s="62" t="str">
        <f>IF(AND(Include_study?="Yes",Sufficient_data="Yes"),'Publication Bias Analysis'!BF:BF-AVERAGE('Publication Bias Analysis'!BF:BF),"")</f>
        <v/>
      </c>
      <c r="JA43" s="74" t="str">
        <f>IF(AND(Include_study?="Yes",Sufficient_data="Yes"),'Publication Bias Analysis'!BG:BG-('Publication Bias Analysis'!BJ$30+'Publication Bias Analysis'!BJ$31*'Publication Bias Analysis'!BF:BF),"")</f>
        <v/>
      </c>
      <c r="JG43" s="176"/>
      <c r="JH43" s="39" t="str">
        <f t="shared" si="221"/>
        <v/>
      </c>
      <c r="JI43" s="148" t="str">
        <f t="shared" si="124"/>
        <v/>
      </c>
      <c r="JJ43" s="74" t="str">
        <f t="shared" si="125"/>
        <v/>
      </c>
    </row>
    <row r="44" spans="1:270" x14ac:dyDescent="0.2">
      <c r="A44" s="2" t="str">
        <f t="shared" si="126"/>
        <v/>
      </c>
      <c r="B44" s="7" t="str">
        <f>IF(AND(Include_study?="Yes",Sufficient_data="Yes"),IF(Input!a_&lt;&gt;"",Input!a_,Input!n1_-Input!b_),"")</f>
        <v/>
      </c>
      <c r="C44" s="7" t="str">
        <f>IF(AND(Include_study?="Yes",Sufficient_data="Yes"),IF(Input!b_&lt;&gt;"",Input!b_,Input!n1_-Input!a_),"")</f>
        <v/>
      </c>
      <c r="D44" s="7" t="str">
        <f>IF(AND(Include_study?="Yes",Sufficient_data="Yes"),IF(Input!c_&lt;&gt;"",Input!c_,Input!n2_-Input!d_),"")</f>
        <v/>
      </c>
      <c r="E44" s="7" t="str">
        <f>IF(AND(Include_study?="Yes",Sufficient_data="Yes"),IF(Input!d_&lt;&gt;"",Input!d_,Input!n2_-Input!c_),"")</f>
        <v/>
      </c>
      <c r="F44" s="74" t="str">
        <f t="shared" si="127"/>
        <v/>
      </c>
      <c r="H44" s="196"/>
      <c r="I44" s="182"/>
      <c r="J44" s="146" t="str">
        <f t="shared" si="2"/>
        <v/>
      </c>
      <c r="K44" s="39" t="str">
        <f t="shared" si="128"/>
        <v/>
      </c>
      <c r="L44" s="39" t="str">
        <f t="shared" si="129"/>
        <v/>
      </c>
      <c r="M44" s="39" t="str">
        <f t="shared" si="130"/>
        <v/>
      </c>
      <c r="N44" s="74" t="str">
        <f t="shared" si="131"/>
        <v/>
      </c>
      <c r="P44" s="176"/>
      <c r="Q44" s="130" t="str">
        <f t="shared" si="132"/>
        <v/>
      </c>
      <c r="R44" s="39" t="str">
        <f t="shared" si="133"/>
        <v/>
      </c>
      <c r="S44" s="39" t="str">
        <f t="shared" si="134"/>
        <v/>
      </c>
      <c r="T44" s="74" t="str">
        <f t="shared" si="135"/>
        <v/>
      </c>
      <c r="V44" s="176"/>
      <c r="W44" s="130" t="str">
        <f t="shared" si="136"/>
        <v/>
      </c>
      <c r="X44" s="39" t="str">
        <f t="shared" si="137"/>
        <v/>
      </c>
      <c r="Y44" s="39" t="str">
        <f t="shared" si="138"/>
        <v/>
      </c>
      <c r="Z44" s="74" t="str">
        <f t="shared" si="139"/>
        <v/>
      </c>
      <c r="AB44" s="176"/>
      <c r="AC44" s="130" t="str">
        <f t="shared" si="140"/>
        <v/>
      </c>
      <c r="AD44" s="39" t="str">
        <f t="shared" si="141"/>
        <v/>
      </c>
      <c r="AE44" s="39" t="str">
        <f t="shared" si="142"/>
        <v/>
      </c>
      <c r="AF44" s="39" t="str">
        <f t="shared" si="143"/>
        <v/>
      </c>
      <c r="AG44" s="74" t="str">
        <f t="shared" si="144"/>
        <v/>
      </c>
      <c r="AI44" s="196"/>
      <c r="AJ4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4" s="136" t="str">
        <f>IF(AJ44&lt;&gt;"",IF(AJ44=0,COUNTIF(AJ$2:AJ43,0)+1,COUNTIF(AJ$2:AJ43,AJ44)+AJ44+COUNTIF(AJ:AJ,0)),"")</f>
        <v/>
      </c>
      <c r="AL44" s="136" t="str">
        <f t="shared" si="20"/>
        <v/>
      </c>
      <c r="AM44" s="155" t="str">
        <f>IF(AND(Include_study?="Yes",Sufficient_data="Yes",Input!Study_name&lt;&gt;""),Input!Study_name,"")</f>
        <v/>
      </c>
      <c r="AN44" s="136" t="str">
        <f t="shared" si="21"/>
        <v/>
      </c>
      <c r="AO44" s="19" t="str">
        <f t="shared" si="145"/>
        <v/>
      </c>
      <c r="AP44" s="158" t="str">
        <f t="shared" si="146"/>
        <v/>
      </c>
      <c r="AQ44" s="158" t="str">
        <f t="shared" si="147"/>
        <v/>
      </c>
      <c r="AR44" s="39" t="str">
        <f t="shared" si="148"/>
        <v/>
      </c>
      <c r="AS44" s="158" t="str">
        <f t="shared" si="149"/>
        <v/>
      </c>
      <c r="AT44" s="39" t="str">
        <f t="shared" si="150"/>
        <v/>
      </c>
      <c r="AU44" s="172" t="str">
        <f t="shared" si="151"/>
        <v/>
      </c>
      <c r="AW44" s="84" t="e">
        <f t="shared" si="152"/>
        <v>#N/A</v>
      </c>
      <c r="AX44" s="3" t="e">
        <f t="shared" si="153"/>
        <v>#N/A</v>
      </c>
      <c r="AY44" s="74" t="e">
        <f t="shared" si="154"/>
        <v>#N/A</v>
      </c>
      <c r="BD44" s="196"/>
      <c r="BE44" s="182"/>
      <c r="BF44" s="3" t="str">
        <f t="shared" si="155"/>
        <v/>
      </c>
      <c r="BG44" s="3" t="str">
        <f t="shared" si="156"/>
        <v/>
      </c>
      <c r="BH44" s="3" t="str">
        <f t="shared" si="157"/>
        <v/>
      </c>
      <c r="BI44" s="39" t="str">
        <f t="shared" si="158"/>
        <v/>
      </c>
      <c r="BJ44" s="95" t="str">
        <f t="shared" si="159"/>
        <v/>
      </c>
      <c r="BO44" s="176"/>
      <c r="BP44" s="158" t="str">
        <f t="shared" si="160"/>
        <v/>
      </c>
      <c r="BQ44" s="158" t="str">
        <f t="shared" si="161"/>
        <v/>
      </c>
      <c r="BR44" s="158" t="str">
        <f t="shared" si="162"/>
        <v/>
      </c>
      <c r="BS44" s="158" t="str">
        <f>IF(AND(Sufficient_data="Yes",Include_study?="Yes"),IF(Add_0_5="Yes",(a_+d_+1)*(ab_+0.5)*(c_+0.5)/(Number_of_subjects+2)^2,(a_+d_)*b_*c_/Number_of_subjects^2),"")</f>
        <v/>
      </c>
      <c r="BT44" s="158" t="str">
        <f t="shared" si="163"/>
        <v/>
      </c>
      <c r="BU44" s="158" t="str">
        <f t="shared" si="164"/>
        <v/>
      </c>
      <c r="BV44" s="158" t="str">
        <f t="shared" si="165"/>
        <v/>
      </c>
      <c r="BW44" s="3" t="str">
        <f t="shared" si="166"/>
        <v/>
      </c>
      <c r="BX44" s="137" t="str">
        <f t="shared" si="167"/>
        <v/>
      </c>
      <c r="BY44" s="95" t="str">
        <f t="shared" si="168"/>
        <v/>
      </c>
      <c r="CD44" s="176"/>
      <c r="CE44" s="130" t="str">
        <f t="shared" si="169"/>
        <v/>
      </c>
      <c r="CF44" s="39" t="str">
        <f t="shared" si="170"/>
        <v/>
      </c>
      <c r="CG44" s="39" t="str">
        <f t="shared" si="171"/>
        <v/>
      </c>
      <c r="CH44" s="39" t="str">
        <f t="shared" si="172"/>
        <v/>
      </c>
      <c r="CI44" s="39" t="str">
        <f t="shared" si="173"/>
        <v/>
      </c>
      <c r="CJ44" s="39" t="str">
        <f t="shared" si="50"/>
        <v/>
      </c>
      <c r="CK44" s="95" t="str">
        <f t="shared" si="174"/>
        <v/>
      </c>
      <c r="CP44" s="176"/>
      <c r="CQ44" s="99" t="str">
        <f t="shared" si="175"/>
        <v/>
      </c>
      <c r="CX44" s="196"/>
      <c r="CY44" s="89" t="e">
        <f t="shared" si="176"/>
        <v>#N/A</v>
      </c>
      <c r="CZ44" s="136" t="str">
        <f t="shared" si="177"/>
        <v/>
      </c>
      <c r="DA44" s="140" t="str">
        <f t="shared" si="178"/>
        <v/>
      </c>
      <c r="DB44" s="39" t="str">
        <f t="shared" si="179"/>
        <v/>
      </c>
      <c r="DC44" s="39" t="str">
        <f t="shared" si="180"/>
        <v/>
      </c>
      <c r="DD44" s="39" t="str">
        <f t="shared" si="181"/>
        <v/>
      </c>
      <c r="DE44" s="39" t="str">
        <f t="shared" si="182"/>
        <v/>
      </c>
      <c r="DF44" s="141" t="str">
        <f t="shared" si="183"/>
        <v/>
      </c>
      <c r="DG44" s="39" t="str">
        <f t="shared" si="184"/>
        <v/>
      </c>
      <c r="DH44" s="39" t="str">
        <f t="shared" si="185"/>
        <v/>
      </c>
      <c r="DI44" s="39" t="str">
        <f t="shared" si="186"/>
        <v/>
      </c>
      <c r="DJ44" s="74" t="str">
        <f t="shared" si="187"/>
        <v/>
      </c>
      <c r="DL44" s="84" t="e">
        <f t="shared" si="188"/>
        <v>#N/A</v>
      </c>
      <c r="DM44" s="39" t="e">
        <f t="shared" si="189"/>
        <v>#N/A</v>
      </c>
      <c r="DN44" s="74" t="e">
        <f t="shared" si="190"/>
        <v>#N/A</v>
      </c>
      <c r="DP44" s="89" t="str">
        <f t="shared" si="102"/>
        <v/>
      </c>
      <c r="DQ44" s="26" t="str">
        <f>IF(AND(Sufficient_data="Yes",Subgroup&lt;&gt;""),IF(COUNTIFS(Input!J$2:J43,"="&amp;"Yes",Input!C$2:C43,"="&amp;"Yes",Input!K$2:K43,"="&amp;Subgroup)&gt;0,"",Subgroup),"")</f>
        <v/>
      </c>
      <c r="DR44" s="7" t="str">
        <f t="shared" si="103"/>
        <v/>
      </c>
      <c r="DS44" s="7" t="str">
        <f t="shared" si="191"/>
        <v/>
      </c>
      <c r="DT44" s="19" t="str">
        <f t="shared" si="192"/>
        <v/>
      </c>
      <c r="DU44" s="12" t="str">
        <f t="shared" si="104"/>
        <v/>
      </c>
      <c r="DV44" s="11" t="str">
        <f t="shared" si="105"/>
        <v/>
      </c>
      <c r="DW44" s="12" t="str">
        <f t="shared" si="193"/>
        <v/>
      </c>
      <c r="DX44" s="12" t="str">
        <f t="shared" si="194"/>
        <v/>
      </c>
      <c r="DY44" s="19" t="str">
        <f t="shared" si="106"/>
        <v/>
      </c>
      <c r="DZ44" s="12" t="str">
        <f t="shared" si="195"/>
        <v/>
      </c>
      <c r="EA44" s="19" t="str">
        <f t="shared" si="196"/>
        <v/>
      </c>
      <c r="EB44" s="7" t="str">
        <f t="shared" si="197"/>
        <v/>
      </c>
      <c r="EC44" s="19" t="str">
        <f t="shared" si="198"/>
        <v/>
      </c>
      <c r="ED44" s="19" t="str">
        <f t="shared" si="199"/>
        <v/>
      </c>
      <c r="EE44" s="19" t="str">
        <f t="shared" si="109"/>
        <v/>
      </c>
      <c r="EF44" s="19" t="str">
        <f t="shared" si="110"/>
        <v/>
      </c>
      <c r="EG44" s="19" t="str">
        <f t="shared" si="111"/>
        <v/>
      </c>
      <c r="EH44" s="19" t="str">
        <f t="shared" si="112"/>
        <v/>
      </c>
      <c r="EI44" s="19" t="str">
        <f t="shared" si="113"/>
        <v/>
      </c>
      <c r="EJ44" s="19" t="str">
        <f t="shared" si="200"/>
        <v/>
      </c>
      <c r="EK44" s="19" t="str">
        <f t="shared" si="201"/>
        <v/>
      </c>
      <c r="EL44" s="19" t="str">
        <f t="shared" si="115"/>
        <v/>
      </c>
      <c r="EM44" s="19" t="str">
        <f t="shared" si="116"/>
        <v/>
      </c>
      <c r="EN44" s="19" t="str">
        <f t="shared" si="117"/>
        <v/>
      </c>
      <c r="EO44" s="19" t="str">
        <f t="shared" si="118"/>
        <v/>
      </c>
      <c r="EP44" s="19" t="str">
        <f t="shared" si="202"/>
        <v/>
      </c>
      <c r="EQ44" s="19" t="e">
        <f t="shared" si="119"/>
        <v>#N/A</v>
      </c>
      <c r="ER44" s="11" t="str">
        <f t="shared" si="120"/>
        <v/>
      </c>
      <c r="ES44" s="19" t="str">
        <f t="shared" si="121"/>
        <v/>
      </c>
      <c r="ET44" s="156" t="str">
        <f t="shared" si="203"/>
        <v/>
      </c>
      <c r="EU44" s="39" t="str">
        <f t="shared" si="204"/>
        <v/>
      </c>
      <c r="EV44" s="74" t="str">
        <f t="shared" si="205"/>
        <v/>
      </c>
      <c r="EX44" s="58" t="s">
        <v>232</v>
      </c>
      <c r="EY44" s="169"/>
      <c r="FA44" s="196"/>
      <c r="FB44" s="84" t="e">
        <f>IF(AND(Include_study?="Yes",Sufficient_data="Yes",Moderator&lt;&gt;""),'Moderator Analysis'!E44,NA())</f>
        <v>#N/A</v>
      </c>
      <c r="FC44" s="39" t="e">
        <f>IF(AND(Include_study?="Yes",Sufficient_data="Yes",Moderator&lt;&gt;""),'Moderator Analysis'!F44,NA())</f>
        <v>#N/A</v>
      </c>
      <c r="FD44" s="39" t="str">
        <f t="shared" si="206"/>
        <v/>
      </c>
      <c r="FE44" s="39" t="str">
        <f t="shared" si="207"/>
        <v/>
      </c>
      <c r="FF44" s="39" t="str">
        <f>IF(AND(Include_study?="Yes",Sufficient_data="Yes",Moderator&lt;&gt;""),'Moderator Analysis'!F:F-FP$2,"")</f>
        <v/>
      </c>
      <c r="FG44" s="39" t="str">
        <f>IF(AND(Include_study?="Yes",Sufficient_data="Yes",Moderator&lt;&gt;""),'Moderator Analysis'!E:E-FP$3,"")</f>
        <v/>
      </c>
      <c r="FH44" s="74" t="str">
        <f>IF(AND(Include_study?="Yes",Sufficient_data="Yes",Moderator&lt;&gt;""),FE:FE*('Moderator Analysis'!F:F-FP$5-FP$4*'Moderator Analysis'!E:E)^2,"")</f>
        <v/>
      </c>
      <c r="FI44" s="128"/>
      <c r="FJ44" s="92" t="str">
        <f t="shared" si="208"/>
        <v/>
      </c>
      <c r="FK44" s="137" t="str">
        <f>IF(AND(Include_study?="Yes",Sufficient_data="Yes",Moderator&lt;&gt;""),'Moderator Analysis'!F:F-'Moderator Analysis'!J$37,"")</f>
        <v/>
      </c>
      <c r="FL44" s="137" t="str">
        <f>IF(AND(Include_study?="Yes",Sufficient_data="Yes",Moderator&lt;&gt;""),'Moderator Analysis'!E:E-SUMPRODUCT('Moderator Analysis'!E:E,FJ:FJ)/SUM(FJ:FJ),"")</f>
        <v/>
      </c>
      <c r="FM44" s="95" t="str">
        <f>IF(AND(Include_study?="Yes",Sufficient_data="Yes",Moderator&lt;&gt;""),FJ:FJ*('Moderator Analysis'!F:F-'Moderator Analysis'!J$29-'Moderator Analysis'!J$30*'Moderator Analysis'!E:E)^2,"")</f>
        <v/>
      </c>
      <c r="FN44" s="21"/>
      <c r="FR44" s="196"/>
      <c r="FS44" s="182"/>
      <c r="FT4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4" s="39" t="str">
        <f>IF(AND(Include_study?="Yes",Sufficient_data="Yes"),1/('Publication Bias Analysis'!F:F^2+IF(Additional_model="Fixed effect",0,Calculations!GH$12)),"")</f>
        <v/>
      </c>
      <c r="FV44" s="39" t="str">
        <f>IF(AND(Include_study?="Yes",Sufficient_data="Yes"),1/('Publication Bias Analysis'!F:F^2+IF(Additional_model="Fixed effect",0,'Publication Bias Analysis'!L$32)),"")</f>
        <v/>
      </c>
      <c r="FW44" s="39" t="str">
        <f>IF(AND(Include_study?="Yes",Sufficient_data="Yes"),'Publication Bias Analysis'!E:E-'Publication Bias Analysis'!I$37,"")</f>
        <v/>
      </c>
      <c r="FX44" s="39" t="str">
        <f>IF(AND(Include_study?="Yes",Sufficient_data="Yes"),IF(Additional_model="Fixed effect",1/'Publication Bias Analysis'!F:F,1/SQRT('Publication Bias Analysis'!F:F^2+GH$12)),"")</f>
        <v/>
      </c>
      <c r="FY4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4" s="136" t="str">
        <f t="shared" si="209"/>
        <v/>
      </c>
      <c r="GA44" s="144" t="str">
        <f>IF(AND(Include_study?="Yes",Sufficient_data="Yes"),FZ:FZ+IF(GL:GL&lt;0,-1,1)*COUNTIF(FZ$2:FZ43,FZ:FZ),"")</f>
        <v/>
      </c>
      <c r="GB44" s="144" t="str">
        <f>IF(AND(Include_study?="Yes",Sufficient_data="Yes"),RANK(GP:GP,GP:GP,1)*IF(GO:GO&lt;0,-1,1)+IF(GO:GO&lt;0,-1,1)*COUNTIF(FZ$2:FZ43,FZ:FZ),"")</f>
        <v/>
      </c>
      <c r="GC44" s="144" t="str">
        <f>IF(AND(Include_study?="Yes",Sufficient_data="Yes"),RANK(GS:GS,GS:GS,1)*IF(GR:GR&lt;0,-1,1)+IF(GR:GR&lt;0,-1,1)*COUNTIF(FZ$2:FZ43,FZ:FZ),"")</f>
        <v/>
      </c>
      <c r="GD44" s="39" t="e">
        <f>IF(AND(Include_study?="Yes",Sufficient_data="Yes"),'Publication Bias Analysis'!E44,NA())</f>
        <v>#N/A</v>
      </c>
      <c r="GE44" s="74" t="e">
        <f>IF(AND(Include_study?="Yes",Sufficient_data="Yes"),'Publication Bias Analysis'!F44,NA())</f>
        <v>#N/A</v>
      </c>
      <c r="GK44" s="176"/>
      <c r="GL4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4" s="39" t="str">
        <f t="shared" si="210"/>
        <v/>
      </c>
      <c r="GN4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4" s="39" t="str">
        <f>IF(AND(Include_study?="Yes",Sufficient_data="Yes"),IF('Publication Bias Analysis'!L$38="Left",'Publication Bias Analysis'!E:E-GW$3,GW$3-'Publication Bias Analysis'!E:E),"")</f>
        <v/>
      </c>
      <c r="GP44" s="39" t="str">
        <f t="shared" si="211"/>
        <v/>
      </c>
      <c r="GQ4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4" s="39" t="str">
        <f>IF(AND(Include_study?="Yes",Sufficient_data="Yes"),IF('Publication Bias Analysis'!L$38="Left",'Publication Bias Analysis'!E:E-GW$10,GW$10-'Publication Bias Analysis'!E:E),"")</f>
        <v/>
      </c>
      <c r="GS44" s="39" t="str">
        <f t="shared" si="212"/>
        <v/>
      </c>
      <c r="GT4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GX44"/>
      <c r="HK44" s="176"/>
      <c r="HL44" s="66" t="str">
        <f t="shared" si="89"/>
        <v/>
      </c>
      <c r="HM44" s="74" t="str">
        <f>IF(AND(Include_study?="Yes",Sufficient_data="Yes"),Z_score-('Publication Bias Analysis'!P$3+'Publication Bias Analysis'!P$4*Inverse_standard_error),"")</f>
        <v/>
      </c>
      <c r="HO44" s="176"/>
      <c r="HP44" s="64" t="str">
        <f>IF(AND(Include_study?="Yes",Sufficient_data="Yes"),(GD:GD-SUMPRODUCT(Calculations!FT:FT,'Publication Bias Analysis'!E:E)/SUM(Calculations!FT:FT))/SQRT(Calculations!HQ:HQ),"")</f>
        <v/>
      </c>
      <c r="HQ44" s="64" t="str">
        <f>IF(AND(Include_study?="Yes",Sufficient_data="Yes"),GE:GE^2-1/SUM(Calculations!FT:FT),"")</f>
        <v/>
      </c>
      <c r="HR44" s="7" t="str">
        <f t="shared" si="213"/>
        <v/>
      </c>
      <c r="HS44" s="7" t="str">
        <f t="shared" si="214"/>
        <v/>
      </c>
      <c r="HT44" s="7" t="str">
        <f>IF(AND(Include_study?="Yes",Sufficient_data="Yes"),COUNTIFS(HR$2:HR43,"&lt;"&amp;HR44,HS$2:HS43,"&lt;"&amp;HS44)+COUNTIFS(HR45:HR$201,"&lt;"&amp;HR44,HS45:HS$201,"&lt;"&amp;HS44)+COUNTIFS(HR$2:HR43,"&gt;"&amp;HR44,HS$2:HS43,"&gt;"&amp;HS44)+COUNTIFS(HR45:HR$201,"&gt;"&amp;HR44,HS45:HS$201,"&gt;"&amp;HS44),"")</f>
        <v/>
      </c>
      <c r="HU44" s="104" t="str">
        <f>IF(AND(Include_study?="Yes",Sufficient_data="Yes"),COUNTIFS(HR$2:HR43,"&lt;"&amp;HR44,HS$2:HS43,"&gt;"&amp;HS44)+COUNTIFS(HR45:HR$201,"&lt;"&amp;HR44,HS45:HS$201,"&gt;"&amp;HS44)+COUNTIFS(HR$2:HR43,"&gt;"&amp;HR44,HS$2:HS43,"&lt;"&amp;HS44)+COUNTIFS(HR45:HR$201,"&gt;"&amp;HR44,HS45:HS$201,"&lt;"&amp;HS44),"")</f>
        <v/>
      </c>
      <c r="HW44" s="176"/>
      <c r="IB44" s="176"/>
      <c r="IC44" s="146" t="e">
        <f t="shared" si="215"/>
        <v>#N/A</v>
      </c>
      <c r="ID44" s="137" t="e">
        <f t="shared" si="216"/>
        <v>#N/A</v>
      </c>
      <c r="IE44" s="137" t="str">
        <f t="shared" si="217"/>
        <v/>
      </c>
      <c r="IF44" s="95" t="str">
        <f t="shared" si="218"/>
        <v/>
      </c>
      <c r="IK44" s="176"/>
      <c r="IL44" s="3" t="e">
        <f>IF(AND(Include_study?="Yes",Sufficient_data="Yes"),'Publication Bias Analysis'!AV:AV,NA())</f>
        <v>#N/A</v>
      </c>
      <c r="IM44" s="158" t="e">
        <f>IF(AND(Sufficient_data="Yes",Include_study?="Yes"),'Publication Bias Analysis'!AU:AU,NA())</f>
        <v>#N/A</v>
      </c>
      <c r="IN44" s="62" t="str">
        <f t="shared" si="219"/>
        <v/>
      </c>
      <c r="IO44" s="74" t="str">
        <f>IF(AND(Include_study?="Yes",Sufficient_data="Yes"),Z_score-('Publication Bias Analysis'!AY$30+'Publication Bias Analysis'!AY$31*Inverse_standard_error),"")</f>
        <v/>
      </c>
      <c r="IU44" s="176"/>
      <c r="IV44" s="7" t="str">
        <f>IF('Publication Bias Analysis'!BG:BG&lt;&gt;"",RANK('Publication Bias Analysis'!BG:BG,'Publication Bias Analysis'!BG:BG,1)+COUNTIF('Publication Bias Analysis'!BG$2:BG43,'Publication Bias Analysis'!BG44),"")</f>
        <v/>
      </c>
      <c r="IW44" s="124" t="str">
        <f t="shared" si="220"/>
        <v/>
      </c>
      <c r="IX44" s="125" t="e">
        <f>IF('Publication Bias Analysis'!BF44&lt;&gt;"",'Publication Bias Analysis'!BF44,NA())</f>
        <v>#N/A</v>
      </c>
      <c r="IY44" s="125" t="e">
        <f>IF('Publication Bias Analysis'!BG44&lt;&gt;"",'Publication Bias Analysis'!BG44,NA())</f>
        <v>#N/A</v>
      </c>
      <c r="IZ44" s="62" t="str">
        <f>IF(AND(Include_study?="Yes",Sufficient_data="Yes"),'Publication Bias Analysis'!BF:BF-AVERAGE('Publication Bias Analysis'!BF:BF),"")</f>
        <v/>
      </c>
      <c r="JA44" s="74" t="str">
        <f>IF(AND(Include_study?="Yes",Sufficient_data="Yes"),'Publication Bias Analysis'!BG:BG-('Publication Bias Analysis'!BJ$30+'Publication Bias Analysis'!BJ$31*'Publication Bias Analysis'!BF:BF),"")</f>
        <v/>
      </c>
      <c r="JG44" s="176"/>
      <c r="JH44" s="39" t="str">
        <f t="shared" si="221"/>
        <v/>
      </c>
      <c r="JI44" s="148" t="str">
        <f t="shared" si="124"/>
        <v/>
      </c>
      <c r="JJ44" s="74" t="str">
        <f t="shared" si="125"/>
        <v/>
      </c>
    </row>
    <row r="45" spans="1:270" x14ac:dyDescent="0.2">
      <c r="A45" s="2" t="str">
        <f t="shared" si="126"/>
        <v/>
      </c>
      <c r="B45" s="7" t="str">
        <f>IF(AND(Include_study?="Yes",Sufficient_data="Yes"),IF(Input!a_&lt;&gt;"",Input!a_,Input!n1_-Input!b_),"")</f>
        <v/>
      </c>
      <c r="C45" s="7" t="str">
        <f>IF(AND(Include_study?="Yes",Sufficient_data="Yes"),IF(Input!b_&lt;&gt;"",Input!b_,Input!n1_-Input!a_),"")</f>
        <v/>
      </c>
      <c r="D45" s="7" t="str">
        <f>IF(AND(Include_study?="Yes",Sufficient_data="Yes"),IF(Input!c_&lt;&gt;"",Input!c_,Input!n2_-Input!d_),"")</f>
        <v/>
      </c>
      <c r="E45" s="7" t="str">
        <f>IF(AND(Include_study?="Yes",Sufficient_data="Yes"),IF(Input!d_&lt;&gt;"",Input!d_,Input!n2_-Input!c_),"")</f>
        <v/>
      </c>
      <c r="F45" s="74" t="str">
        <f t="shared" si="127"/>
        <v/>
      </c>
      <c r="H45" s="196"/>
      <c r="I45" s="182"/>
      <c r="J45" s="146" t="str">
        <f t="shared" si="2"/>
        <v/>
      </c>
      <c r="K45" s="39" t="str">
        <f t="shared" si="128"/>
        <v/>
      </c>
      <c r="L45" s="39" t="str">
        <f t="shared" si="129"/>
        <v/>
      </c>
      <c r="M45" s="39" t="str">
        <f t="shared" si="130"/>
        <v/>
      </c>
      <c r="N45" s="74" t="str">
        <f t="shared" si="131"/>
        <v/>
      </c>
      <c r="P45" s="176"/>
      <c r="Q45" s="130" t="str">
        <f t="shared" si="132"/>
        <v/>
      </c>
      <c r="R45" s="39" t="str">
        <f t="shared" si="133"/>
        <v/>
      </c>
      <c r="S45" s="39" t="str">
        <f t="shared" si="134"/>
        <v/>
      </c>
      <c r="T45" s="74" t="str">
        <f t="shared" si="135"/>
        <v/>
      </c>
      <c r="V45" s="176"/>
      <c r="W45" s="130" t="str">
        <f t="shared" si="136"/>
        <v/>
      </c>
      <c r="X45" s="39" t="str">
        <f t="shared" si="137"/>
        <v/>
      </c>
      <c r="Y45" s="39" t="str">
        <f t="shared" si="138"/>
        <v/>
      </c>
      <c r="Z45" s="74" t="str">
        <f t="shared" si="139"/>
        <v/>
      </c>
      <c r="AB45" s="176"/>
      <c r="AC45" s="130" t="str">
        <f t="shared" si="140"/>
        <v/>
      </c>
      <c r="AD45" s="39" t="str">
        <f t="shared" si="141"/>
        <v/>
      </c>
      <c r="AE45" s="39" t="str">
        <f t="shared" si="142"/>
        <v/>
      </c>
      <c r="AF45" s="39" t="str">
        <f t="shared" si="143"/>
        <v/>
      </c>
      <c r="AG45" s="74" t="str">
        <f t="shared" si="144"/>
        <v/>
      </c>
      <c r="AI45" s="196"/>
      <c r="AJ4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5" s="136" t="str">
        <f>IF(AJ45&lt;&gt;"",IF(AJ45=0,COUNTIF(AJ$2:AJ44,0)+1,COUNTIF(AJ$2:AJ44,AJ45)+AJ45+COUNTIF(AJ:AJ,0)),"")</f>
        <v/>
      </c>
      <c r="AL45" s="136" t="str">
        <f t="shared" si="20"/>
        <v/>
      </c>
      <c r="AM45" s="155" t="str">
        <f>IF(AND(Include_study?="Yes",Sufficient_data="Yes",Input!Study_name&lt;&gt;""),Input!Study_name,"")</f>
        <v/>
      </c>
      <c r="AN45" s="136" t="str">
        <f t="shared" si="21"/>
        <v/>
      </c>
      <c r="AO45" s="19" t="str">
        <f t="shared" si="145"/>
        <v/>
      </c>
      <c r="AP45" s="158" t="str">
        <f t="shared" si="146"/>
        <v/>
      </c>
      <c r="AQ45" s="158" t="str">
        <f t="shared" si="147"/>
        <v/>
      </c>
      <c r="AR45" s="39" t="str">
        <f t="shared" si="148"/>
        <v/>
      </c>
      <c r="AS45" s="158" t="str">
        <f t="shared" si="149"/>
        <v/>
      </c>
      <c r="AT45" s="39" t="str">
        <f t="shared" si="150"/>
        <v/>
      </c>
      <c r="AU45" s="172" t="str">
        <f t="shared" si="151"/>
        <v/>
      </c>
      <c r="AW45" s="84" t="e">
        <f t="shared" si="152"/>
        <v>#N/A</v>
      </c>
      <c r="AX45" s="3" t="e">
        <f t="shared" si="153"/>
        <v>#N/A</v>
      </c>
      <c r="AY45" s="74" t="e">
        <f t="shared" si="154"/>
        <v>#N/A</v>
      </c>
      <c r="BD45" s="196"/>
      <c r="BE45" s="182"/>
      <c r="BF45" s="3" t="str">
        <f t="shared" si="155"/>
        <v/>
      </c>
      <c r="BG45" s="3" t="str">
        <f t="shared" si="156"/>
        <v/>
      </c>
      <c r="BH45" s="3" t="str">
        <f t="shared" si="157"/>
        <v/>
      </c>
      <c r="BI45" s="39" t="str">
        <f t="shared" si="158"/>
        <v/>
      </c>
      <c r="BJ45" s="95" t="str">
        <f t="shared" si="159"/>
        <v/>
      </c>
      <c r="BO45" s="176"/>
      <c r="BP45" s="158" t="str">
        <f t="shared" si="160"/>
        <v/>
      </c>
      <c r="BQ45" s="158" t="str">
        <f t="shared" si="161"/>
        <v/>
      </c>
      <c r="BR45" s="158" t="str">
        <f t="shared" si="162"/>
        <v/>
      </c>
      <c r="BS45" s="158" t="str">
        <f>IF(AND(Sufficient_data="Yes",Include_study?="Yes"),IF(Add_0_5="Yes",(a_+d_+1)*(ab_+0.5)*(c_+0.5)/(Number_of_subjects+2)^2,(a_+d_)*b_*c_/Number_of_subjects^2),"")</f>
        <v/>
      </c>
      <c r="BT45" s="158" t="str">
        <f t="shared" si="163"/>
        <v/>
      </c>
      <c r="BU45" s="158" t="str">
        <f t="shared" si="164"/>
        <v/>
      </c>
      <c r="BV45" s="158" t="str">
        <f t="shared" si="165"/>
        <v/>
      </c>
      <c r="BW45" s="3" t="str">
        <f t="shared" si="166"/>
        <v/>
      </c>
      <c r="BX45" s="137" t="str">
        <f t="shared" si="167"/>
        <v/>
      </c>
      <c r="BY45" s="95" t="str">
        <f t="shared" si="168"/>
        <v/>
      </c>
      <c r="CD45" s="176"/>
      <c r="CE45" s="130" t="str">
        <f t="shared" si="169"/>
        <v/>
      </c>
      <c r="CF45" s="39" t="str">
        <f t="shared" si="170"/>
        <v/>
      </c>
      <c r="CG45" s="39" t="str">
        <f t="shared" si="171"/>
        <v/>
      </c>
      <c r="CH45" s="39" t="str">
        <f t="shared" si="172"/>
        <v/>
      </c>
      <c r="CI45" s="39" t="str">
        <f t="shared" si="173"/>
        <v/>
      </c>
      <c r="CJ45" s="39" t="str">
        <f t="shared" si="50"/>
        <v/>
      </c>
      <c r="CK45" s="95" t="str">
        <f t="shared" si="174"/>
        <v/>
      </c>
      <c r="CP45" s="176"/>
      <c r="CQ45" s="99" t="str">
        <f t="shared" si="175"/>
        <v/>
      </c>
      <c r="CX45" s="196"/>
      <c r="CY45" s="89" t="e">
        <f t="shared" si="176"/>
        <v>#N/A</v>
      </c>
      <c r="CZ45" s="136" t="str">
        <f t="shared" si="177"/>
        <v/>
      </c>
      <c r="DA45" s="140" t="str">
        <f t="shared" si="178"/>
        <v/>
      </c>
      <c r="DB45" s="39" t="str">
        <f t="shared" si="179"/>
        <v/>
      </c>
      <c r="DC45" s="39" t="str">
        <f t="shared" si="180"/>
        <v/>
      </c>
      <c r="DD45" s="39" t="str">
        <f t="shared" si="181"/>
        <v/>
      </c>
      <c r="DE45" s="39" t="str">
        <f t="shared" si="182"/>
        <v/>
      </c>
      <c r="DF45" s="141" t="str">
        <f t="shared" si="183"/>
        <v/>
      </c>
      <c r="DG45" s="39" t="str">
        <f t="shared" si="184"/>
        <v/>
      </c>
      <c r="DH45" s="39" t="str">
        <f t="shared" si="185"/>
        <v/>
      </c>
      <c r="DI45" s="39" t="str">
        <f t="shared" si="186"/>
        <v/>
      </c>
      <c r="DJ45" s="74" t="str">
        <f t="shared" si="187"/>
        <v/>
      </c>
      <c r="DL45" s="84" t="e">
        <f t="shared" si="188"/>
        <v>#N/A</v>
      </c>
      <c r="DM45" s="39" t="e">
        <f t="shared" si="189"/>
        <v>#N/A</v>
      </c>
      <c r="DN45" s="74" t="e">
        <f t="shared" si="190"/>
        <v>#N/A</v>
      </c>
      <c r="DP45" s="89" t="str">
        <f t="shared" si="102"/>
        <v/>
      </c>
      <c r="DQ45" s="26" t="str">
        <f>IF(AND(Sufficient_data="Yes",Subgroup&lt;&gt;""),IF(COUNTIFS(Input!J$2:J44,"="&amp;"Yes",Input!C$2:C44,"="&amp;"Yes",Input!K$2:K44,"="&amp;Subgroup)&gt;0,"",Subgroup),"")</f>
        <v/>
      </c>
      <c r="DR45" s="7" t="str">
        <f t="shared" si="103"/>
        <v/>
      </c>
      <c r="DS45" s="7" t="str">
        <f t="shared" si="191"/>
        <v/>
      </c>
      <c r="DT45" s="19" t="str">
        <f t="shared" si="192"/>
        <v/>
      </c>
      <c r="DU45" s="12" t="str">
        <f t="shared" si="104"/>
        <v/>
      </c>
      <c r="DV45" s="11" t="str">
        <f t="shared" si="105"/>
        <v/>
      </c>
      <c r="DW45" s="12" t="str">
        <f t="shared" si="193"/>
        <v/>
      </c>
      <c r="DX45" s="12" t="str">
        <f t="shared" si="194"/>
        <v/>
      </c>
      <c r="DY45" s="19" t="str">
        <f t="shared" si="106"/>
        <v/>
      </c>
      <c r="DZ45" s="12" t="str">
        <f t="shared" si="195"/>
        <v/>
      </c>
      <c r="EA45" s="19" t="str">
        <f t="shared" si="196"/>
        <v/>
      </c>
      <c r="EB45" s="7" t="str">
        <f t="shared" si="197"/>
        <v/>
      </c>
      <c r="EC45" s="19" t="str">
        <f t="shared" si="198"/>
        <v/>
      </c>
      <c r="ED45" s="19" t="str">
        <f t="shared" si="199"/>
        <v/>
      </c>
      <c r="EE45" s="19" t="str">
        <f t="shared" si="109"/>
        <v/>
      </c>
      <c r="EF45" s="19" t="str">
        <f t="shared" si="110"/>
        <v/>
      </c>
      <c r="EG45" s="19" t="str">
        <f t="shared" si="111"/>
        <v/>
      </c>
      <c r="EH45" s="19" t="str">
        <f t="shared" si="112"/>
        <v/>
      </c>
      <c r="EI45" s="19" t="str">
        <f t="shared" si="113"/>
        <v/>
      </c>
      <c r="EJ45" s="19" t="str">
        <f t="shared" si="200"/>
        <v/>
      </c>
      <c r="EK45" s="19" t="str">
        <f t="shared" si="201"/>
        <v/>
      </c>
      <c r="EL45" s="19" t="str">
        <f t="shared" si="115"/>
        <v/>
      </c>
      <c r="EM45" s="19" t="str">
        <f t="shared" si="116"/>
        <v/>
      </c>
      <c r="EN45" s="19" t="str">
        <f t="shared" si="117"/>
        <v/>
      </c>
      <c r="EO45" s="19" t="str">
        <f t="shared" si="118"/>
        <v/>
      </c>
      <c r="EP45" s="19" t="str">
        <f t="shared" si="202"/>
        <v/>
      </c>
      <c r="EQ45" s="19" t="e">
        <f t="shared" si="119"/>
        <v>#N/A</v>
      </c>
      <c r="ER45" s="11" t="str">
        <f t="shared" si="120"/>
        <v/>
      </c>
      <c r="ES45" s="19" t="str">
        <f t="shared" si="121"/>
        <v/>
      </c>
      <c r="ET45" s="156" t="str">
        <f t="shared" si="203"/>
        <v/>
      </c>
      <c r="EU45" s="39" t="str">
        <f t="shared" si="204"/>
        <v/>
      </c>
      <c r="EV45" s="74" t="str">
        <f t="shared" si="205"/>
        <v/>
      </c>
      <c r="FA45" s="196"/>
      <c r="FB45" s="84" t="e">
        <f>IF(AND(Include_study?="Yes",Sufficient_data="Yes",Moderator&lt;&gt;""),'Moderator Analysis'!E45,NA())</f>
        <v>#N/A</v>
      </c>
      <c r="FC45" s="39" t="e">
        <f>IF(AND(Include_study?="Yes",Sufficient_data="Yes",Moderator&lt;&gt;""),'Moderator Analysis'!F45,NA())</f>
        <v>#N/A</v>
      </c>
      <c r="FD45" s="39" t="str">
        <f t="shared" si="206"/>
        <v/>
      </c>
      <c r="FE45" s="39" t="str">
        <f t="shared" si="207"/>
        <v/>
      </c>
      <c r="FF45" s="39" t="str">
        <f>IF(AND(Include_study?="Yes",Sufficient_data="Yes",Moderator&lt;&gt;""),'Moderator Analysis'!F:F-FP$2,"")</f>
        <v/>
      </c>
      <c r="FG45" s="39" t="str">
        <f>IF(AND(Include_study?="Yes",Sufficient_data="Yes",Moderator&lt;&gt;""),'Moderator Analysis'!E:E-FP$3,"")</f>
        <v/>
      </c>
      <c r="FH45" s="74" t="str">
        <f>IF(AND(Include_study?="Yes",Sufficient_data="Yes",Moderator&lt;&gt;""),FE:FE*('Moderator Analysis'!F:F-FP$5-FP$4*'Moderator Analysis'!E:E)^2,"")</f>
        <v/>
      </c>
      <c r="FI45" s="128"/>
      <c r="FJ45" s="92" t="str">
        <f t="shared" si="208"/>
        <v/>
      </c>
      <c r="FK45" s="137" t="str">
        <f>IF(AND(Include_study?="Yes",Sufficient_data="Yes",Moderator&lt;&gt;""),'Moderator Analysis'!F:F-'Moderator Analysis'!J$37,"")</f>
        <v/>
      </c>
      <c r="FL45" s="137" t="str">
        <f>IF(AND(Include_study?="Yes",Sufficient_data="Yes",Moderator&lt;&gt;""),'Moderator Analysis'!E:E-SUMPRODUCT('Moderator Analysis'!E:E,FJ:FJ)/SUM(FJ:FJ),"")</f>
        <v/>
      </c>
      <c r="FM45" s="95" t="str">
        <f>IF(AND(Include_study?="Yes",Sufficient_data="Yes",Moderator&lt;&gt;""),FJ:FJ*('Moderator Analysis'!F:F-'Moderator Analysis'!J$29-'Moderator Analysis'!J$30*'Moderator Analysis'!E:E)^2,"")</f>
        <v/>
      </c>
      <c r="FN45" s="21"/>
      <c r="FR45" s="196"/>
      <c r="FS45" s="182"/>
      <c r="FT4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5" s="39" t="str">
        <f>IF(AND(Include_study?="Yes",Sufficient_data="Yes"),1/('Publication Bias Analysis'!F:F^2+IF(Additional_model="Fixed effect",0,Calculations!GH$12)),"")</f>
        <v/>
      </c>
      <c r="FV45" s="39" t="str">
        <f>IF(AND(Include_study?="Yes",Sufficient_data="Yes"),1/('Publication Bias Analysis'!F:F^2+IF(Additional_model="Fixed effect",0,'Publication Bias Analysis'!L$32)),"")</f>
        <v/>
      </c>
      <c r="FW45" s="39" t="str">
        <f>IF(AND(Include_study?="Yes",Sufficient_data="Yes"),'Publication Bias Analysis'!E:E-'Publication Bias Analysis'!I$37,"")</f>
        <v/>
      </c>
      <c r="FX45" s="39" t="str">
        <f>IF(AND(Include_study?="Yes",Sufficient_data="Yes"),IF(Additional_model="Fixed effect",1/'Publication Bias Analysis'!F:F,1/SQRT('Publication Bias Analysis'!F:F^2+GH$12)),"")</f>
        <v/>
      </c>
      <c r="FY4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5" s="136" t="str">
        <f t="shared" si="209"/>
        <v/>
      </c>
      <c r="GA45" s="144" t="str">
        <f>IF(AND(Include_study?="Yes",Sufficient_data="Yes"),FZ:FZ+IF(GL:GL&lt;0,-1,1)*COUNTIF(FZ$2:FZ44,FZ:FZ),"")</f>
        <v/>
      </c>
      <c r="GB45" s="144" t="str">
        <f>IF(AND(Include_study?="Yes",Sufficient_data="Yes"),RANK(GP:GP,GP:GP,1)*IF(GO:GO&lt;0,-1,1)+IF(GO:GO&lt;0,-1,1)*COUNTIF(FZ$2:FZ44,FZ:FZ),"")</f>
        <v/>
      </c>
      <c r="GC45" s="144" t="str">
        <f>IF(AND(Include_study?="Yes",Sufficient_data="Yes"),RANK(GS:GS,GS:GS,1)*IF(GR:GR&lt;0,-1,1)+IF(GR:GR&lt;0,-1,1)*COUNTIF(FZ$2:FZ44,FZ:FZ),"")</f>
        <v/>
      </c>
      <c r="GD45" s="39" t="e">
        <f>IF(AND(Include_study?="Yes",Sufficient_data="Yes"),'Publication Bias Analysis'!E45,NA())</f>
        <v>#N/A</v>
      </c>
      <c r="GE45" s="74" t="e">
        <f>IF(AND(Include_study?="Yes",Sufficient_data="Yes"),'Publication Bias Analysis'!F45,NA())</f>
        <v>#N/A</v>
      </c>
      <c r="GK45" s="176"/>
      <c r="GL4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5" s="39" t="str">
        <f t="shared" si="210"/>
        <v/>
      </c>
      <c r="GN4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5" s="39" t="str">
        <f>IF(AND(Include_study?="Yes",Sufficient_data="Yes"),IF('Publication Bias Analysis'!L$38="Left",'Publication Bias Analysis'!E:E-GW$3,GW$3-'Publication Bias Analysis'!E:E),"")</f>
        <v/>
      </c>
      <c r="GP45" s="39" t="str">
        <f t="shared" si="211"/>
        <v/>
      </c>
      <c r="GQ4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5" s="39" t="str">
        <f>IF(AND(Include_study?="Yes",Sufficient_data="Yes"),IF('Publication Bias Analysis'!L$38="Left",'Publication Bias Analysis'!E:E-GW$10,GW$10-'Publication Bias Analysis'!E:E),"")</f>
        <v/>
      </c>
      <c r="GS45" s="39" t="str">
        <f t="shared" si="212"/>
        <v/>
      </c>
      <c r="GT4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45" s="176"/>
      <c r="HL45" s="66" t="str">
        <f t="shared" si="89"/>
        <v/>
      </c>
      <c r="HM45" s="74" t="str">
        <f>IF(AND(Include_study?="Yes",Sufficient_data="Yes"),Z_score-('Publication Bias Analysis'!P$3+'Publication Bias Analysis'!P$4*Inverse_standard_error),"")</f>
        <v/>
      </c>
      <c r="HO45" s="176"/>
      <c r="HP45" s="64" t="str">
        <f>IF(AND(Include_study?="Yes",Sufficient_data="Yes"),(GD:GD-SUMPRODUCT(Calculations!FT:FT,'Publication Bias Analysis'!E:E)/SUM(Calculations!FT:FT))/SQRT(Calculations!HQ:HQ),"")</f>
        <v/>
      </c>
      <c r="HQ45" s="64" t="str">
        <f>IF(AND(Include_study?="Yes",Sufficient_data="Yes"),GE:GE^2-1/SUM(Calculations!FT:FT),"")</f>
        <v/>
      </c>
      <c r="HR45" s="7" t="str">
        <f t="shared" si="213"/>
        <v/>
      </c>
      <c r="HS45" s="7" t="str">
        <f t="shared" si="214"/>
        <v/>
      </c>
      <c r="HT45" s="7" t="str">
        <f>IF(AND(Include_study?="Yes",Sufficient_data="Yes"),COUNTIFS(HR$2:HR44,"&lt;"&amp;HR45,HS$2:HS44,"&lt;"&amp;HS45)+COUNTIFS(HR46:HR$201,"&lt;"&amp;HR45,HS46:HS$201,"&lt;"&amp;HS45)+COUNTIFS(HR$2:HR44,"&gt;"&amp;HR45,HS$2:HS44,"&gt;"&amp;HS45)+COUNTIFS(HR46:HR$201,"&gt;"&amp;HR45,HS46:HS$201,"&gt;"&amp;HS45),"")</f>
        <v/>
      </c>
      <c r="HU45" s="104" t="str">
        <f>IF(AND(Include_study?="Yes",Sufficient_data="Yes"),COUNTIFS(HR$2:HR44,"&lt;"&amp;HR45,HS$2:HS44,"&gt;"&amp;HS45)+COUNTIFS(HR46:HR$201,"&lt;"&amp;HR45,HS46:HS$201,"&gt;"&amp;HS45)+COUNTIFS(HR$2:HR44,"&gt;"&amp;HR45,HS$2:HS44,"&lt;"&amp;HS45)+COUNTIFS(HR46:HR$201,"&gt;"&amp;HR45,HS46:HS$201,"&lt;"&amp;HS45),"")</f>
        <v/>
      </c>
      <c r="HW45" s="176"/>
      <c r="IB45" s="176"/>
      <c r="IC45" s="146" t="e">
        <f t="shared" si="215"/>
        <v>#N/A</v>
      </c>
      <c r="ID45" s="137" t="e">
        <f t="shared" si="216"/>
        <v>#N/A</v>
      </c>
      <c r="IE45" s="137" t="str">
        <f t="shared" si="217"/>
        <v/>
      </c>
      <c r="IF45" s="95" t="str">
        <f t="shared" si="218"/>
        <v/>
      </c>
      <c r="IK45" s="176"/>
      <c r="IL45" s="3" t="e">
        <f>IF(AND(Include_study?="Yes",Sufficient_data="Yes"),'Publication Bias Analysis'!AV:AV,NA())</f>
        <v>#N/A</v>
      </c>
      <c r="IM45" s="158" t="e">
        <f>IF(AND(Sufficient_data="Yes",Include_study?="Yes"),'Publication Bias Analysis'!AU:AU,NA())</f>
        <v>#N/A</v>
      </c>
      <c r="IN45" s="62" t="str">
        <f t="shared" si="219"/>
        <v/>
      </c>
      <c r="IO45" s="74" t="str">
        <f>IF(AND(Include_study?="Yes",Sufficient_data="Yes"),Z_score-('Publication Bias Analysis'!AY$30+'Publication Bias Analysis'!AY$31*Inverse_standard_error),"")</f>
        <v/>
      </c>
      <c r="IU45" s="176"/>
      <c r="IV45" s="7" t="str">
        <f>IF('Publication Bias Analysis'!BG:BG&lt;&gt;"",RANK('Publication Bias Analysis'!BG:BG,'Publication Bias Analysis'!BG:BG,1)+COUNTIF('Publication Bias Analysis'!BG$2:BG44,'Publication Bias Analysis'!BG45),"")</f>
        <v/>
      </c>
      <c r="IW45" s="124" t="str">
        <f t="shared" si="220"/>
        <v/>
      </c>
      <c r="IX45" s="125" t="e">
        <f>IF('Publication Bias Analysis'!BF45&lt;&gt;"",'Publication Bias Analysis'!BF45,NA())</f>
        <v>#N/A</v>
      </c>
      <c r="IY45" s="125" t="e">
        <f>IF('Publication Bias Analysis'!BG45&lt;&gt;"",'Publication Bias Analysis'!BG45,NA())</f>
        <v>#N/A</v>
      </c>
      <c r="IZ45" s="62" t="str">
        <f>IF(AND(Include_study?="Yes",Sufficient_data="Yes"),'Publication Bias Analysis'!BF:BF-AVERAGE('Publication Bias Analysis'!BF:BF),"")</f>
        <v/>
      </c>
      <c r="JA45" s="74" t="str">
        <f>IF(AND(Include_study?="Yes",Sufficient_data="Yes"),'Publication Bias Analysis'!BG:BG-('Publication Bias Analysis'!BJ$30+'Publication Bias Analysis'!BJ$31*'Publication Bias Analysis'!BF:BF),"")</f>
        <v/>
      </c>
      <c r="JG45" s="176"/>
      <c r="JH45" s="39" t="str">
        <f t="shared" si="221"/>
        <v/>
      </c>
      <c r="JI45" s="148" t="str">
        <f t="shared" si="124"/>
        <v/>
      </c>
      <c r="JJ45" s="74" t="str">
        <f t="shared" si="125"/>
        <v/>
      </c>
    </row>
    <row r="46" spans="1:270" x14ac:dyDescent="0.2">
      <c r="A46" s="2" t="str">
        <f t="shared" si="126"/>
        <v/>
      </c>
      <c r="B46" s="7" t="str">
        <f>IF(AND(Include_study?="Yes",Sufficient_data="Yes"),IF(Input!a_&lt;&gt;"",Input!a_,Input!n1_-Input!b_),"")</f>
        <v/>
      </c>
      <c r="C46" s="7" t="str">
        <f>IF(AND(Include_study?="Yes",Sufficient_data="Yes"),IF(Input!b_&lt;&gt;"",Input!b_,Input!n1_-Input!a_),"")</f>
        <v/>
      </c>
      <c r="D46" s="7" t="str">
        <f>IF(AND(Include_study?="Yes",Sufficient_data="Yes"),IF(Input!c_&lt;&gt;"",Input!c_,Input!n2_-Input!d_),"")</f>
        <v/>
      </c>
      <c r="E46" s="7" t="str">
        <f>IF(AND(Include_study?="Yes",Sufficient_data="Yes"),IF(Input!d_&lt;&gt;"",Input!d_,Input!n2_-Input!c_),"")</f>
        <v/>
      </c>
      <c r="F46" s="74" t="str">
        <f t="shared" si="127"/>
        <v/>
      </c>
      <c r="H46" s="196"/>
      <c r="I46" s="182"/>
      <c r="J46" s="146" t="str">
        <f t="shared" si="2"/>
        <v/>
      </c>
      <c r="K46" s="39" t="str">
        <f t="shared" si="128"/>
        <v/>
      </c>
      <c r="L46" s="39" t="str">
        <f t="shared" si="129"/>
        <v/>
      </c>
      <c r="M46" s="39" t="str">
        <f t="shared" si="130"/>
        <v/>
      </c>
      <c r="N46" s="74" t="str">
        <f t="shared" si="131"/>
        <v/>
      </c>
      <c r="P46" s="176"/>
      <c r="Q46" s="130" t="str">
        <f t="shared" si="132"/>
        <v/>
      </c>
      <c r="R46" s="39" t="str">
        <f t="shared" si="133"/>
        <v/>
      </c>
      <c r="S46" s="39" t="str">
        <f t="shared" si="134"/>
        <v/>
      </c>
      <c r="T46" s="74" t="str">
        <f t="shared" si="135"/>
        <v/>
      </c>
      <c r="V46" s="176"/>
      <c r="W46" s="130" t="str">
        <f t="shared" si="136"/>
        <v/>
      </c>
      <c r="X46" s="39" t="str">
        <f t="shared" si="137"/>
        <v/>
      </c>
      <c r="Y46" s="39" t="str">
        <f t="shared" si="138"/>
        <v/>
      </c>
      <c r="Z46" s="74" t="str">
        <f t="shared" si="139"/>
        <v/>
      </c>
      <c r="AB46" s="176"/>
      <c r="AC46" s="130" t="str">
        <f t="shared" si="140"/>
        <v/>
      </c>
      <c r="AD46" s="39" t="str">
        <f t="shared" si="141"/>
        <v/>
      </c>
      <c r="AE46" s="39" t="str">
        <f t="shared" si="142"/>
        <v/>
      </c>
      <c r="AF46" s="39" t="str">
        <f t="shared" si="143"/>
        <v/>
      </c>
      <c r="AG46" s="74" t="str">
        <f t="shared" si="144"/>
        <v/>
      </c>
      <c r="AI46" s="196"/>
      <c r="AJ4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6" s="136" t="str">
        <f>IF(AJ46&lt;&gt;"",IF(AJ46=0,COUNTIF(AJ$2:AJ45,0)+1,COUNTIF(AJ$2:AJ45,AJ46)+AJ46+COUNTIF(AJ:AJ,0)),"")</f>
        <v/>
      </c>
      <c r="AL46" s="136" t="str">
        <f t="shared" si="20"/>
        <v/>
      </c>
      <c r="AM46" s="155" t="str">
        <f>IF(AND(Include_study?="Yes",Sufficient_data="Yes",Input!Study_name&lt;&gt;""),Input!Study_name,"")</f>
        <v/>
      </c>
      <c r="AN46" s="136" t="str">
        <f t="shared" si="21"/>
        <v/>
      </c>
      <c r="AO46" s="19" t="str">
        <f t="shared" si="145"/>
        <v/>
      </c>
      <c r="AP46" s="158" t="str">
        <f t="shared" si="146"/>
        <v/>
      </c>
      <c r="AQ46" s="158" t="str">
        <f t="shared" si="147"/>
        <v/>
      </c>
      <c r="AR46" s="39" t="str">
        <f t="shared" si="148"/>
        <v/>
      </c>
      <c r="AS46" s="158" t="str">
        <f t="shared" si="149"/>
        <v/>
      </c>
      <c r="AT46" s="39" t="str">
        <f t="shared" si="150"/>
        <v/>
      </c>
      <c r="AU46" s="172" t="str">
        <f t="shared" si="151"/>
        <v/>
      </c>
      <c r="AW46" s="84" t="e">
        <f t="shared" si="152"/>
        <v>#N/A</v>
      </c>
      <c r="AX46" s="3" t="e">
        <f t="shared" si="153"/>
        <v>#N/A</v>
      </c>
      <c r="AY46" s="74" t="e">
        <f t="shared" si="154"/>
        <v>#N/A</v>
      </c>
      <c r="BD46" s="196"/>
      <c r="BE46" s="182"/>
      <c r="BF46" s="3" t="str">
        <f t="shared" si="155"/>
        <v/>
      </c>
      <c r="BG46" s="3" t="str">
        <f t="shared" si="156"/>
        <v/>
      </c>
      <c r="BH46" s="3" t="str">
        <f t="shared" si="157"/>
        <v/>
      </c>
      <c r="BI46" s="39" t="str">
        <f t="shared" si="158"/>
        <v/>
      </c>
      <c r="BJ46" s="95" t="str">
        <f t="shared" si="159"/>
        <v/>
      </c>
      <c r="BO46" s="176"/>
      <c r="BP46" s="158" t="str">
        <f t="shared" si="160"/>
        <v/>
      </c>
      <c r="BQ46" s="158" t="str">
        <f t="shared" si="161"/>
        <v/>
      </c>
      <c r="BR46" s="158" t="str">
        <f t="shared" si="162"/>
        <v/>
      </c>
      <c r="BS46" s="158" t="str">
        <f>IF(AND(Sufficient_data="Yes",Include_study?="Yes"),IF(Add_0_5="Yes",(a_+d_+1)*(ab_+0.5)*(c_+0.5)/(Number_of_subjects+2)^2,(a_+d_)*b_*c_/Number_of_subjects^2),"")</f>
        <v/>
      </c>
      <c r="BT46" s="158" t="str">
        <f t="shared" si="163"/>
        <v/>
      </c>
      <c r="BU46" s="158" t="str">
        <f t="shared" si="164"/>
        <v/>
      </c>
      <c r="BV46" s="158" t="str">
        <f t="shared" si="165"/>
        <v/>
      </c>
      <c r="BW46" s="3" t="str">
        <f t="shared" si="166"/>
        <v/>
      </c>
      <c r="BX46" s="137" t="str">
        <f t="shared" si="167"/>
        <v/>
      </c>
      <c r="BY46" s="95" t="str">
        <f t="shared" si="168"/>
        <v/>
      </c>
      <c r="CD46" s="176"/>
      <c r="CE46" s="130" t="str">
        <f t="shared" si="169"/>
        <v/>
      </c>
      <c r="CF46" s="39" t="str">
        <f t="shared" si="170"/>
        <v/>
      </c>
      <c r="CG46" s="39" t="str">
        <f t="shared" si="171"/>
        <v/>
      </c>
      <c r="CH46" s="39" t="str">
        <f t="shared" si="172"/>
        <v/>
      </c>
      <c r="CI46" s="39" t="str">
        <f t="shared" si="173"/>
        <v/>
      </c>
      <c r="CJ46" s="39" t="str">
        <f t="shared" si="50"/>
        <v/>
      </c>
      <c r="CK46" s="95" t="str">
        <f t="shared" si="174"/>
        <v/>
      </c>
      <c r="CP46" s="176"/>
      <c r="CQ46" s="99" t="str">
        <f t="shared" si="175"/>
        <v/>
      </c>
      <c r="CX46" s="196"/>
      <c r="CY46" s="89" t="e">
        <f t="shared" si="176"/>
        <v>#N/A</v>
      </c>
      <c r="CZ46" s="136" t="str">
        <f t="shared" si="177"/>
        <v/>
      </c>
      <c r="DA46" s="140" t="str">
        <f t="shared" si="178"/>
        <v/>
      </c>
      <c r="DB46" s="39" t="str">
        <f t="shared" si="179"/>
        <v/>
      </c>
      <c r="DC46" s="39" t="str">
        <f t="shared" si="180"/>
        <v/>
      </c>
      <c r="DD46" s="39" t="str">
        <f t="shared" si="181"/>
        <v/>
      </c>
      <c r="DE46" s="39" t="str">
        <f t="shared" si="182"/>
        <v/>
      </c>
      <c r="DF46" s="141" t="str">
        <f t="shared" si="183"/>
        <v/>
      </c>
      <c r="DG46" s="39" t="str">
        <f t="shared" si="184"/>
        <v/>
      </c>
      <c r="DH46" s="39" t="str">
        <f t="shared" si="185"/>
        <v/>
      </c>
      <c r="DI46" s="39" t="str">
        <f t="shared" si="186"/>
        <v/>
      </c>
      <c r="DJ46" s="74" t="str">
        <f t="shared" si="187"/>
        <v/>
      </c>
      <c r="DL46" s="84" t="e">
        <f t="shared" si="188"/>
        <v>#N/A</v>
      </c>
      <c r="DM46" s="39" t="e">
        <f t="shared" si="189"/>
        <v>#N/A</v>
      </c>
      <c r="DN46" s="74" t="e">
        <f t="shared" si="190"/>
        <v>#N/A</v>
      </c>
      <c r="DP46" s="89" t="str">
        <f t="shared" si="102"/>
        <v/>
      </c>
      <c r="DQ46" s="26" t="str">
        <f>IF(AND(Sufficient_data="Yes",Subgroup&lt;&gt;""),IF(COUNTIFS(Input!J$2:J45,"="&amp;"Yes",Input!C$2:C45,"="&amp;"Yes",Input!K$2:K45,"="&amp;Subgroup)&gt;0,"",Subgroup),"")</f>
        <v/>
      </c>
      <c r="DR46" s="7" t="str">
        <f t="shared" si="103"/>
        <v/>
      </c>
      <c r="DS46" s="7" t="str">
        <f t="shared" si="191"/>
        <v/>
      </c>
      <c r="DT46" s="19" t="str">
        <f t="shared" si="192"/>
        <v/>
      </c>
      <c r="DU46" s="12" t="str">
        <f t="shared" si="104"/>
        <v/>
      </c>
      <c r="DV46" s="11" t="str">
        <f t="shared" si="105"/>
        <v/>
      </c>
      <c r="DW46" s="12" t="str">
        <f t="shared" si="193"/>
        <v/>
      </c>
      <c r="DX46" s="12" t="str">
        <f t="shared" si="194"/>
        <v/>
      </c>
      <c r="DY46" s="19" t="str">
        <f t="shared" si="106"/>
        <v/>
      </c>
      <c r="DZ46" s="12" t="str">
        <f t="shared" si="195"/>
        <v/>
      </c>
      <c r="EA46" s="19" t="str">
        <f t="shared" si="196"/>
        <v/>
      </c>
      <c r="EB46" s="7" t="str">
        <f t="shared" si="197"/>
        <v/>
      </c>
      <c r="EC46" s="19" t="str">
        <f t="shared" si="198"/>
        <v/>
      </c>
      <c r="ED46" s="19" t="str">
        <f t="shared" si="199"/>
        <v/>
      </c>
      <c r="EE46" s="19" t="str">
        <f t="shared" si="109"/>
        <v/>
      </c>
      <c r="EF46" s="19" t="str">
        <f t="shared" si="110"/>
        <v/>
      </c>
      <c r="EG46" s="19" t="str">
        <f t="shared" si="111"/>
        <v/>
      </c>
      <c r="EH46" s="19" t="str">
        <f t="shared" si="112"/>
        <v/>
      </c>
      <c r="EI46" s="19" t="str">
        <f t="shared" si="113"/>
        <v/>
      </c>
      <c r="EJ46" s="19" t="str">
        <f t="shared" si="200"/>
        <v/>
      </c>
      <c r="EK46" s="19" t="str">
        <f t="shared" si="201"/>
        <v/>
      </c>
      <c r="EL46" s="19" t="str">
        <f t="shared" si="115"/>
        <v/>
      </c>
      <c r="EM46" s="19" t="str">
        <f t="shared" si="116"/>
        <v/>
      </c>
      <c r="EN46" s="19" t="str">
        <f t="shared" si="117"/>
        <v/>
      </c>
      <c r="EO46" s="19" t="str">
        <f t="shared" si="118"/>
        <v/>
      </c>
      <c r="EP46" s="19" t="str">
        <f t="shared" si="202"/>
        <v/>
      </c>
      <c r="EQ46" s="19" t="e">
        <f t="shared" si="119"/>
        <v>#N/A</v>
      </c>
      <c r="ER46" s="11" t="str">
        <f t="shared" si="120"/>
        <v/>
      </c>
      <c r="ES46" s="19" t="str">
        <f t="shared" si="121"/>
        <v/>
      </c>
      <c r="ET46" s="156" t="str">
        <f t="shared" si="203"/>
        <v/>
      </c>
      <c r="EU46" s="39" t="str">
        <f t="shared" si="204"/>
        <v/>
      </c>
      <c r="EV46" s="74" t="str">
        <f t="shared" si="205"/>
        <v/>
      </c>
      <c r="FA46" s="196"/>
      <c r="FB46" s="84" t="e">
        <f>IF(AND(Include_study?="Yes",Sufficient_data="Yes",Moderator&lt;&gt;""),'Moderator Analysis'!E46,NA())</f>
        <v>#N/A</v>
      </c>
      <c r="FC46" s="39" t="e">
        <f>IF(AND(Include_study?="Yes",Sufficient_data="Yes",Moderator&lt;&gt;""),'Moderator Analysis'!F46,NA())</f>
        <v>#N/A</v>
      </c>
      <c r="FD46" s="39" t="str">
        <f t="shared" si="206"/>
        <v/>
      </c>
      <c r="FE46" s="39" t="str">
        <f t="shared" si="207"/>
        <v/>
      </c>
      <c r="FF46" s="39" t="str">
        <f>IF(AND(Include_study?="Yes",Sufficient_data="Yes",Moderator&lt;&gt;""),'Moderator Analysis'!F:F-FP$2,"")</f>
        <v/>
      </c>
      <c r="FG46" s="39" t="str">
        <f>IF(AND(Include_study?="Yes",Sufficient_data="Yes",Moderator&lt;&gt;""),'Moderator Analysis'!E:E-FP$3,"")</f>
        <v/>
      </c>
      <c r="FH46" s="74" t="str">
        <f>IF(AND(Include_study?="Yes",Sufficient_data="Yes",Moderator&lt;&gt;""),FE:FE*('Moderator Analysis'!F:F-FP$5-FP$4*'Moderator Analysis'!E:E)^2,"")</f>
        <v/>
      </c>
      <c r="FI46" s="128"/>
      <c r="FJ46" s="92" t="str">
        <f t="shared" si="208"/>
        <v/>
      </c>
      <c r="FK46" s="137" t="str">
        <f>IF(AND(Include_study?="Yes",Sufficient_data="Yes",Moderator&lt;&gt;""),'Moderator Analysis'!F:F-'Moderator Analysis'!J$37,"")</f>
        <v/>
      </c>
      <c r="FL46" s="137" t="str">
        <f>IF(AND(Include_study?="Yes",Sufficient_data="Yes",Moderator&lt;&gt;""),'Moderator Analysis'!E:E-SUMPRODUCT('Moderator Analysis'!E:E,FJ:FJ)/SUM(FJ:FJ),"")</f>
        <v/>
      </c>
      <c r="FM46" s="95" t="str">
        <f>IF(AND(Include_study?="Yes",Sufficient_data="Yes",Moderator&lt;&gt;""),FJ:FJ*('Moderator Analysis'!F:F-'Moderator Analysis'!J$29-'Moderator Analysis'!J$30*'Moderator Analysis'!E:E)^2,"")</f>
        <v/>
      </c>
      <c r="FN46" s="21"/>
      <c r="FR46" s="196"/>
      <c r="FS46" s="182"/>
      <c r="FT4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6" s="39" t="str">
        <f>IF(AND(Include_study?="Yes",Sufficient_data="Yes"),1/('Publication Bias Analysis'!F:F^2+IF(Additional_model="Fixed effect",0,Calculations!GH$12)),"")</f>
        <v/>
      </c>
      <c r="FV46" s="39" t="str">
        <f>IF(AND(Include_study?="Yes",Sufficient_data="Yes"),1/('Publication Bias Analysis'!F:F^2+IF(Additional_model="Fixed effect",0,'Publication Bias Analysis'!L$32)),"")</f>
        <v/>
      </c>
      <c r="FW46" s="39" t="str">
        <f>IF(AND(Include_study?="Yes",Sufficient_data="Yes"),'Publication Bias Analysis'!E:E-'Publication Bias Analysis'!I$37,"")</f>
        <v/>
      </c>
      <c r="FX46" s="39" t="str">
        <f>IF(AND(Include_study?="Yes",Sufficient_data="Yes"),IF(Additional_model="Fixed effect",1/'Publication Bias Analysis'!F:F,1/SQRT('Publication Bias Analysis'!F:F^2+GH$12)),"")</f>
        <v/>
      </c>
      <c r="FY4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6" s="136" t="str">
        <f t="shared" si="209"/>
        <v/>
      </c>
      <c r="GA46" s="144" t="str">
        <f>IF(AND(Include_study?="Yes",Sufficient_data="Yes"),FZ:FZ+IF(GL:GL&lt;0,-1,1)*COUNTIF(FZ$2:FZ45,FZ:FZ),"")</f>
        <v/>
      </c>
      <c r="GB46" s="144" t="str">
        <f>IF(AND(Include_study?="Yes",Sufficient_data="Yes"),RANK(GP:GP,GP:GP,1)*IF(GO:GO&lt;0,-1,1)+IF(GO:GO&lt;0,-1,1)*COUNTIF(FZ$2:FZ45,FZ:FZ),"")</f>
        <v/>
      </c>
      <c r="GC46" s="144" t="str">
        <f>IF(AND(Include_study?="Yes",Sufficient_data="Yes"),RANK(GS:GS,GS:GS,1)*IF(GR:GR&lt;0,-1,1)+IF(GR:GR&lt;0,-1,1)*COUNTIF(FZ$2:FZ45,FZ:FZ),"")</f>
        <v/>
      </c>
      <c r="GD46" s="39" t="e">
        <f>IF(AND(Include_study?="Yes",Sufficient_data="Yes"),'Publication Bias Analysis'!E46,NA())</f>
        <v>#N/A</v>
      </c>
      <c r="GE46" s="74" t="e">
        <f>IF(AND(Include_study?="Yes",Sufficient_data="Yes"),'Publication Bias Analysis'!F46,NA())</f>
        <v>#N/A</v>
      </c>
      <c r="GK46" s="176"/>
      <c r="GL4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6" s="39" t="str">
        <f t="shared" si="210"/>
        <v/>
      </c>
      <c r="GN4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6" s="39" t="str">
        <f>IF(AND(Include_study?="Yes",Sufficient_data="Yes"),IF('Publication Bias Analysis'!L$38="Left",'Publication Bias Analysis'!E:E-GW$3,GW$3-'Publication Bias Analysis'!E:E),"")</f>
        <v/>
      </c>
      <c r="GP46" s="39" t="str">
        <f t="shared" si="211"/>
        <v/>
      </c>
      <c r="GQ4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6" s="39" t="str">
        <f>IF(AND(Include_study?="Yes",Sufficient_data="Yes"),IF('Publication Bias Analysis'!L$38="Left",'Publication Bias Analysis'!E:E-GW$10,GW$10-'Publication Bias Analysis'!E:E),"")</f>
        <v/>
      </c>
      <c r="GS46" s="39" t="str">
        <f t="shared" si="212"/>
        <v/>
      </c>
      <c r="GT4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46" s="176"/>
      <c r="HL46" s="66" t="str">
        <f t="shared" si="89"/>
        <v/>
      </c>
      <c r="HM46" s="74" t="str">
        <f>IF(AND(Include_study?="Yes",Sufficient_data="Yes"),Z_score-('Publication Bias Analysis'!P$3+'Publication Bias Analysis'!P$4*Inverse_standard_error),"")</f>
        <v/>
      </c>
      <c r="HO46" s="176"/>
      <c r="HP46" s="64" t="str">
        <f>IF(AND(Include_study?="Yes",Sufficient_data="Yes"),(GD:GD-SUMPRODUCT(Calculations!FT:FT,'Publication Bias Analysis'!E:E)/SUM(Calculations!FT:FT))/SQRT(Calculations!HQ:HQ),"")</f>
        <v/>
      </c>
      <c r="HQ46" s="64" t="str">
        <f>IF(AND(Include_study?="Yes",Sufficient_data="Yes"),GE:GE^2-1/SUM(Calculations!FT:FT),"")</f>
        <v/>
      </c>
      <c r="HR46" s="7" t="str">
        <f t="shared" si="213"/>
        <v/>
      </c>
      <c r="HS46" s="7" t="str">
        <f t="shared" si="214"/>
        <v/>
      </c>
      <c r="HT46" s="7" t="str">
        <f>IF(AND(Include_study?="Yes",Sufficient_data="Yes"),COUNTIFS(HR$2:HR45,"&lt;"&amp;HR46,HS$2:HS45,"&lt;"&amp;HS46)+COUNTIFS(HR47:HR$201,"&lt;"&amp;HR46,HS47:HS$201,"&lt;"&amp;HS46)+COUNTIFS(HR$2:HR45,"&gt;"&amp;HR46,HS$2:HS45,"&gt;"&amp;HS46)+COUNTIFS(HR47:HR$201,"&gt;"&amp;HR46,HS47:HS$201,"&gt;"&amp;HS46),"")</f>
        <v/>
      </c>
      <c r="HU46" s="104" t="str">
        <f>IF(AND(Include_study?="Yes",Sufficient_data="Yes"),COUNTIFS(HR$2:HR45,"&lt;"&amp;HR46,HS$2:HS45,"&gt;"&amp;HS46)+COUNTIFS(HR47:HR$201,"&lt;"&amp;HR46,HS47:HS$201,"&gt;"&amp;HS46)+COUNTIFS(HR$2:HR45,"&gt;"&amp;HR46,HS$2:HS45,"&lt;"&amp;HS46)+COUNTIFS(HR47:HR$201,"&gt;"&amp;HR46,HS47:HS$201,"&lt;"&amp;HS46),"")</f>
        <v/>
      </c>
      <c r="HW46" s="176"/>
      <c r="IB46" s="176"/>
      <c r="IC46" s="146" t="e">
        <f t="shared" si="215"/>
        <v>#N/A</v>
      </c>
      <c r="ID46" s="137" t="e">
        <f t="shared" si="216"/>
        <v>#N/A</v>
      </c>
      <c r="IE46" s="137" t="str">
        <f t="shared" si="217"/>
        <v/>
      </c>
      <c r="IF46" s="95" t="str">
        <f t="shared" si="218"/>
        <v/>
      </c>
      <c r="IK46" s="176"/>
      <c r="IL46" s="3" t="e">
        <f>IF(AND(Include_study?="Yes",Sufficient_data="Yes"),'Publication Bias Analysis'!AV:AV,NA())</f>
        <v>#N/A</v>
      </c>
      <c r="IM46" s="158" t="e">
        <f>IF(AND(Sufficient_data="Yes",Include_study?="Yes"),'Publication Bias Analysis'!AU:AU,NA())</f>
        <v>#N/A</v>
      </c>
      <c r="IN46" s="62" t="str">
        <f t="shared" si="219"/>
        <v/>
      </c>
      <c r="IO46" s="74" t="str">
        <f>IF(AND(Include_study?="Yes",Sufficient_data="Yes"),Z_score-('Publication Bias Analysis'!AY$30+'Publication Bias Analysis'!AY$31*Inverse_standard_error),"")</f>
        <v/>
      </c>
      <c r="IU46" s="176"/>
      <c r="IV46" s="7" t="str">
        <f>IF('Publication Bias Analysis'!BG:BG&lt;&gt;"",RANK('Publication Bias Analysis'!BG:BG,'Publication Bias Analysis'!BG:BG,1)+COUNTIF('Publication Bias Analysis'!BG$2:BG45,'Publication Bias Analysis'!BG46),"")</f>
        <v/>
      </c>
      <c r="IW46" s="124" t="str">
        <f t="shared" si="220"/>
        <v/>
      </c>
      <c r="IX46" s="125" t="e">
        <f>IF('Publication Bias Analysis'!BF46&lt;&gt;"",'Publication Bias Analysis'!BF46,NA())</f>
        <v>#N/A</v>
      </c>
      <c r="IY46" s="125" t="e">
        <f>IF('Publication Bias Analysis'!BG46&lt;&gt;"",'Publication Bias Analysis'!BG46,NA())</f>
        <v>#N/A</v>
      </c>
      <c r="IZ46" s="62" t="str">
        <f>IF(AND(Include_study?="Yes",Sufficient_data="Yes"),'Publication Bias Analysis'!BF:BF-AVERAGE('Publication Bias Analysis'!BF:BF),"")</f>
        <v/>
      </c>
      <c r="JA46" s="74" t="str">
        <f>IF(AND(Include_study?="Yes",Sufficient_data="Yes"),'Publication Bias Analysis'!BG:BG-('Publication Bias Analysis'!BJ$30+'Publication Bias Analysis'!BJ$31*'Publication Bias Analysis'!BF:BF),"")</f>
        <v/>
      </c>
      <c r="JG46" s="176"/>
      <c r="JH46" s="39" t="str">
        <f t="shared" si="221"/>
        <v/>
      </c>
      <c r="JI46" s="148" t="str">
        <f t="shared" si="124"/>
        <v/>
      </c>
      <c r="JJ46" s="74" t="str">
        <f t="shared" si="125"/>
        <v/>
      </c>
    </row>
    <row r="47" spans="1:270" x14ac:dyDescent="0.2">
      <c r="A47" s="2" t="str">
        <f t="shared" si="126"/>
        <v/>
      </c>
      <c r="B47" s="7" t="str">
        <f>IF(AND(Include_study?="Yes",Sufficient_data="Yes"),IF(Input!a_&lt;&gt;"",Input!a_,Input!n1_-Input!b_),"")</f>
        <v/>
      </c>
      <c r="C47" s="7" t="str">
        <f>IF(AND(Include_study?="Yes",Sufficient_data="Yes"),IF(Input!b_&lt;&gt;"",Input!b_,Input!n1_-Input!a_),"")</f>
        <v/>
      </c>
      <c r="D47" s="7" t="str">
        <f>IF(AND(Include_study?="Yes",Sufficient_data="Yes"),IF(Input!c_&lt;&gt;"",Input!c_,Input!n2_-Input!d_),"")</f>
        <v/>
      </c>
      <c r="E47" s="7" t="str">
        <f>IF(AND(Include_study?="Yes",Sufficient_data="Yes"),IF(Input!d_&lt;&gt;"",Input!d_,Input!n2_-Input!c_),"")</f>
        <v/>
      </c>
      <c r="F47" s="74" t="str">
        <f t="shared" si="127"/>
        <v/>
      </c>
      <c r="H47" s="196"/>
      <c r="I47" s="182"/>
      <c r="J47" s="146" t="str">
        <f t="shared" si="2"/>
        <v/>
      </c>
      <c r="K47" s="39" t="str">
        <f t="shared" si="128"/>
        <v/>
      </c>
      <c r="L47" s="39" t="str">
        <f t="shared" si="129"/>
        <v/>
      </c>
      <c r="M47" s="39" t="str">
        <f t="shared" si="130"/>
        <v/>
      </c>
      <c r="N47" s="74" t="str">
        <f t="shared" si="131"/>
        <v/>
      </c>
      <c r="P47" s="176"/>
      <c r="Q47" s="130" t="str">
        <f t="shared" si="132"/>
        <v/>
      </c>
      <c r="R47" s="39" t="str">
        <f t="shared" si="133"/>
        <v/>
      </c>
      <c r="S47" s="39" t="str">
        <f t="shared" si="134"/>
        <v/>
      </c>
      <c r="T47" s="74" t="str">
        <f t="shared" si="135"/>
        <v/>
      </c>
      <c r="V47" s="176"/>
      <c r="W47" s="130" t="str">
        <f t="shared" si="136"/>
        <v/>
      </c>
      <c r="X47" s="39" t="str">
        <f t="shared" si="137"/>
        <v/>
      </c>
      <c r="Y47" s="39" t="str">
        <f t="shared" si="138"/>
        <v/>
      </c>
      <c r="Z47" s="74" t="str">
        <f t="shared" si="139"/>
        <v/>
      </c>
      <c r="AB47" s="176"/>
      <c r="AC47" s="130" t="str">
        <f t="shared" si="140"/>
        <v/>
      </c>
      <c r="AD47" s="39" t="str">
        <f t="shared" si="141"/>
        <v/>
      </c>
      <c r="AE47" s="39" t="str">
        <f t="shared" si="142"/>
        <v/>
      </c>
      <c r="AF47" s="39" t="str">
        <f t="shared" si="143"/>
        <v/>
      </c>
      <c r="AG47" s="74" t="str">
        <f t="shared" si="144"/>
        <v/>
      </c>
      <c r="AI47" s="196"/>
      <c r="AJ4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7" s="136" t="str">
        <f>IF(AJ47&lt;&gt;"",IF(AJ47=0,COUNTIF(AJ$2:AJ46,0)+1,COUNTIF(AJ$2:AJ46,AJ47)+AJ47+COUNTIF(AJ:AJ,0)),"")</f>
        <v/>
      </c>
      <c r="AL47" s="136" t="str">
        <f t="shared" si="20"/>
        <v/>
      </c>
      <c r="AM47" s="155" t="str">
        <f>IF(AND(Include_study?="Yes",Sufficient_data="Yes",Input!Study_name&lt;&gt;""),Input!Study_name,"")</f>
        <v/>
      </c>
      <c r="AN47" s="136" t="str">
        <f t="shared" si="21"/>
        <v/>
      </c>
      <c r="AO47" s="19" t="str">
        <f t="shared" si="145"/>
        <v/>
      </c>
      <c r="AP47" s="158" t="str">
        <f t="shared" si="146"/>
        <v/>
      </c>
      <c r="AQ47" s="158" t="str">
        <f t="shared" si="147"/>
        <v/>
      </c>
      <c r="AR47" s="39" t="str">
        <f t="shared" si="148"/>
        <v/>
      </c>
      <c r="AS47" s="158" t="str">
        <f t="shared" si="149"/>
        <v/>
      </c>
      <c r="AT47" s="39" t="str">
        <f t="shared" si="150"/>
        <v/>
      </c>
      <c r="AU47" s="172" t="str">
        <f t="shared" si="151"/>
        <v/>
      </c>
      <c r="AW47" s="84" t="e">
        <f t="shared" si="152"/>
        <v>#N/A</v>
      </c>
      <c r="AX47" s="3" t="e">
        <f t="shared" si="153"/>
        <v>#N/A</v>
      </c>
      <c r="AY47" s="74" t="e">
        <f t="shared" si="154"/>
        <v>#N/A</v>
      </c>
      <c r="BD47" s="196"/>
      <c r="BE47" s="182"/>
      <c r="BF47" s="3" t="str">
        <f t="shared" si="155"/>
        <v/>
      </c>
      <c r="BG47" s="3" t="str">
        <f t="shared" si="156"/>
        <v/>
      </c>
      <c r="BH47" s="3" t="str">
        <f t="shared" si="157"/>
        <v/>
      </c>
      <c r="BI47" s="39" t="str">
        <f t="shared" si="158"/>
        <v/>
      </c>
      <c r="BJ47" s="95" t="str">
        <f t="shared" si="159"/>
        <v/>
      </c>
      <c r="BO47" s="176"/>
      <c r="BP47" s="158" t="str">
        <f t="shared" si="160"/>
        <v/>
      </c>
      <c r="BQ47" s="158" t="str">
        <f t="shared" si="161"/>
        <v/>
      </c>
      <c r="BR47" s="158" t="str">
        <f t="shared" si="162"/>
        <v/>
      </c>
      <c r="BS47" s="158" t="str">
        <f>IF(AND(Sufficient_data="Yes",Include_study?="Yes"),IF(Add_0_5="Yes",(a_+d_+1)*(ab_+0.5)*(c_+0.5)/(Number_of_subjects+2)^2,(a_+d_)*b_*c_/Number_of_subjects^2),"")</f>
        <v/>
      </c>
      <c r="BT47" s="158" t="str">
        <f t="shared" si="163"/>
        <v/>
      </c>
      <c r="BU47" s="158" t="str">
        <f t="shared" si="164"/>
        <v/>
      </c>
      <c r="BV47" s="158" t="str">
        <f t="shared" si="165"/>
        <v/>
      </c>
      <c r="BW47" s="3" t="str">
        <f t="shared" si="166"/>
        <v/>
      </c>
      <c r="BX47" s="137" t="str">
        <f t="shared" si="167"/>
        <v/>
      </c>
      <c r="BY47" s="95" t="str">
        <f t="shared" si="168"/>
        <v/>
      </c>
      <c r="CD47" s="176"/>
      <c r="CE47" s="130" t="str">
        <f t="shared" si="169"/>
        <v/>
      </c>
      <c r="CF47" s="39" t="str">
        <f t="shared" si="170"/>
        <v/>
      </c>
      <c r="CG47" s="39" t="str">
        <f t="shared" si="171"/>
        <v/>
      </c>
      <c r="CH47" s="39" t="str">
        <f t="shared" si="172"/>
        <v/>
      </c>
      <c r="CI47" s="39" t="str">
        <f t="shared" si="173"/>
        <v/>
      </c>
      <c r="CJ47" s="39" t="str">
        <f t="shared" si="50"/>
        <v/>
      </c>
      <c r="CK47" s="95" t="str">
        <f t="shared" si="174"/>
        <v/>
      </c>
      <c r="CP47" s="176"/>
      <c r="CQ47" s="99" t="str">
        <f t="shared" si="175"/>
        <v/>
      </c>
      <c r="CX47" s="196"/>
      <c r="CY47" s="89" t="e">
        <f t="shared" si="176"/>
        <v>#N/A</v>
      </c>
      <c r="CZ47" s="136" t="str">
        <f t="shared" si="177"/>
        <v/>
      </c>
      <c r="DA47" s="140" t="str">
        <f t="shared" si="178"/>
        <v/>
      </c>
      <c r="DB47" s="39" t="str">
        <f t="shared" si="179"/>
        <v/>
      </c>
      <c r="DC47" s="39" t="str">
        <f t="shared" si="180"/>
        <v/>
      </c>
      <c r="DD47" s="39" t="str">
        <f t="shared" si="181"/>
        <v/>
      </c>
      <c r="DE47" s="39" t="str">
        <f t="shared" si="182"/>
        <v/>
      </c>
      <c r="DF47" s="141" t="str">
        <f t="shared" si="183"/>
        <v/>
      </c>
      <c r="DG47" s="39" t="str">
        <f t="shared" si="184"/>
        <v/>
      </c>
      <c r="DH47" s="39" t="str">
        <f t="shared" si="185"/>
        <v/>
      </c>
      <c r="DI47" s="39" t="str">
        <f t="shared" si="186"/>
        <v/>
      </c>
      <c r="DJ47" s="74" t="str">
        <f t="shared" si="187"/>
        <v/>
      </c>
      <c r="DL47" s="84" t="e">
        <f t="shared" si="188"/>
        <v>#N/A</v>
      </c>
      <c r="DM47" s="39" t="e">
        <f t="shared" si="189"/>
        <v>#N/A</v>
      </c>
      <c r="DN47" s="74" t="e">
        <f t="shared" si="190"/>
        <v>#N/A</v>
      </c>
      <c r="DP47" s="89" t="str">
        <f t="shared" si="102"/>
        <v/>
      </c>
      <c r="DQ47" s="26" t="str">
        <f>IF(AND(Sufficient_data="Yes",Subgroup&lt;&gt;""),IF(COUNTIFS(Input!J$2:J46,"="&amp;"Yes",Input!C$2:C46,"="&amp;"Yes",Input!K$2:K46,"="&amp;Subgroup)&gt;0,"",Subgroup),"")</f>
        <v/>
      </c>
      <c r="DR47" s="7" t="str">
        <f t="shared" si="103"/>
        <v/>
      </c>
      <c r="DS47" s="7" t="str">
        <f t="shared" si="191"/>
        <v/>
      </c>
      <c r="DT47" s="19" t="str">
        <f t="shared" si="192"/>
        <v/>
      </c>
      <c r="DU47" s="12" t="str">
        <f t="shared" si="104"/>
        <v/>
      </c>
      <c r="DV47" s="11" t="str">
        <f t="shared" si="105"/>
        <v/>
      </c>
      <c r="DW47" s="12" t="str">
        <f t="shared" si="193"/>
        <v/>
      </c>
      <c r="DX47" s="12" t="str">
        <f t="shared" si="194"/>
        <v/>
      </c>
      <c r="DY47" s="19" t="str">
        <f t="shared" si="106"/>
        <v/>
      </c>
      <c r="DZ47" s="12" t="str">
        <f t="shared" si="195"/>
        <v/>
      </c>
      <c r="EA47" s="19" t="str">
        <f t="shared" si="196"/>
        <v/>
      </c>
      <c r="EB47" s="7" t="str">
        <f t="shared" si="197"/>
        <v/>
      </c>
      <c r="EC47" s="19" t="str">
        <f t="shared" si="198"/>
        <v/>
      </c>
      <c r="ED47" s="19" t="str">
        <f t="shared" si="199"/>
        <v/>
      </c>
      <c r="EE47" s="19" t="str">
        <f t="shared" si="109"/>
        <v/>
      </c>
      <c r="EF47" s="19" t="str">
        <f t="shared" si="110"/>
        <v/>
      </c>
      <c r="EG47" s="19" t="str">
        <f t="shared" si="111"/>
        <v/>
      </c>
      <c r="EH47" s="19" t="str">
        <f t="shared" si="112"/>
        <v/>
      </c>
      <c r="EI47" s="19" t="str">
        <f t="shared" si="113"/>
        <v/>
      </c>
      <c r="EJ47" s="19" t="str">
        <f t="shared" si="200"/>
        <v/>
      </c>
      <c r="EK47" s="19" t="str">
        <f t="shared" si="201"/>
        <v/>
      </c>
      <c r="EL47" s="19" t="str">
        <f t="shared" si="115"/>
        <v/>
      </c>
      <c r="EM47" s="19" t="str">
        <f t="shared" si="116"/>
        <v/>
      </c>
      <c r="EN47" s="19" t="str">
        <f t="shared" si="117"/>
        <v/>
      </c>
      <c r="EO47" s="19" t="str">
        <f t="shared" si="118"/>
        <v/>
      </c>
      <c r="EP47" s="19" t="str">
        <f t="shared" si="202"/>
        <v/>
      </c>
      <c r="EQ47" s="19" t="e">
        <f t="shared" si="119"/>
        <v>#N/A</v>
      </c>
      <c r="ER47" s="11" t="str">
        <f t="shared" si="120"/>
        <v/>
      </c>
      <c r="ES47" s="19" t="str">
        <f t="shared" si="121"/>
        <v/>
      </c>
      <c r="ET47" s="156" t="str">
        <f t="shared" si="203"/>
        <v/>
      </c>
      <c r="EU47" s="39" t="str">
        <f t="shared" si="204"/>
        <v/>
      </c>
      <c r="EV47" s="74" t="str">
        <f t="shared" si="205"/>
        <v/>
      </c>
      <c r="FA47" s="196"/>
      <c r="FB47" s="84" t="e">
        <f>IF(AND(Include_study?="Yes",Sufficient_data="Yes",Moderator&lt;&gt;""),'Moderator Analysis'!E47,NA())</f>
        <v>#N/A</v>
      </c>
      <c r="FC47" s="39" t="e">
        <f>IF(AND(Include_study?="Yes",Sufficient_data="Yes",Moderator&lt;&gt;""),'Moderator Analysis'!F47,NA())</f>
        <v>#N/A</v>
      </c>
      <c r="FD47" s="39" t="str">
        <f t="shared" si="206"/>
        <v/>
      </c>
      <c r="FE47" s="39" t="str">
        <f t="shared" si="207"/>
        <v/>
      </c>
      <c r="FF47" s="39" t="str">
        <f>IF(AND(Include_study?="Yes",Sufficient_data="Yes",Moderator&lt;&gt;""),'Moderator Analysis'!F:F-FP$2,"")</f>
        <v/>
      </c>
      <c r="FG47" s="39" t="str">
        <f>IF(AND(Include_study?="Yes",Sufficient_data="Yes",Moderator&lt;&gt;""),'Moderator Analysis'!E:E-FP$3,"")</f>
        <v/>
      </c>
      <c r="FH47" s="74" t="str">
        <f>IF(AND(Include_study?="Yes",Sufficient_data="Yes",Moderator&lt;&gt;""),FE:FE*('Moderator Analysis'!F:F-FP$5-FP$4*'Moderator Analysis'!E:E)^2,"")</f>
        <v/>
      </c>
      <c r="FI47" s="128"/>
      <c r="FJ47" s="92" t="str">
        <f t="shared" si="208"/>
        <v/>
      </c>
      <c r="FK47" s="137" t="str">
        <f>IF(AND(Include_study?="Yes",Sufficient_data="Yes",Moderator&lt;&gt;""),'Moderator Analysis'!F:F-'Moderator Analysis'!J$37,"")</f>
        <v/>
      </c>
      <c r="FL47" s="137" t="str">
        <f>IF(AND(Include_study?="Yes",Sufficient_data="Yes",Moderator&lt;&gt;""),'Moderator Analysis'!E:E-SUMPRODUCT('Moderator Analysis'!E:E,FJ:FJ)/SUM(FJ:FJ),"")</f>
        <v/>
      </c>
      <c r="FM47" s="95" t="str">
        <f>IF(AND(Include_study?="Yes",Sufficient_data="Yes",Moderator&lt;&gt;""),FJ:FJ*('Moderator Analysis'!F:F-'Moderator Analysis'!J$29-'Moderator Analysis'!J$30*'Moderator Analysis'!E:E)^2,"")</f>
        <v/>
      </c>
      <c r="FN47" s="21"/>
      <c r="FR47" s="196"/>
      <c r="FS47" s="182"/>
      <c r="FT4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7" s="39" t="str">
        <f>IF(AND(Include_study?="Yes",Sufficient_data="Yes"),1/('Publication Bias Analysis'!F:F^2+IF(Additional_model="Fixed effect",0,Calculations!GH$12)),"")</f>
        <v/>
      </c>
      <c r="FV47" s="39" t="str">
        <f>IF(AND(Include_study?="Yes",Sufficient_data="Yes"),1/('Publication Bias Analysis'!F:F^2+IF(Additional_model="Fixed effect",0,'Publication Bias Analysis'!L$32)),"")</f>
        <v/>
      </c>
      <c r="FW47" s="39" t="str">
        <f>IF(AND(Include_study?="Yes",Sufficient_data="Yes"),'Publication Bias Analysis'!E:E-'Publication Bias Analysis'!I$37,"")</f>
        <v/>
      </c>
      <c r="FX47" s="39" t="str">
        <f>IF(AND(Include_study?="Yes",Sufficient_data="Yes"),IF(Additional_model="Fixed effect",1/'Publication Bias Analysis'!F:F,1/SQRT('Publication Bias Analysis'!F:F^2+GH$12)),"")</f>
        <v/>
      </c>
      <c r="FY4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7" s="136" t="str">
        <f t="shared" si="209"/>
        <v/>
      </c>
      <c r="GA47" s="144" t="str">
        <f>IF(AND(Include_study?="Yes",Sufficient_data="Yes"),FZ:FZ+IF(GL:GL&lt;0,-1,1)*COUNTIF(FZ$2:FZ46,FZ:FZ),"")</f>
        <v/>
      </c>
      <c r="GB47" s="144" t="str">
        <f>IF(AND(Include_study?="Yes",Sufficient_data="Yes"),RANK(GP:GP,GP:GP,1)*IF(GO:GO&lt;0,-1,1)+IF(GO:GO&lt;0,-1,1)*COUNTIF(FZ$2:FZ46,FZ:FZ),"")</f>
        <v/>
      </c>
      <c r="GC47" s="144" t="str">
        <f>IF(AND(Include_study?="Yes",Sufficient_data="Yes"),RANK(GS:GS,GS:GS,1)*IF(GR:GR&lt;0,-1,1)+IF(GR:GR&lt;0,-1,1)*COUNTIF(FZ$2:FZ46,FZ:FZ),"")</f>
        <v/>
      </c>
      <c r="GD47" s="39" t="e">
        <f>IF(AND(Include_study?="Yes",Sufficient_data="Yes"),'Publication Bias Analysis'!E47,NA())</f>
        <v>#N/A</v>
      </c>
      <c r="GE47" s="74" t="e">
        <f>IF(AND(Include_study?="Yes",Sufficient_data="Yes"),'Publication Bias Analysis'!F47,NA())</f>
        <v>#N/A</v>
      </c>
      <c r="GK47" s="176"/>
      <c r="GL4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7" s="39" t="str">
        <f t="shared" si="210"/>
        <v/>
      </c>
      <c r="GN4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7" s="39" t="str">
        <f>IF(AND(Include_study?="Yes",Sufficient_data="Yes"),IF('Publication Bias Analysis'!L$38="Left",'Publication Bias Analysis'!E:E-GW$3,GW$3-'Publication Bias Analysis'!E:E),"")</f>
        <v/>
      </c>
      <c r="GP47" s="39" t="str">
        <f t="shared" si="211"/>
        <v/>
      </c>
      <c r="GQ4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7" s="39" t="str">
        <f>IF(AND(Include_study?="Yes",Sufficient_data="Yes"),IF('Publication Bias Analysis'!L$38="Left",'Publication Bias Analysis'!E:E-GW$10,GW$10-'Publication Bias Analysis'!E:E),"")</f>
        <v/>
      </c>
      <c r="GS47" s="39" t="str">
        <f t="shared" si="212"/>
        <v/>
      </c>
      <c r="GT4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47" s="176"/>
      <c r="HL47" s="66" t="str">
        <f t="shared" si="89"/>
        <v/>
      </c>
      <c r="HM47" s="74" t="str">
        <f>IF(AND(Include_study?="Yes",Sufficient_data="Yes"),Z_score-('Publication Bias Analysis'!P$3+'Publication Bias Analysis'!P$4*Inverse_standard_error),"")</f>
        <v/>
      </c>
      <c r="HO47" s="176"/>
      <c r="HP47" s="64" t="str">
        <f>IF(AND(Include_study?="Yes",Sufficient_data="Yes"),(GD:GD-SUMPRODUCT(Calculations!FT:FT,'Publication Bias Analysis'!E:E)/SUM(Calculations!FT:FT))/SQRT(Calculations!HQ:HQ),"")</f>
        <v/>
      </c>
      <c r="HQ47" s="64" t="str">
        <f>IF(AND(Include_study?="Yes",Sufficient_data="Yes"),GE:GE^2-1/SUM(Calculations!FT:FT),"")</f>
        <v/>
      </c>
      <c r="HR47" s="7" t="str">
        <f t="shared" si="213"/>
        <v/>
      </c>
      <c r="HS47" s="7" t="str">
        <f t="shared" si="214"/>
        <v/>
      </c>
      <c r="HT47" s="7" t="str">
        <f>IF(AND(Include_study?="Yes",Sufficient_data="Yes"),COUNTIFS(HR$2:HR46,"&lt;"&amp;HR47,HS$2:HS46,"&lt;"&amp;HS47)+COUNTIFS(HR48:HR$201,"&lt;"&amp;HR47,HS48:HS$201,"&lt;"&amp;HS47)+COUNTIFS(HR$2:HR46,"&gt;"&amp;HR47,HS$2:HS46,"&gt;"&amp;HS47)+COUNTIFS(HR48:HR$201,"&gt;"&amp;HR47,HS48:HS$201,"&gt;"&amp;HS47),"")</f>
        <v/>
      </c>
      <c r="HU47" s="104" t="str">
        <f>IF(AND(Include_study?="Yes",Sufficient_data="Yes"),COUNTIFS(HR$2:HR46,"&lt;"&amp;HR47,HS$2:HS46,"&gt;"&amp;HS47)+COUNTIFS(HR48:HR$201,"&lt;"&amp;HR47,HS48:HS$201,"&gt;"&amp;HS47)+COUNTIFS(HR$2:HR46,"&gt;"&amp;HR47,HS$2:HS46,"&lt;"&amp;HS47)+COUNTIFS(HR48:HR$201,"&gt;"&amp;HR47,HS48:HS$201,"&lt;"&amp;HS47),"")</f>
        <v/>
      </c>
      <c r="HW47" s="176"/>
      <c r="IB47" s="176"/>
      <c r="IC47" s="146" t="e">
        <f t="shared" si="215"/>
        <v>#N/A</v>
      </c>
      <c r="ID47" s="137" t="e">
        <f t="shared" si="216"/>
        <v>#N/A</v>
      </c>
      <c r="IE47" s="137" t="str">
        <f t="shared" si="217"/>
        <v/>
      </c>
      <c r="IF47" s="95" t="str">
        <f t="shared" si="218"/>
        <v/>
      </c>
      <c r="IK47" s="176"/>
      <c r="IL47" s="3" t="e">
        <f>IF(AND(Include_study?="Yes",Sufficient_data="Yes"),'Publication Bias Analysis'!AV:AV,NA())</f>
        <v>#N/A</v>
      </c>
      <c r="IM47" s="158" t="e">
        <f>IF(AND(Sufficient_data="Yes",Include_study?="Yes"),'Publication Bias Analysis'!AU:AU,NA())</f>
        <v>#N/A</v>
      </c>
      <c r="IN47" s="62" t="str">
        <f t="shared" si="219"/>
        <v/>
      </c>
      <c r="IO47" s="74" t="str">
        <f>IF(AND(Include_study?="Yes",Sufficient_data="Yes"),Z_score-('Publication Bias Analysis'!AY$30+'Publication Bias Analysis'!AY$31*Inverse_standard_error),"")</f>
        <v/>
      </c>
      <c r="IU47" s="176"/>
      <c r="IV47" s="7" t="str">
        <f>IF('Publication Bias Analysis'!BG:BG&lt;&gt;"",RANK('Publication Bias Analysis'!BG:BG,'Publication Bias Analysis'!BG:BG,1)+COUNTIF('Publication Bias Analysis'!BG$2:BG46,'Publication Bias Analysis'!BG47),"")</f>
        <v/>
      </c>
      <c r="IW47" s="124" t="str">
        <f t="shared" si="220"/>
        <v/>
      </c>
      <c r="IX47" s="125" t="e">
        <f>IF('Publication Bias Analysis'!BF47&lt;&gt;"",'Publication Bias Analysis'!BF47,NA())</f>
        <v>#N/A</v>
      </c>
      <c r="IY47" s="125" t="e">
        <f>IF('Publication Bias Analysis'!BG47&lt;&gt;"",'Publication Bias Analysis'!BG47,NA())</f>
        <v>#N/A</v>
      </c>
      <c r="IZ47" s="62" t="str">
        <f>IF(AND(Include_study?="Yes",Sufficient_data="Yes"),'Publication Bias Analysis'!BF:BF-AVERAGE('Publication Bias Analysis'!BF:BF),"")</f>
        <v/>
      </c>
      <c r="JA47" s="74" t="str">
        <f>IF(AND(Include_study?="Yes",Sufficient_data="Yes"),'Publication Bias Analysis'!BG:BG-('Publication Bias Analysis'!BJ$30+'Publication Bias Analysis'!BJ$31*'Publication Bias Analysis'!BF:BF),"")</f>
        <v/>
      </c>
      <c r="JG47" s="176"/>
      <c r="JH47" s="39" t="str">
        <f t="shared" si="221"/>
        <v/>
      </c>
      <c r="JI47" s="148" t="str">
        <f t="shared" si="124"/>
        <v/>
      </c>
      <c r="JJ47" s="74" t="str">
        <f t="shared" si="125"/>
        <v/>
      </c>
    </row>
    <row r="48" spans="1:270" x14ac:dyDescent="0.2">
      <c r="A48" s="2" t="str">
        <f t="shared" si="126"/>
        <v/>
      </c>
      <c r="B48" s="7" t="str">
        <f>IF(AND(Include_study?="Yes",Sufficient_data="Yes"),IF(Input!a_&lt;&gt;"",Input!a_,Input!n1_-Input!b_),"")</f>
        <v/>
      </c>
      <c r="C48" s="7" t="str">
        <f>IF(AND(Include_study?="Yes",Sufficient_data="Yes"),IF(Input!b_&lt;&gt;"",Input!b_,Input!n1_-Input!a_),"")</f>
        <v/>
      </c>
      <c r="D48" s="7" t="str">
        <f>IF(AND(Include_study?="Yes",Sufficient_data="Yes"),IF(Input!c_&lt;&gt;"",Input!c_,Input!n2_-Input!d_),"")</f>
        <v/>
      </c>
      <c r="E48" s="7" t="str">
        <f>IF(AND(Include_study?="Yes",Sufficient_data="Yes"),IF(Input!d_&lt;&gt;"",Input!d_,Input!n2_-Input!c_),"")</f>
        <v/>
      </c>
      <c r="F48" s="74" t="str">
        <f t="shared" si="127"/>
        <v/>
      </c>
      <c r="H48" s="196"/>
      <c r="I48" s="182"/>
      <c r="J48" s="146" t="str">
        <f t="shared" si="2"/>
        <v/>
      </c>
      <c r="K48" s="39" t="str">
        <f t="shared" si="128"/>
        <v/>
      </c>
      <c r="L48" s="39" t="str">
        <f t="shared" si="129"/>
        <v/>
      </c>
      <c r="M48" s="39" t="str">
        <f t="shared" si="130"/>
        <v/>
      </c>
      <c r="N48" s="74" t="str">
        <f t="shared" si="131"/>
        <v/>
      </c>
      <c r="P48" s="176"/>
      <c r="Q48" s="130" t="str">
        <f t="shared" si="132"/>
        <v/>
      </c>
      <c r="R48" s="39" t="str">
        <f t="shared" si="133"/>
        <v/>
      </c>
      <c r="S48" s="39" t="str">
        <f t="shared" si="134"/>
        <v/>
      </c>
      <c r="T48" s="74" t="str">
        <f t="shared" si="135"/>
        <v/>
      </c>
      <c r="V48" s="176"/>
      <c r="W48" s="130" t="str">
        <f t="shared" si="136"/>
        <v/>
      </c>
      <c r="X48" s="39" t="str">
        <f t="shared" si="137"/>
        <v/>
      </c>
      <c r="Y48" s="39" t="str">
        <f t="shared" si="138"/>
        <v/>
      </c>
      <c r="Z48" s="74" t="str">
        <f t="shared" si="139"/>
        <v/>
      </c>
      <c r="AB48" s="176"/>
      <c r="AC48" s="130" t="str">
        <f t="shared" si="140"/>
        <v/>
      </c>
      <c r="AD48" s="39" t="str">
        <f t="shared" si="141"/>
        <v/>
      </c>
      <c r="AE48" s="39" t="str">
        <f t="shared" si="142"/>
        <v/>
      </c>
      <c r="AF48" s="39" t="str">
        <f t="shared" si="143"/>
        <v/>
      </c>
      <c r="AG48" s="74" t="str">
        <f t="shared" si="144"/>
        <v/>
      </c>
      <c r="AI48" s="196"/>
      <c r="AJ4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8" s="136" t="str">
        <f>IF(AJ48&lt;&gt;"",IF(AJ48=0,COUNTIF(AJ$2:AJ47,0)+1,COUNTIF(AJ$2:AJ47,AJ48)+AJ48+COUNTIF(AJ:AJ,0)),"")</f>
        <v/>
      </c>
      <c r="AL48" s="136" t="str">
        <f t="shared" si="20"/>
        <v/>
      </c>
      <c r="AM48" s="155" t="str">
        <f>IF(AND(Include_study?="Yes",Sufficient_data="Yes",Input!Study_name&lt;&gt;""),Input!Study_name,"")</f>
        <v/>
      </c>
      <c r="AN48" s="136" t="str">
        <f t="shared" si="21"/>
        <v/>
      </c>
      <c r="AO48" s="19" t="str">
        <f t="shared" si="145"/>
        <v/>
      </c>
      <c r="AP48" s="158" t="str">
        <f t="shared" si="146"/>
        <v/>
      </c>
      <c r="AQ48" s="158" t="str">
        <f t="shared" si="147"/>
        <v/>
      </c>
      <c r="AR48" s="39" t="str">
        <f t="shared" si="148"/>
        <v/>
      </c>
      <c r="AS48" s="158" t="str">
        <f t="shared" si="149"/>
        <v/>
      </c>
      <c r="AT48" s="39" t="str">
        <f t="shared" si="150"/>
        <v/>
      </c>
      <c r="AU48" s="172" t="str">
        <f t="shared" si="151"/>
        <v/>
      </c>
      <c r="AW48" s="84" t="e">
        <f t="shared" si="152"/>
        <v>#N/A</v>
      </c>
      <c r="AX48" s="3" t="e">
        <f t="shared" si="153"/>
        <v>#N/A</v>
      </c>
      <c r="AY48" s="74" t="e">
        <f t="shared" si="154"/>
        <v>#N/A</v>
      </c>
      <c r="BD48" s="196"/>
      <c r="BE48" s="182"/>
      <c r="BF48" s="3" t="str">
        <f t="shared" si="155"/>
        <v/>
      </c>
      <c r="BG48" s="3" t="str">
        <f t="shared" si="156"/>
        <v/>
      </c>
      <c r="BH48" s="3" t="str">
        <f t="shared" si="157"/>
        <v/>
      </c>
      <c r="BI48" s="39" t="str">
        <f t="shared" si="158"/>
        <v/>
      </c>
      <c r="BJ48" s="95" t="str">
        <f t="shared" si="159"/>
        <v/>
      </c>
      <c r="BO48" s="176"/>
      <c r="BP48" s="158" t="str">
        <f t="shared" si="160"/>
        <v/>
      </c>
      <c r="BQ48" s="158" t="str">
        <f t="shared" si="161"/>
        <v/>
      </c>
      <c r="BR48" s="158" t="str">
        <f t="shared" si="162"/>
        <v/>
      </c>
      <c r="BS48" s="158" t="str">
        <f>IF(AND(Sufficient_data="Yes",Include_study?="Yes"),IF(Add_0_5="Yes",(a_+d_+1)*(ab_+0.5)*(c_+0.5)/(Number_of_subjects+2)^2,(a_+d_)*b_*c_/Number_of_subjects^2),"")</f>
        <v/>
      </c>
      <c r="BT48" s="158" t="str">
        <f t="shared" si="163"/>
        <v/>
      </c>
      <c r="BU48" s="158" t="str">
        <f t="shared" si="164"/>
        <v/>
      </c>
      <c r="BV48" s="158" t="str">
        <f t="shared" si="165"/>
        <v/>
      </c>
      <c r="BW48" s="3" t="str">
        <f t="shared" si="166"/>
        <v/>
      </c>
      <c r="BX48" s="137" t="str">
        <f t="shared" si="167"/>
        <v/>
      </c>
      <c r="BY48" s="95" t="str">
        <f t="shared" si="168"/>
        <v/>
      </c>
      <c r="CD48" s="176"/>
      <c r="CE48" s="130" t="str">
        <f t="shared" si="169"/>
        <v/>
      </c>
      <c r="CF48" s="39" t="str">
        <f t="shared" si="170"/>
        <v/>
      </c>
      <c r="CG48" s="39" t="str">
        <f t="shared" si="171"/>
        <v/>
      </c>
      <c r="CH48" s="39" t="str">
        <f t="shared" si="172"/>
        <v/>
      </c>
      <c r="CI48" s="39" t="str">
        <f t="shared" si="173"/>
        <v/>
      </c>
      <c r="CJ48" s="39" t="str">
        <f t="shared" si="50"/>
        <v/>
      </c>
      <c r="CK48" s="95" t="str">
        <f t="shared" si="174"/>
        <v/>
      </c>
      <c r="CP48" s="176"/>
      <c r="CQ48" s="99" t="str">
        <f t="shared" si="175"/>
        <v/>
      </c>
      <c r="CX48" s="196"/>
      <c r="CY48" s="89" t="e">
        <f t="shared" si="176"/>
        <v>#N/A</v>
      </c>
      <c r="CZ48" s="136" t="str">
        <f t="shared" si="177"/>
        <v/>
      </c>
      <c r="DA48" s="140" t="str">
        <f t="shared" si="178"/>
        <v/>
      </c>
      <c r="DB48" s="39" t="str">
        <f t="shared" si="179"/>
        <v/>
      </c>
      <c r="DC48" s="39" t="str">
        <f t="shared" si="180"/>
        <v/>
      </c>
      <c r="DD48" s="39" t="str">
        <f t="shared" si="181"/>
        <v/>
      </c>
      <c r="DE48" s="39" t="str">
        <f t="shared" si="182"/>
        <v/>
      </c>
      <c r="DF48" s="141" t="str">
        <f t="shared" si="183"/>
        <v/>
      </c>
      <c r="DG48" s="39" t="str">
        <f t="shared" si="184"/>
        <v/>
      </c>
      <c r="DH48" s="39" t="str">
        <f t="shared" si="185"/>
        <v/>
      </c>
      <c r="DI48" s="39" t="str">
        <f t="shared" si="186"/>
        <v/>
      </c>
      <c r="DJ48" s="74" t="str">
        <f t="shared" si="187"/>
        <v/>
      </c>
      <c r="DL48" s="84" t="e">
        <f t="shared" si="188"/>
        <v>#N/A</v>
      </c>
      <c r="DM48" s="39" t="e">
        <f t="shared" si="189"/>
        <v>#N/A</v>
      </c>
      <c r="DN48" s="74" t="e">
        <f t="shared" si="190"/>
        <v>#N/A</v>
      </c>
      <c r="DP48" s="89" t="str">
        <f t="shared" si="102"/>
        <v/>
      </c>
      <c r="DQ48" s="26" t="str">
        <f>IF(AND(Sufficient_data="Yes",Subgroup&lt;&gt;""),IF(COUNTIFS(Input!J$2:J47,"="&amp;"Yes",Input!C$2:C47,"="&amp;"Yes",Input!K$2:K47,"="&amp;Subgroup)&gt;0,"",Subgroup),"")</f>
        <v/>
      </c>
      <c r="DR48" s="7" t="str">
        <f t="shared" si="103"/>
        <v/>
      </c>
      <c r="DS48" s="7" t="str">
        <f t="shared" si="191"/>
        <v/>
      </c>
      <c r="DT48" s="19" t="str">
        <f t="shared" si="192"/>
        <v/>
      </c>
      <c r="DU48" s="12" t="str">
        <f t="shared" si="104"/>
        <v/>
      </c>
      <c r="DV48" s="11" t="str">
        <f t="shared" si="105"/>
        <v/>
      </c>
      <c r="DW48" s="12" t="str">
        <f t="shared" si="193"/>
        <v/>
      </c>
      <c r="DX48" s="12" t="str">
        <f t="shared" si="194"/>
        <v/>
      </c>
      <c r="DY48" s="19" t="str">
        <f t="shared" si="106"/>
        <v/>
      </c>
      <c r="DZ48" s="12" t="str">
        <f t="shared" si="195"/>
        <v/>
      </c>
      <c r="EA48" s="19" t="str">
        <f t="shared" si="196"/>
        <v/>
      </c>
      <c r="EB48" s="7" t="str">
        <f t="shared" si="197"/>
        <v/>
      </c>
      <c r="EC48" s="19" t="str">
        <f t="shared" si="198"/>
        <v/>
      </c>
      <c r="ED48" s="19" t="str">
        <f t="shared" si="199"/>
        <v/>
      </c>
      <c r="EE48" s="19" t="str">
        <f t="shared" si="109"/>
        <v/>
      </c>
      <c r="EF48" s="19" t="str">
        <f t="shared" si="110"/>
        <v/>
      </c>
      <c r="EG48" s="19" t="str">
        <f t="shared" si="111"/>
        <v/>
      </c>
      <c r="EH48" s="19" t="str">
        <f t="shared" si="112"/>
        <v/>
      </c>
      <c r="EI48" s="19" t="str">
        <f t="shared" si="113"/>
        <v/>
      </c>
      <c r="EJ48" s="19" t="str">
        <f t="shared" si="200"/>
        <v/>
      </c>
      <c r="EK48" s="19" t="str">
        <f t="shared" si="201"/>
        <v/>
      </c>
      <c r="EL48" s="19" t="str">
        <f t="shared" si="115"/>
        <v/>
      </c>
      <c r="EM48" s="19" t="str">
        <f t="shared" si="116"/>
        <v/>
      </c>
      <c r="EN48" s="19" t="str">
        <f t="shared" si="117"/>
        <v/>
      </c>
      <c r="EO48" s="19" t="str">
        <f t="shared" si="118"/>
        <v/>
      </c>
      <c r="EP48" s="19" t="str">
        <f t="shared" si="202"/>
        <v/>
      </c>
      <c r="EQ48" s="19" t="e">
        <f t="shared" si="119"/>
        <v>#N/A</v>
      </c>
      <c r="ER48" s="11" t="str">
        <f t="shared" si="120"/>
        <v/>
      </c>
      <c r="ES48" s="19" t="str">
        <f t="shared" si="121"/>
        <v/>
      </c>
      <c r="ET48" s="156" t="str">
        <f t="shared" si="203"/>
        <v/>
      </c>
      <c r="EU48" s="39" t="str">
        <f t="shared" si="204"/>
        <v/>
      </c>
      <c r="EV48" s="74" t="str">
        <f t="shared" si="205"/>
        <v/>
      </c>
      <c r="FA48" s="196"/>
      <c r="FB48" s="84" t="e">
        <f>IF(AND(Include_study?="Yes",Sufficient_data="Yes",Moderator&lt;&gt;""),'Moderator Analysis'!E48,NA())</f>
        <v>#N/A</v>
      </c>
      <c r="FC48" s="39" t="e">
        <f>IF(AND(Include_study?="Yes",Sufficient_data="Yes",Moderator&lt;&gt;""),'Moderator Analysis'!F48,NA())</f>
        <v>#N/A</v>
      </c>
      <c r="FD48" s="39" t="str">
        <f t="shared" si="206"/>
        <v/>
      </c>
      <c r="FE48" s="39" t="str">
        <f t="shared" si="207"/>
        <v/>
      </c>
      <c r="FF48" s="39" t="str">
        <f>IF(AND(Include_study?="Yes",Sufficient_data="Yes",Moderator&lt;&gt;""),'Moderator Analysis'!F:F-FP$2,"")</f>
        <v/>
      </c>
      <c r="FG48" s="39" t="str">
        <f>IF(AND(Include_study?="Yes",Sufficient_data="Yes",Moderator&lt;&gt;""),'Moderator Analysis'!E:E-FP$3,"")</f>
        <v/>
      </c>
      <c r="FH48" s="74" t="str">
        <f>IF(AND(Include_study?="Yes",Sufficient_data="Yes",Moderator&lt;&gt;""),FE:FE*('Moderator Analysis'!F:F-FP$5-FP$4*'Moderator Analysis'!E:E)^2,"")</f>
        <v/>
      </c>
      <c r="FI48" s="128"/>
      <c r="FJ48" s="92" t="str">
        <f t="shared" si="208"/>
        <v/>
      </c>
      <c r="FK48" s="137" t="str">
        <f>IF(AND(Include_study?="Yes",Sufficient_data="Yes",Moderator&lt;&gt;""),'Moderator Analysis'!F:F-'Moderator Analysis'!J$37,"")</f>
        <v/>
      </c>
      <c r="FL48" s="137" t="str">
        <f>IF(AND(Include_study?="Yes",Sufficient_data="Yes",Moderator&lt;&gt;""),'Moderator Analysis'!E:E-SUMPRODUCT('Moderator Analysis'!E:E,FJ:FJ)/SUM(FJ:FJ),"")</f>
        <v/>
      </c>
      <c r="FM48" s="95" t="str">
        <f>IF(AND(Include_study?="Yes",Sufficient_data="Yes",Moderator&lt;&gt;""),FJ:FJ*('Moderator Analysis'!F:F-'Moderator Analysis'!J$29-'Moderator Analysis'!J$30*'Moderator Analysis'!E:E)^2,"")</f>
        <v/>
      </c>
      <c r="FN48" s="21"/>
      <c r="FR48" s="196"/>
      <c r="FS48" s="182"/>
      <c r="FT4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8" s="39" t="str">
        <f>IF(AND(Include_study?="Yes",Sufficient_data="Yes"),1/('Publication Bias Analysis'!F:F^2+IF(Additional_model="Fixed effect",0,Calculations!GH$12)),"")</f>
        <v/>
      </c>
      <c r="FV48" s="39" t="str">
        <f>IF(AND(Include_study?="Yes",Sufficient_data="Yes"),1/('Publication Bias Analysis'!F:F^2+IF(Additional_model="Fixed effect",0,'Publication Bias Analysis'!L$32)),"")</f>
        <v/>
      </c>
      <c r="FW48" s="39" t="str">
        <f>IF(AND(Include_study?="Yes",Sufficient_data="Yes"),'Publication Bias Analysis'!E:E-'Publication Bias Analysis'!I$37,"")</f>
        <v/>
      </c>
      <c r="FX48" s="39" t="str">
        <f>IF(AND(Include_study?="Yes",Sufficient_data="Yes"),IF(Additional_model="Fixed effect",1/'Publication Bias Analysis'!F:F,1/SQRT('Publication Bias Analysis'!F:F^2+GH$12)),"")</f>
        <v/>
      </c>
      <c r="FY4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8" s="136" t="str">
        <f t="shared" si="209"/>
        <v/>
      </c>
      <c r="GA48" s="144" t="str">
        <f>IF(AND(Include_study?="Yes",Sufficient_data="Yes"),FZ:FZ+IF(GL:GL&lt;0,-1,1)*COUNTIF(FZ$2:FZ47,FZ:FZ),"")</f>
        <v/>
      </c>
      <c r="GB48" s="144" t="str">
        <f>IF(AND(Include_study?="Yes",Sufficient_data="Yes"),RANK(GP:GP,GP:GP,1)*IF(GO:GO&lt;0,-1,1)+IF(GO:GO&lt;0,-1,1)*COUNTIF(FZ$2:FZ47,FZ:FZ),"")</f>
        <v/>
      </c>
      <c r="GC48" s="144" t="str">
        <f>IF(AND(Include_study?="Yes",Sufficient_data="Yes"),RANK(GS:GS,GS:GS,1)*IF(GR:GR&lt;0,-1,1)+IF(GR:GR&lt;0,-1,1)*COUNTIF(FZ$2:FZ47,FZ:FZ),"")</f>
        <v/>
      </c>
      <c r="GD48" s="39" t="e">
        <f>IF(AND(Include_study?="Yes",Sufficient_data="Yes"),'Publication Bias Analysis'!E48,NA())</f>
        <v>#N/A</v>
      </c>
      <c r="GE48" s="74" t="e">
        <f>IF(AND(Include_study?="Yes",Sufficient_data="Yes"),'Publication Bias Analysis'!F48,NA())</f>
        <v>#N/A</v>
      </c>
      <c r="GK48" s="176"/>
      <c r="GL4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8" s="39" t="str">
        <f t="shared" si="210"/>
        <v/>
      </c>
      <c r="GN4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8" s="39" t="str">
        <f>IF(AND(Include_study?="Yes",Sufficient_data="Yes"),IF('Publication Bias Analysis'!L$38="Left",'Publication Bias Analysis'!E:E-GW$3,GW$3-'Publication Bias Analysis'!E:E),"")</f>
        <v/>
      </c>
      <c r="GP48" s="39" t="str">
        <f t="shared" si="211"/>
        <v/>
      </c>
      <c r="GQ4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8" s="39" t="str">
        <f>IF(AND(Include_study?="Yes",Sufficient_data="Yes"),IF('Publication Bias Analysis'!L$38="Left",'Publication Bias Analysis'!E:E-GW$10,GW$10-'Publication Bias Analysis'!E:E),"")</f>
        <v/>
      </c>
      <c r="GS48" s="39" t="str">
        <f t="shared" si="212"/>
        <v/>
      </c>
      <c r="GT4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48" s="176"/>
      <c r="HL48" s="66" t="str">
        <f t="shared" si="89"/>
        <v/>
      </c>
      <c r="HM48" s="74" t="str">
        <f>IF(AND(Include_study?="Yes",Sufficient_data="Yes"),Z_score-('Publication Bias Analysis'!P$3+'Publication Bias Analysis'!P$4*Inverse_standard_error),"")</f>
        <v/>
      </c>
      <c r="HO48" s="176"/>
      <c r="HP48" s="64" t="str">
        <f>IF(AND(Include_study?="Yes",Sufficient_data="Yes"),(GD:GD-SUMPRODUCT(Calculations!FT:FT,'Publication Bias Analysis'!E:E)/SUM(Calculations!FT:FT))/SQRT(Calculations!HQ:HQ),"")</f>
        <v/>
      </c>
      <c r="HQ48" s="64" t="str">
        <f>IF(AND(Include_study?="Yes",Sufficient_data="Yes"),GE:GE^2-1/SUM(Calculations!FT:FT),"")</f>
        <v/>
      </c>
      <c r="HR48" s="7" t="str">
        <f t="shared" si="213"/>
        <v/>
      </c>
      <c r="HS48" s="7" t="str">
        <f t="shared" si="214"/>
        <v/>
      </c>
      <c r="HT48" s="7" t="str">
        <f>IF(AND(Include_study?="Yes",Sufficient_data="Yes"),COUNTIFS(HR$2:HR47,"&lt;"&amp;HR48,HS$2:HS47,"&lt;"&amp;HS48)+COUNTIFS(HR49:HR$201,"&lt;"&amp;HR48,HS49:HS$201,"&lt;"&amp;HS48)+COUNTIFS(HR$2:HR47,"&gt;"&amp;HR48,HS$2:HS47,"&gt;"&amp;HS48)+COUNTIFS(HR49:HR$201,"&gt;"&amp;HR48,HS49:HS$201,"&gt;"&amp;HS48),"")</f>
        <v/>
      </c>
      <c r="HU48" s="104" t="str">
        <f>IF(AND(Include_study?="Yes",Sufficient_data="Yes"),COUNTIFS(HR$2:HR47,"&lt;"&amp;HR48,HS$2:HS47,"&gt;"&amp;HS48)+COUNTIFS(HR49:HR$201,"&lt;"&amp;HR48,HS49:HS$201,"&gt;"&amp;HS48)+COUNTIFS(HR$2:HR47,"&gt;"&amp;HR48,HS$2:HS47,"&lt;"&amp;HS48)+COUNTIFS(HR49:HR$201,"&gt;"&amp;HR48,HS49:HS$201,"&lt;"&amp;HS48),"")</f>
        <v/>
      </c>
      <c r="HW48" s="176"/>
      <c r="IB48" s="176"/>
      <c r="IC48" s="146" t="e">
        <f t="shared" si="215"/>
        <v>#N/A</v>
      </c>
      <c r="ID48" s="137" t="e">
        <f t="shared" si="216"/>
        <v>#N/A</v>
      </c>
      <c r="IE48" s="137" t="str">
        <f t="shared" si="217"/>
        <v/>
      </c>
      <c r="IF48" s="95" t="str">
        <f t="shared" si="218"/>
        <v/>
      </c>
      <c r="IK48" s="176"/>
      <c r="IL48" s="3" t="e">
        <f>IF(AND(Include_study?="Yes",Sufficient_data="Yes"),'Publication Bias Analysis'!AV:AV,NA())</f>
        <v>#N/A</v>
      </c>
      <c r="IM48" s="158" t="e">
        <f>IF(AND(Sufficient_data="Yes",Include_study?="Yes"),'Publication Bias Analysis'!AU:AU,NA())</f>
        <v>#N/A</v>
      </c>
      <c r="IN48" s="62" t="str">
        <f t="shared" si="219"/>
        <v/>
      </c>
      <c r="IO48" s="74" t="str">
        <f>IF(AND(Include_study?="Yes",Sufficient_data="Yes"),Z_score-('Publication Bias Analysis'!AY$30+'Publication Bias Analysis'!AY$31*Inverse_standard_error),"")</f>
        <v/>
      </c>
      <c r="IU48" s="176"/>
      <c r="IV48" s="7" t="str">
        <f>IF('Publication Bias Analysis'!BG:BG&lt;&gt;"",RANK('Publication Bias Analysis'!BG:BG,'Publication Bias Analysis'!BG:BG,1)+COUNTIF('Publication Bias Analysis'!BG$2:BG47,'Publication Bias Analysis'!BG48),"")</f>
        <v/>
      </c>
      <c r="IW48" s="124" t="str">
        <f t="shared" si="220"/>
        <v/>
      </c>
      <c r="IX48" s="125" t="e">
        <f>IF('Publication Bias Analysis'!BF48&lt;&gt;"",'Publication Bias Analysis'!BF48,NA())</f>
        <v>#N/A</v>
      </c>
      <c r="IY48" s="125" t="e">
        <f>IF('Publication Bias Analysis'!BG48&lt;&gt;"",'Publication Bias Analysis'!BG48,NA())</f>
        <v>#N/A</v>
      </c>
      <c r="IZ48" s="62" t="str">
        <f>IF(AND(Include_study?="Yes",Sufficient_data="Yes"),'Publication Bias Analysis'!BF:BF-AVERAGE('Publication Bias Analysis'!BF:BF),"")</f>
        <v/>
      </c>
      <c r="JA48" s="74" t="str">
        <f>IF(AND(Include_study?="Yes",Sufficient_data="Yes"),'Publication Bias Analysis'!BG:BG-('Publication Bias Analysis'!BJ$30+'Publication Bias Analysis'!BJ$31*'Publication Bias Analysis'!BF:BF),"")</f>
        <v/>
      </c>
      <c r="JG48" s="176"/>
      <c r="JH48" s="39" t="str">
        <f t="shared" si="221"/>
        <v/>
      </c>
      <c r="JI48" s="148" t="str">
        <f t="shared" si="124"/>
        <v/>
      </c>
      <c r="JJ48" s="74" t="str">
        <f t="shared" si="125"/>
        <v/>
      </c>
    </row>
    <row r="49" spans="1:270" x14ac:dyDescent="0.2">
      <c r="A49" s="2" t="str">
        <f t="shared" si="126"/>
        <v/>
      </c>
      <c r="B49" s="7" t="str">
        <f>IF(AND(Include_study?="Yes",Sufficient_data="Yes"),IF(Input!a_&lt;&gt;"",Input!a_,Input!n1_-Input!b_),"")</f>
        <v/>
      </c>
      <c r="C49" s="7" t="str">
        <f>IF(AND(Include_study?="Yes",Sufficient_data="Yes"),IF(Input!b_&lt;&gt;"",Input!b_,Input!n1_-Input!a_),"")</f>
        <v/>
      </c>
      <c r="D49" s="7" t="str">
        <f>IF(AND(Include_study?="Yes",Sufficient_data="Yes"),IF(Input!c_&lt;&gt;"",Input!c_,Input!n2_-Input!d_),"")</f>
        <v/>
      </c>
      <c r="E49" s="7" t="str">
        <f>IF(AND(Include_study?="Yes",Sufficient_data="Yes"),IF(Input!d_&lt;&gt;"",Input!d_,Input!n2_-Input!c_),"")</f>
        <v/>
      </c>
      <c r="F49" s="74" t="str">
        <f t="shared" si="127"/>
        <v/>
      </c>
      <c r="H49" s="196"/>
      <c r="I49" s="182"/>
      <c r="J49" s="146" t="str">
        <f t="shared" si="2"/>
        <v/>
      </c>
      <c r="K49" s="39" t="str">
        <f t="shared" si="128"/>
        <v/>
      </c>
      <c r="L49" s="39" t="str">
        <f t="shared" si="129"/>
        <v/>
      </c>
      <c r="M49" s="39" t="str">
        <f t="shared" si="130"/>
        <v/>
      </c>
      <c r="N49" s="74" t="str">
        <f t="shared" si="131"/>
        <v/>
      </c>
      <c r="P49" s="176"/>
      <c r="Q49" s="130" t="str">
        <f t="shared" si="132"/>
        <v/>
      </c>
      <c r="R49" s="39" t="str">
        <f t="shared" si="133"/>
        <v/>
      </c>
      <c r="S49" s="39" t="str">
        <f t="shared" si="134"/>
        <v/>
      </c>
      <c r="T49" s="74" t="str">
        <f t="shared" si="135"/>
        <v/>
      </c>
      <c r="V49" s="176"/>
      <c r="W49" s="130" t="str">
        <f t="shared" si="136"/>
        <v/>
      </c>
      <c r="X49" s="39" t="str">
        <f t="shared" si="137"/>
        <v/>
      </c>
      <c r="Y49" s="39" t="str">
        <f t="shared" si="138"/>
        <v/>
      </c>
      <c r="Z49" s="74" t="str">
        <f t="shared" si="139"/>
        <v/>
      </c>
      <c r="AB49" s="176"/>
      <c r="AC49" s="130" t="str">
        <f t="shared" si="140"/>
        <v/>
      </c>
      <c r="AD49" s="39" t="str">
        <f t="shared" si="141"/>
        <v/>
      </c>
      <c r="AE49" s="39" t="str">
        <f t="shared" si="142"/>
        <v/>
      </c>
      <c r="AF49" s="39" t="str">
        <f t="shared" si="143"/>
        <v/>
      </c>
      <c r="AG49" s="74" t="str">
        <f t="shared" si="144"/>
        <v/>
      </c>
      <c r="AI49" s="196"/>
      <c r="AJ4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49" s="136" t="str">
        <f>IF(AJ49&lt;&gt;"",IF(AJ49=0,COUNTIF(AJ$2:AJ48,0)+1,COUNTIF(AJ$2:AJ48,AJ49)+AJ49+COUNTIF(AJ:AJ,0)),"")</f>
        <v/>
      </c>
      <c r="AL49" s="136" t="str">
        <f t="shared" si="20"/>
        <v/>
      </c>
      <c r="AM49" s="155" t="str">
        <f>IF(AND(Include_study?="Yes",Sufficient_data="Yes",Input!Study_name&lt;&gt;""),Input!Study_name,"")</f>
        <v/>
      </c>
      <c r="AN49" s="136" t="str">
        <f t="shared" si="21"/>
        <v/>
      </c>
      <c r="AO49" s="19" t="str">
        <f t="shared" si="145"/>
        <v/>
      </c>
      <c r="AP49" s="158" t="str">
        <f t="shared" si="146"/>
        <v/>
      </c>
      <c r="AQ49" s="158" t="str">
        <f t="shared" si="147"/>
        <v/>
      </c>
      <c r="AR49" s="39" t="str">
        <f t="shared" si="148"/>
        <v/>
      </c>
      <c r="AS49" s="158" t="str">
        <f t="shared" si="149"/>
        <v/>
      </c>
      <c r="AT49" s="39" t="str">
        <f t="shared" si="150"/>
        <v/>
      </c>
      <c r="AU49" s="172" t="str">
        <f t="shared" si="151"/>
        <v/>
      </c>
      <c r="AW49" s="84" t="e">
        <f t="shared" si="152"/>
        <v>#N/A</v>
      </c>
      <c r="AX49" s="3" t="e">
        <f t="shared" si="153"/>
        <v>#N/A</v>
      </c>
      <c r="AY49" s="74" t="e">
        <f t="shared" si="154"/>
        <v>#N/A</v>
      </c>
      <c r="BD49" s="196"/>
      <c r="BE49" s="182"/>
      <c r="BF49" s="3" t="str">
        <f t="shared" si="155"/>
        <v/>
      </c>
      <c r="BG49" s="3" t="str">
        <f t="shared" si="156"/>
        <v/>
      </c>
      <c r="BH49" s="3" t="str">
        <f t="shared" si="157"/>
        <v/>
      </c>
      <c r="BI49" s="39" t="str">
        <f t="shared" si="158"/>
        <v/>
      </c>
      <c r="BJ49" s="95" t="str">
        <f t="shared" si="159"/>
        <v/>
      </c>
      <c r="BO49" s="176"/>
      <c r="BP49" s="158" t="str">
        <f t="shared" si="160"/>
        <v/>
      </c>
      <c r="BQ49" s="158" t="str">
        <f t="shared" si="161"/>
        <v/>
      </c>
      <c r="BR49" s="158" t="str">
        <f t="shared" si="162"/>
        <v/>
      </c>
      <c r="BS49" s="158" t="str">
        <f>IF(AND(Sufficient_data="Yes",Include_study?="Yes"),IF(Add_0_5="Yes",(a_+d_+1)*(ab_+0.5)*(c_+0.5)/(Number_of_subjects+2)^2,(a_+d_)*b_*c_/Number_of_subjects^2),"")</f>
        <v/>
      </c>
      <c r="BT49" s="158" t="str">
        <f t="shared" si="163"/>
        <v/>
      </c>
      <c r="BU49" s="158" t="str">
        <f t="shared" si="164"/>
        <v/>
      </c>
      <c r="BV49" s="158" t="str">
        <f t="shared" si="165"/>
        <v/>
      </c>
      <c r="BW49" s="3" t="str">
        <f t="shared" si="166"/>
        <v/>
      </c>
      <c r="BX49" s="137" t="str">
        <f t="shared" si="167"/>
        <v/>
      </c>
      <c r="BY49" s="95" t="str">
        <f t="shared" si="168"/>
        <v/>
      </c>
      <c r="CD49" s="176"/>
      <c r="CE49" s="130" t="str">
        <f t="shared" si="169"/>
        <v/>
      </c>
      <c r="CF49" s="39" t="str">
        <f t="shared" si="170"/>
        <v/>
      </c>
      <c r="CG49" s="39" t="str">
        <f t="shared" si="171"/>
        <v/>
      </c>
      <c r="CH49" s="39" t="str">
        <f t="shared" si="172"/>
        <v/>
      </c>
      <c r="CI49" s="39" t="str">
        <f t="shared" si="173"/>
        <v/>
      </c>
      <c r="CJ49" s="39" t="str">
        <f t="shared" si="50"/>
        <v/>
      </c>
      <c r="CK49" s="95" t="str">
        <f t="shared" si="174"/>
        <v/>
      </c>
      <c r="CP49" s="176"/>
      <c r="CQ49" s="99" t="str">
        <f t="shared" si="175"/>
        <v/>
      </c>
      <c r="CX49" s="196"/>
      <c r="CY49" s="89" t="e">
        <f t="shared" si="176"/>
        <v>#N/A</v>
      </c>
      <c r="CZ49" s="136" t="str">
        <f t="shared" si="177"/>
        <v/>
      </c>
      <c r="DA49" s="140" t="str">
        <f t="shared" si="178"/>
        <v/>
      </c>
      <c r="DB49" s="39" t="str">
        <f t="shared" si="179"/>
        <v/>
      </c>
      <c r="DC49" s="39" t="str">
        <f t="shared" si="180"/>
        <v/>
      </c>
      <c r="DD49" s="39" t="str">
        <f t="shared" si="181"/>
        <v/>
      </c>
      <c r="DE49" s="39" t="str">
        <f t="shared" si="182"/>
        <v/>
      </c>
      <c r="DF49" s="141" t="str">
        <f t="shared" si="183"/>
        <v/>
      </c>
      <c r="DG49" s="39" t="str">
        <f t="shared" si="184"/>
        <v/>
      </c>
      <c r="DH49" s="39" t="str">
        <f t="shared" si="185"/>
        <v/>
      </c>
      <c r="DI49" s="39" t="str">
        <f t="shared" si="186"/>
        <v/>
      </c>
      <c r="DJ49" s="74" t="str">
        <f t="shared" si="187"/>
        <v/>
      </c>
      <c r="DL49" s="84" t="e">
        <f t="shared" si="188"/>
        <v>#N/A</v>
      </c>
      <c r="DM49" s="39" t="e">
        <f t="shared" si="189"/>
        <v>#N/A</v>
      </c>
      <c r="DN49" s="74" t="e">
        <f t="shared" si="190"/>
        <v>#N/A</v>
      </c>
      <c r="DP49" s="89" t="str">
        <f t="shared" si="102"/>
        <v/>
      </c>
      <c r="DQ49" s="26" t="str">
        <f>IF(AND(Sufficient_data="Yes",Subgroup&lt;&gt;""),IF(COUNTIFS(Input!J$2:J48,"="&amp;"Yes",Input!C$2:C48,"="&amp;"Yes",Input!K$2:K48,"="&amp;Subgroup)&gt;0,"",Subgroup),"")</f>
        <v/>
      </c>
      <c r="DR49" s="7" t="str">
        <f t="shared" si="103"/>
        <v/>
      </c>
      <c r="DS49" s="7" t="str">
        <f t="shared" si="191"/>
        <v/>
      </c>
      <c r="DT49" s="19" t="str">
        <f t="shared" si="192"/>
        <v/>
      </c>
      <c r="DU49" s="12" t="str">
        <f t="shared" si="104"/>
        <v/>
      </c>
      <c r="DV49" s="11" t="str">
        <f t="shared" si="105"/>
        <v/>
      </c>
      <c r="DW49" s="12" t="str">
        <f t="shared" si="193"/>
        <v/>
      </c>
      <c r="DX49" s="12" t="str">
        <f t="shared" si="194"/>
        <v/>
      </c>
      <c r="DY49" s="19" t="str">
        <f t="shared" si="106"/>
        <v/>
      </c>
      <c r="DZ49" s="12" t="str">
        <f t="shared" si="195"/>
        <v/>
      </c>
      <c r="EA49" s="19" t="str">
        <f t="shared" si="196"/>
        <v/>
      </c>
      <c r="EB49" s="7" t="str">
        <f t="shared" si="197"/>
        <v/>
      </c>
      <c r="EC49" s="19" t="str">
        <f t="shared" si="198"/>
        <v/>
      </c>
      <c r="ED49" s="19" t="str">
        <f t="shared" si="199"/>
        <v/>
      </c>
      <c r="EE49" s="19" t="str">
        <f t="shared" si="109"/>
        <v/>
      </c>
      <c r="EF49" s="19" t="str">
        <f t="shared" si="110"/>
        <v/>
      </c>
      <c r="EG49" s="19" t="str">
        <f t="shared" si="111"/>
        <v/>
      </c>
      <c r="EH49" s="19" t="str">
        <f t="shared" si="112"/>
        <v/>
      </c>
      <c r="EI49" s="19" t="str">
        <f t="shared" si="113"/>
        <v/>
      </c>
      <c r="EJ49" s="19" t="str">
        <f t="shared" si="200"/>
        <v/>
      </c>
      <c r="EK49" s="19" t="str">
        <f t="shared" si="201"/>
        <v/>
      </c>
      <c r="EL49" s="19" t="str">
        <f t="shared" si="115"/>
        <v/>
      </c>
      <c r="EM49" s="19" t="str">
        <f t="shared" si="116"/>
        <v/>
      </c>
      <c r="EN49" s="19" t="str">
        <f t="shared" si="117"/>
        <v/>
      </c>
      <c r="EO49" s="19" t="str">
        <f t="shared" si="118"/>
        <v/>
      </c>
      <c r="EP49" s="19" t="str">
        <f t="shared" si="202"/>
        <v/>
      </c>
      <c r="EQ49" s="19" t="e">
        <f t="shared" si="119"/>
        <v>#N/A</v>
      </c>
      <c r="ER49" s="11" t="str">
        <f t="shared" si="120"/>
        <v/>
      </c>
      <c r="ES49" s="19" t="str">
        <f t="shared" si="121"/>
        <v/>
      </c>
      <c r="ET49" s="156" t="str">
        <f t="shared" si="203"/>
        <v/>
      </c>
      <c r="EU49" s="39" t="str">
        <f t="shared" si="204"/>
        <v/>
      </c>
      <c r="EV49" s="74" t="str">
        <f t="shared" si="205"/>
        <v/>
      </c>
      <c r="FA49" s="196"/>
      <c r="FB49" s="84" t="e">
        <f>IF(AND(Include_study?="Yes",Sufficient_data="Yes",Moderator&lt;&gt;""),'Moderator Analysis'!E49,NA())</f>
        <v>#N/A</v>
      </c>
      <c r="FC49" s="39" t="e">
        <f>IF(AND(Include_study?="Yes",Sufficient_data="Yes",Moderator&lt;&gt;""),'Moderator Analysis'!F49,NA())</f>
        <v>#N/A</v>
      </c>
      <c r="FD49" s="39" t="str">
        <f t="shared" si="206"/>
        <v/>
      </c>
      <c r="FE49" s="39" t="str">
        <f t="shared" si="207"/>
        <v/>
      </c>
      <c r="FF49" s="39" t="str">
        <f>IF(AND(Include_study?="Yes",Sufficient_data="Yes",Moderator&lt;&gt;""),'Moderator Analysis'!F:F-FP$2,"")</f>
        <v/>
      </c>
      <c r="FG49" s="39" t="str">
        <f>IF(AND(Include_study?="Yes",Sufficient_data="Yes",Moderator&lt;&gt;""),'Moderator Analysis'!E:E-FP$3,"")</f>
        <v/>
      </c>
      <c r="FH49" s="74" t="str">
        <f>IF(AND(Include_study?="Yes",Sufficient_data="Yes",Moderator&lt;&gt;""),FE:FE*('Moderator Analysis'!F:F-FP$5-FP$4*'Moderator Analysis'!E:E)^2,"")</f>
        <v/>
      </c>
      <c r="FI49" s="128"/>
      <c r="FJ49" s="92" t="str">
        <f t="shared" si="208"/>
        <v/>
      </c>
      <c r="FK49" s="137" t="str">
        <f>IF(AND(Include_study?="Yes",Sufficient_data="Yes",Moderator&lt;&gt;""),'Moderator Analysis'!F:F-'Moderator Analysis'!J$37,"")</f>
        <v/>
      </c>
      <c r="FL49" s="137" t="str">
        <f>IF(AND(Include_study?="Yes",Sufficient_data="Yes",Moderator&lt;&gt;""),'Moderator Analysis'!E:E-SUMPRODUCT('Moderator Analysis'!E:E,FJ:FJ)/SUM(FJ:FJ),"")</f>
        <v/>
      </c>
      <c r="FM49" s="95" t="str">
        <f>IF(AND(Include_study?="Yes",Sufficient_data="Yes",Moderator&lt;&gt;""),FJ:FJ*('Moderator Analysis'!F:F-'Moderator Analysis'!J$29-'Moderator Analysis'!J$30*'Moderator Analysis'!E:E)^2,"")</f>
        <v/>
      </c>
      <c r="FN49" s="21"/>
      <c r="FR49" s="196"/>
      <c r="FS49" s="182"/>
      <c r="FT4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49" s="39" t="str">
        <f>IF(AND(Include_study?="Yes",Sufficient_data="Yes"),1/('Publication Bias Analysis'!F:F^2+IF(Additional_model="Fixed effect",0,Calculations!GH$12)),"")</f>
        <v/>
      </c>
      <c r="FV49" s="39" t="str">
        <f>IF(AND(Include_study?="Yes",Sufficient_data="Yes"),1/('Publication Bias Analysis'!F:F^2+IF(Additional_model="Fixed effect",0,'Publication Bias Analysis'!L$32)),"")</f>
        <v/>
      </c>
      <c r="FW49" s="39" t="str">
        <f>IF(AND(Include_study?="Yes",Sufficient_data="Yes"),'Publication Bias Analysis'!E:E-'Publication Bias Analysis'!I$37,"")</f>
        <v/>
      </c>
      <c r="FX49" s="39" t="str">
        <f>IF(AND(Include_study?="Yes",Sufficient_data="Yes"),IF(Additional_model="Fixed effect",1/'Publication Bias Analysis'!F:F,1/SQRT('Publication Bias Analysis'!F:F^2+GH$12)),"")</f>
        <v/>
      </c>
      <c r="FY4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49" s="136" t="str">
        <f t="shared" si="209"/>
        <v/>
      </c>
      <c r="GA49" s="144" t="str">
        <f>IF(AND(Include_study?="Yes",Sufficient_data="Yes"),FZ:FZ+IF(GL:GL&lt;0,-1,1)*COUNTIF(FZ$2:FZ48,FZ:FZ),"")</f>
        <v/>
      </c>
      <c r="GB49" s="144" t="str">
        <f>IF(AND(Include_study?="Yes",Sufficient_data="Yes"),RANK(GP:GP,GP:GP,1)*IF(GO:GO&lt;0,-1,1)+IF(GO:GO&lt;0,-1,1)*COUNTIF(FZ$2:FZ48,FZ:FZ),"")</f>
        <v/>
      </c>
      <c r="GC49" s="144" t="str">
        <f>IF(AND(Include_study?="Yes",Sufficient_data="Yes"),RANK(GS:GS,GS:GS,1)*IF(GR:GR&lt;0,-1,1)+IF(GR:GR&lt;0,-1,1)*COUNTIF(FZ$2:FZ48,FZ:FZ),"")</f>
        <v/>
      </c>
      <c r="GD49" s="39" t="e">
        <f>IF(AND(Include_study?="Yes",Sufficient_data="Yes"),'Publication Bias Analysis'!E49,NA())</f>
        <v>#N/A</v>
      </c>
      <c r="GE49" s="74" t="e">
        <f>IF(AND(Include_study?="Yes",Sufficient_data="Yes"),'Publication Bias Analysis'!F49,NA())</f>
        <v>#N/A</v>
      </c>
      <c r="GK49" s="176"/>
      <c r="GL4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49" s="39" t="str">
        <f t="shared" si="210"/>
        <v/>
      </c>
      <c r="GN4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49" s="39" t="str">
        <f>IF(AND(Include_study?="Yes",Sufficient_data="Yes"),IF('Publication Bias Analysis'!L$38="Left",'Publication Bias Analysis'!E:E-GW$3,GW$3-'Publication Bias Analysis'!E:E),"")</f>
        <v/>
      </c>
      <c r="GP49" s="39" t="str">
        <f t="shared" si="211"/>
        <v/>
      </c>
      <c r="GQ4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49" s="39" t="str">
        <f>IF(AND(Include_study?="Yes",Sufficient_data="Yes"),IF('Publication Bias Analysis'!L$38="Left",'Publication Bias Analysis'!E:E-GW$10,GW$10-'Publication Bias Analysis'!E:E),"")</f>
        <v/>
      </c>
      <c r="GS49" s="39" t="str">
        <f t="shared" si="212"/>
        <v/>
      </c>
      <c r="GT4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49" s="176"/>
      <c r="HL49" s="66" t="str">
        <f t="shared" si="89"/>
        <v/>
      </c>
      <c r="HM49" s="74" t="str">
        <f>IF(AND(Include_study?="Yes",Sufficient_data="Yes"),Z_score-('Publication Bias Analysis'!P$3+'Publication Bias Analysis'!P$4*Inverse_standard_error),"")</f>
        <v/>
      </c>
      <c r="HO49" s="176"/>
      <c r="HP49" s="64" t="str">
        <f>IF(AND(Include_study?="Yes",Sufficient_data="Yes"),(GD:GD-SUMPRODUCT(Calculations!FT:FT,'Publication Bias Analysis'!E:E)/SUM(Calculations!FT:FT))/SQRT(Calculations!HQ:HQ),"")</f>
        <v/>
      </c>
      <c r="HQ49" s="64" t="str">
        <f>IF(AND(Include_study?="Yes",Sufficient_data="Yes"),GE:GE^2-1/SUM(Calculations!FT:FT),"")</f>
        <v/>
      </c>
      <c r="HR49" s="7" t="str">
        <f t="shared" si="213"/>
        <v/>
      </c>
      <c r="HS49" s="7" t="str">
        <f t="shared" si="214"/>
        <v/>
      </c>
      <c r="HT49" s="7" t="str">
        <f>IF(AND(Include_study?="Yes",Sufficient_data="Yes"),COUNTIFS(HR$2:HR48,"&lt;"&amp;HR49,HS$2:HS48,"&lt;"&amp;HS49)+COUNTIFS(HR50:HR$201,"&lt;"&amp;HR49,HS50:HS$201,"&lt;"&amp;HS49)+COUNTIFS(HR$2:HR48,"&gt;"&amp;HR49,HS$2:HS48,"&gt;"&amp;HS49)+COUNTIFS(HR50:HR$201,"&gt;"&amp;HR49,HS50:HS$201,"&gt;"&amp;HS49),"")</f>
        <v/>
      </c>
      <c r="HU49" s="104" t="str">
        <f>IF(AND(Include_study?="Yes",Sufficient_data="Yes"),COUNTIFS(HR$2:HR48,"&lt;"&amp;HR49,HS$2:HS48,"&gt;"&amp;HS49)+COUNTIFS(HR50:HR$201,"&lt;"&amp;HR49,HS50:HS$201,"&gt;"&amp;HS49)+COUNTIFS(HR$2:HR48,"&gt;"&amp;HR49,HS$2:HS48,"&lt;"&amp;HS49)+COUNTIFS(HR50:HR$201,"&gt;"&amp;HR49,HS50:HS$201,"&lt;"&amp;HS49),"")</f>
        <v/>
      </c>
      <c r="HW49" s="176"/>
      <c r="IB49" s="176"/>
      <c r="IC49" s="146" t="e">
        <f t="shared" si="215"/>
        <v>#N/A</v>
      </c>
      <c r="ID49" s="137" t="e">
        <f t="shared" si="216"/>
        <v>#N/A</v>
      </c>
      <c r="IE49" s="137" t="str">
        <f t="shared" si="217"/>
        <v/>
      </c>
      <c r="IF49" s="95" t="str">
        <f t="shared" si="218"/>
        <v/>
      </c>
      <c r="IK49" s="176"/>
      <c r="IL49" s="3" t="e">
        <f>IF(AND(Include_study?="Yes",Sufficient_data="Yes"),'Publication Bias Analysis'!AV:AV,NA())</f>
        <v>#N/A</v>
      </c>
      <c r="IM49" s="158" t="e">
        <f>IF(AND(Sufficient_data="Yes",Include_study?="Yes"),'Publication Bias Analysis'!AU:AU,NA())</f>
        <v>#N/A</v>
      </c>
      <c r="IN49" s="62" t="str">
        <f t="shared" si="219"/>
        <v/>
      </c>
      <c r="IO49" s="74" t="str">
        <f>IF(AND(Include_study?="Yes",Sufficient_data="Yes"),Z_score-('Publication Bias Analysis'!AY$30+'Publication Bias Analysis'!AY$31*Inverse_standard_error),"")</f>
        <v/>
      </c>
      <c r="IU49" s="176"/>
      <c r="IV49" s="7" t="str">
        <f>IF('Publication Bias Analysis'!BG:BG&lt;&gt;"",RANK('Publication Bias Analysis'!BG:BG,'Publication Bias Analysis'!BG:BG,1)+COUNTIF('Publication Bias Analysis'!BG$2:BG48,'Publication Bias Analysis'!BG49),"")</f>
        <v/>
      </c>
      <c r="IW49" s="124" t="str">
        <f t="shared" si="220"/>
        <v/>
      </c>
      <c r="IX49" s="125" t="e">
        <f>IF('Publication Bias Analysis'!BF49&lt;&gt;"",'Publication Bias Analysis'!BF49,NA())</f>
        <v>#N/A</v>
      </c>
      <c r="IY49" s="125" t="e">
        <f>IF('Publication Bias Analysis'!BG49&lt;&gt;"",'Publication Bias Analysis'!BG49,NA())</f>
        <v>#N/A</v>
      </c>
      <c r="IZ49" s="62" t="str">
        <f>IF(AND(Include_study?="Yes",Sufficient_data="Yes"),'Publication Bias Analysis'!BF:BF-AVERAGE('Publication Bias Analysis'!BF:BF),"")</f>
        <v/>
      </c>
      <c r="JA49" s="74" t="str">
        <f>IF(AND(Include_study?="Yes",Sufficient_data="Yes"),'Publication Bias Analysis'!BG:BG-('Publication Bias Analysis'!BJ$30+'Publication Bias Analysis'!BJ$31*'Publication Bias Analysis'!BF:BF),"")</f>
        <v/>
      </c>
      <c r="JG49" s="176"/>
      <c r="JH49" s="39" t="str">
        <f t="shared" si="221"/>
        <v/>
      </c>
      <c r="JI49" s="148" t="str">
        <f t="shared" si="124"/>
        <v/>
      </c>
      <c r="JJ49" s="74" t="str">
        <f t="shared" si="125"/>
        <v/>
      </c>
    </row>
    <row r="50" spans="1:270" x14ac:dyDescent="0.2">
      <c r="A50" s="2" t="str">
        <f t="shared" si="126"/>
        <v/>
      </c>
      <c r="B50" s="7" t="str">
        <f>IF(AND(Include_study?="Yes",Sufficient_data="Yes"),IF(Input!a_&lt;&gt;"",Input!a_,Input!n1_-Input!b_),"")</f>
        <v/>
      </c>
      <c r="C50" s="7" t="str">
        <f>IF(AND(Include_study?="Yes",Sufficient_data="Yes"),IF(Input!b_&lt;&gt;"",Input!b_,Input!n1_-Input!a_),"")</f>
        <v/>
      </c>
      <c r="D50" s="7" t="str">
        <f>IF(AND(Include_study?="Yes",Sufficient_data="Yes"),IF(Input!c_&lt;&gt;"",Input!c_,Input!n2_-Input!d_),"")</f>
        <v/>
      </c>
      <c r="E50" s="7" t="str">
        <f>IF(AND(Include_study?="Yes",Sufficient_data="Yes"),IF(Input!d_&lt;&gt;"",Input!d_,Input!n2_-Input!c_),"")</f>
        <v/>
      </c>
      <c r="F50" s="74" t="str">
        <f t="shared" si="127"/>
        <v/>
      </c>
      <c r="H50" s="196"/>
      <c r="I50" s="182"/>
      <c r="J50" s="146" t="str">
        <f t="shared" si="2"/>
        <v/>
      </c>
      <c r="K50" s="39" t="str">
        <f t="shared" si="128"/>
        <v/>
      </c>
      <c r="L50" s="39" t="str">
        <f t="shared" si="129"/>
        <v/>
      </c>
      <c r="M50" s="39" t="str">
        <f t="shared" si="130"/>
        <v/>
      </c>
      <c r="N50" s="74" t="str">
        <f t="shared" si="131"/>
        <v/>
      </c>
      <c r="P50" s="176"/>
      <c r="Q50" s="130" t="str">
        <f t="shared" si="132"/>
        <v/>
      </c>
      <c r="R50" s="39" t="str">
        <f t="shared" si="133"/>
        <v/>
      </c>
      <c r="S50" s="39" t="str">
        <f t="shared" si="134"/>
        <v/>
      </c>
      <c r="T50" s="74" t="str">
        <f t="shared" si="135"/>
        <v/>
      </c>
      <c r="V50" s="176"/>
      <c r="W50" s="130" t="str">
        <f t="shared" si="136"/>
        <v/>
      </c>
      <c r="X50" s="39" t="str">
        <f t="shared" si="137"/>
        <v/>
      </c>
      <c r="Y50" s="39" t="str">
        <f t="shared" si="138"/>
        <v/>
      </c>
      <c r="Z50" s="74" t="str">
        <f t="shared" si="139"/>
        <v/>
      </c>
      <c r="AB50" s="176"/>
      <c r="AC50" s="130" t="str">
        <f t="shared" si="140"/>
        <v/>
      </c>
      <c r="AD50" s="39" t="str">
        <f t="shared" si="141"/>
        <v/>
      </c>
      <c r="AE50" s="39" t="str">
        <f t="shared" si="142"/>
        <v/>
      </c>
      <c r="AF50" s="39" t="str">
        <f t="shared" si="143"/>
        <v/>
      </c>
      <c r="AG50" s="74" t="str">
        <f t="shared" si="144"/>
        <v/>
      </c>
      <c r="AI50" s="196"/>
      <c r="AJ5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0" s="136" t="str">
        <f>IF(AJ50&lt;&gt;"",IF(AJ50=0,COUNTIF(AJ$2:AJ49,0)+1,COUNTIF(AJ$2:AJ49,AJ50)+AJ50+COUNTIF(AJ:AJ,0)),"")</f>
        <v/>
      </c>
      <c r="AL50" s="136" t="str">
        <f t="shared" si="20"/>
        <v/>
      </c>
      <c r="AM50" s="155" t="str">
        <f>IF(AND(Include_study?="Yes",Sufficient_data="Yes",Input!Study_name&lt;&gt;""),Input!Study_name,"")</f>
        <v/>
      </c>
      <c r="AN50" s="136" t="str">
        <f t="shared" si="21"/>
        <v/>
      </c>
      <c r="AO50" s="19" t="str">
        <f t="shared" si="145"/>
        <v/>
      </c>
      <c r="AP50" s="158" t="str">
        <f t="shared" si="146"/>
        <v/>
      </c>
      <c r="AQ50" s="158" t="str">
        <f t="shared" si="147"/>
        <v/>
      </c>
      <c r="AR50" s="39" t="str">
        <f t="shared" si="148"/>
        <v/>
      </c>
      <c r="AS50" s="158" t="str">
        <f t="shared" si="149"/>
        <v/>
      </c>
      <c r="AT50" s="39" t="str">
        <f t="shared" si="150"/>
        <v/>
      </c>
      <c r="AU50" s="172" t="str">
        <f t="shared" si="151"/>
        <v/>
      </c>
      <c r="AW50" s="84" t="e">
        <f t="shared" si="152"/>
        <v>#N/A</v>
      </c>
      <c r="AX50" s="3" t="e">
        <f t="shared" si="153"/>
        <v>#N/A</v>
      </c>
      <c r="AY50" s="74" t="e">
        <f t="shared" si="154"/>
        <v>#N/A</v>
      </c>
      <c r="BD50" s="196"/>
      <c r="BE50" s="182"/>
      <c r="BF50" s="3" t="str">
        <f t="shared" si="155"/>
        <v/>
      </c>
      <c r="BG50" s="3" t="str">
        <f t="shared" si="156"/>
        <v/>
      </c>
      <c r="BH50" s="3" t="str">
        <f t="shared" si="157"/>
        <v/>
      </c>
      <c r="BI50" s="39" t="str">
        <f t="shared" si="158"/>
        <v/>
      </c>
      <c r="BJ50" s="95" t="str">
        <f t="shared" si="159"/>
        <v/>
      </c>
      <c r="BO50" s="176"/>
      <c r="BP50" s="158" t="str">
        <f t="shared" si="160"/>
        <v/>
      </c>
      <c r="BQ50" s="158" t="str">
        <f t="shared" si="161"/>
        <v/>
      </c>
      <c r="BR50" s="158" t="str">
        <f t="shared" si="162"/>
        <v/>
      </c>
      <c r="BS50" s="158" t="str">
        <f>IF(AND(Sufficient_data="Yes",Include_study?="Yes"),IF(Add_0_5="Yes",(a_+d_+1)*(ab_+0.5)*(c_+0.5)/(Number_of_subjects+2)^2,(a_+d_)*b_*c_/Number_of_subjects^2),"")</f>
        <v/>
      </c>
      <c r="BT50" s="158" t="str">
        <f t="shared" si="163"/>
        <v/>
      </c>
      <c r="BU50" s="158" t="str">
        <f t="shared" si="164"/>
        <v/>
      </c>
      <c r="BV50" s="158" t="str">
        <f t="shared" si="165"/>
        <v/>
      </c>
      <c r="BW50" s="3" t="str">
        <f t="shared" si="166"/>
        <v/>
      </c>
      <c r="BX50" s="137" t="str">
        <f t="shared" si="167"/>
        <v/>
      </c>
      <c r="BY50" s="95" t="str">
        <f t="shared" si="168"/>
        <v/>
      </c>
      <c r="CD50" s="176"/>
      <c r="CE50" s="130" t="str">
        <f t="shared" si="169"/>
        <v/>
      </c>
      <c r="CF50" s="39" t="str">
        <f t="shared" si="170"/>
        <v/>
      </c>
      <c r="CG50" s="39" t="str">
        <f t="shared" si="171"/>
        <v/>
      </c>
      <c r="CH50" s="39" t="str">
        <f t="shared" si="172"/>
        <v/>
      </c>
      <c r="CI50" s="39" t="str">
        <f t="shared" si="173"/>
        <v/>
      </c>
      <c r="CJ50" s="39" t="str">
        <f t="shared" si="50"/>
        <v/>
      </c>
      <c r="CK50" s="95" t="str">
        <f t="shared" si="174"/>
        <v/>
      </c>
      <c r="CP50" s="176"/>
      <c r="CQ50" s="99" t="str">
        <f t="shared" si="175"/>
        <v/>
      </c>
      <c r="CX50" s="196"/>
      <c r="CY50" s="89" t="e">
        <f t="shared" si="176"/>
        <v>#N/A</v>
      </c>
      <c r="CZ50" s="136" t="str">
        <f t="shared" si="177"/>
        <v/>
      </c>
      <c r="DA50" s="140" t="str">
        <f t="shared" si="178"/>
        <v/>
      </c>
      <c r="DB50" s="39" t="str">
        <f t="shared" si="179"/>
        <v/>
      </c>
      <c r="DC50" s="39" t="str">
        <f t="shared" si="180"/>
        <v/>
      </c>
      <c r="DD50" s="39" t="str">
        <f t="shared" si="181"/>
        <v/>
      </c>
      <c r="DE50" s="39" t="str">
        <f t="shared" si="182"/>
        <v/>
      </c>
      <c r="DF50" s="141" t="str">
        <f t="shared" si="183"/>
        <v/>
      </c>
      <c r="DG50" s="39" t="str">
        <f t="shared" si="184"/>
        <v/>
      </c>
      <c r="DH50" s="39" t="str">
        <f t="shared" si="185"/>
        <v/>
      </c>
      <c r="DI50" s="39" t="str">
        <f t="shared" si="186"/>
        <v/>
      </c>
      <c r="DJ50" s="74" t="str">
        <f t="shared" si="187"/>
        <v/>
      </c>
      <c r="DL50" s="84" t="e">
        <f t="shared" si="188"/>
        <v>#N/A</v>
      </c>
      <c r="DM50" s="39" t="e">
        <f t="shared" si="189"/>
        <v>#N/A</v>
      </c>
      <c r="DN50" s="74" t="e">
        <f t="shared" si="190"/>
        <v>#N/A</v>
      </c>
      <c r="DP50" s="89" t="str">
        <f t="shared" si="102"/>
        <v/>
      </c>
      <c r="DQ50" s="26" t="str">
        <f>IF(AND(Sufficient_data="Yes",Subgroup&lt;&gt;""),IF(COUNTIFS(Input!J$2:J49,"="&amp;"Yes",Input!C$2:C49,"="&amp;"Yes",Input!K$2:K49,"="&amp;Subgroup)&gt;0,"",Subgroup),"")</f>
        <v/>
      </c>
      <c r="DR50" s="7" t="str">
        <f t="shared" si="103"/>
        <v/>
      </c>
      <c r="DS50" s="7" t="str">
        <f t="shared" si="191"/>
        <v/>
      </c>
      <c r="DT50" s="19" t="str">
        <f t="shared" si="192"/>
        <v/>
      </c>
      <c r="DU50" s="12" t="str">
        <f t="shared" si="104"/>
        <v/>
      </c>
      <c r="DV50" s="11" t="str">
        <f t="shared" si="105"/>
        <v/>
      </c>
      <c r="DW50" s="12" t="str">
        <f t="shared" si="193"/>
        <v/>
      </c>
      <c r="DX50" s="12" t="str">
        <f t="shared" si="194"/>
        <v/>
      </c>
      <c r="DY50" s="19" t="str">
        <f t="shared" si="106"/>
        <v/>
      </c>
      <c r="DZ50" s="12" t="str">
        <f t="shared" si="195"/>
        <v/>
      </c>
      <c r="EA50" s="19" t="str">
        <f t="shared" si="196"/>
        <v/>
      </c>
      <c r="EB50" s="7" t="str">
        <f t="shared" si="197"/>
        <v/>
      </c>
      <c r="EC50" s="19" t="str">
        <f t="shared" si="198"/>
        <v/>
      </c>
      <c r="ED50" s="19" t="str">
        <f t="shared" si="199"/>
        <v/>
      </c>
      <c r="EE50" s="19" t="str">
        <f t="shared" si="109"/>
        <v/>
      </c>
      <c r="EF50" s="19" t="str">
        <f t="shared" si="110"/>
        <v/>
      </c>
      <c r="EG50" s="19" t="str">
        <f t="shared" si="111"/>
        <v/>
      </c>
      <c r="EH50" s="19" t="str">
        <f t="shared" si="112"/>
        <v/>
      </c>
      <c r="EI50" s="19" t="str">
        <f t="shared" si="113"/>
        <v/>
      </c>
      <c r="EJ50" s="19" t="str">
        <f t="shared" si="200"/>
        <v/>
      </c>
      <c r="EK50" s="19" t="str">
        <f t="shared" si="201"/>
        <v/>
      </c>
      <c r="EL50" s="19" t="str">
        <f t="shared" si="115"/>
        <v/>
      </c>
      <c r="EM50" s="19" t="str">
        <f t="shared" si="116"/>
        <v/>
      </c>
      <c r="EN50" s="19" t="str">
        <f t="shared" si="117"/>
        <v/>
      </c>
      <c r="EO50" s="19" t="str">
        <f t="shared" si="118"/>
        <v/>
      </c>
      <c r="EP50" s="19" t="str">
        <f t="shared" si="202"/>
        <v/>
      </c>
      <c r="EQ50" s="19" t="e">
        <f t="shared" si="119"/>
        <v>#N/A</v>
      </c>
      <c r="ER50" s="11" t="str">
        <f t="shared" si="120"/>
        <v/>
      </c>
      <c r="ES50" s="19" t="str">
        <f t="shared" si="121"/>
        <v/>
      </c>
      <c r="ET50" s="156" t="str">
        <f t="shared" si="203"/>
        <v/>
      </c>
      <c r="EU50" s="39" t="str">
        <f t="shared" si="204"/>
        <v/>
      </c>
      <c r="EV50" s="74" t="str">
        <f t="shared" si="205"/>
        <v/>
      </c>
      <c r="FA50" s="196"/>
      <c r="FB50" s="84" t="e">
        <f>IF(AND(Include_study?="Yes",Sufficient_data="Yes",Moderator&lt;&gt;""),'Moderator Analysis'!E50,NA())</f>
        <v>#N/A</v>
      </c>
      <c r="FC50" s="39" t="e">
        <f>IF(AND(Include_study?="Yes",Sufficient_data="Yes",Moderator&lt;&gt;""),'Moderator Analysis'!F50,NA())</f>
        <v>#N/A</v>
      </c>
      <c r="FD50" s="39" t="str">
        <f t="shared" si="206"/>
        <v/>
      </c>
      <c r="FE50" s="39" t="str">
        <f t="shared" si="207"/>
        <v/>
      </c>
      <c r="FF50" s="39" t="str">
        <f>IF(AND(Include_study?="Yes",Sufficient_data="Yes",Moderator&lt;&gt;""),'Moderator Analysis'!F:F-FP$2,"")</f>
        <v/>
      </c>
      <c r="FG50" s="39" t="str">
        <f>IF(AND(Include_study?="Yes",Sufficient_data="Yes",Moderator&lt;&gt;""),'Moderator Analysis'!E:E-FP$3,"")</f>
        <v/>
      </c>
      <c r="FH50" s="74" t="str">
        <f>IF(AND(Include_study?="Yes",Sufficient_data="Yes",Moderator&lt;&gt;""),FE:FE*('Moderator Analysis'!F:F-FP$5-FP$4*'Moderator Analysis'!E:E)^2,"")</f>
        <v/>
      </c>
      <c r="FI50" s="128"/>
      <c r="FJ50" s="92" t="str">
        <f t="shared" si="208"/>
        <v/>
      </c>
      <c r="FK50" s="137" t="str">
        <f>IF(AND(Include_study?="Yes",Sufficient_data="Yes",Moderator&lt;&gt;""),'Moderator Analysis'!F:F-'Moderator Analysis'!J$37,"")</f>
        <v/>
      </c>
      <c r="FL50" s="137" t="str">
        <f>IF(AND(Include_study?="Yes",Sufficient_data="Yes",Moderator&lt;&gt;""),'Moderator Analysis'!E:E-SUMPRODUCT('Moderator Analysis'!E:E,FJ:FJ)/SUM(FJ:FJ),"")</f>
        <v/>
      </c>
      <c r="FM50" s="95" t="str">
        <f>IF(AND(Include_study?="Yes",Sufficient_data="Yes",Moderator&lt;&gt;""),FJ:FJ*('Moderator Analysis'!F:F-'Moderator Analysis'!J$29-'Moderator Analysis'!J$30*'Moderator Analysis'!E:E)^2,"")</f>
        <v/>
      </c>
      <c r="FN50" s="21"/>
      <c r="FR50" s="196"/>
      <c r="FS50" s="182"/>
      <c r="FT5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0" s="39" t="str">
        <f>IF(AND(Include_study?="Yes",Sufficient_data="Yes"),1/('Publication Bias Analysis'!F:F^2+IF(Additional_model="Fixed effect",0,Calculations!GH$12)),"")</f>
        <v/>
      </c>
      <c r="FV50" s="39" t="str">
        <f>IF(AND(Include_study?="Yes",Sufficient_data="Yes"),1/('Publication Bias Analysis'!F:F^2+IF(Additional_model="Fixed effect",0,'Publication Bias Analysis'!L$32)),"")</f>
        <v/>
      </c>
      <c r="FW50" s="39" t="str">
        <f>IF(AND(Include_study?="Yes",Sufficient_data="Yes"),'Publication Bias Analysis'!E:E-'Publication Bias Analysis'!I$37,"")</f>
        <v/>
      </c>
      <c r="FX50" s="39" t="str">
        <f>IF(AND(Include_study?="Yes",Sufficient_data="Yes"),IF(Additional_model="Fixed effect",1/'Publication Bias Analysis'!F:F,1/SQRT('Publication Bias Analysis'!F:F^2+GH$12)),"")</f>
        <v/>
      </c>
      <c r="FY5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0" s="136" t="str">
        <f t="shared" si="209"/>
        <v/>
      </c>
      <c r="GA50" s="144" t="str">
        <f>IF(AND(Include_study?="Yes",Sufficient_data="Yes"),FZ:FZ+IF(GL:GL&lt;0,-1,1)*COUNTIF(FZ$2:FZ49,FZ:FZ),"")</f>
        <v/>
      </c>
      <c r="GB50" s="144" t="str">
        <f>IF(AND(Include_study?="Yes",Sufficient_data="Yes"),RANK(GP:GP,GP:GP,1)*IF(GO:GO&lt;0,-1,1)+IF(GO:GO&lt;0,-1,1)*COUNTIF(FZ$2:FZ49,FZ:FZ),"")</f>
        <v/>
      </c>
      <c r="GC50" s="144" t="str">
        <f>IF(AND(Include_study?="Yes",Sufficient_data="Yes"),RANK(GS:GS,GS:GS,1)*IF(GR:GR&lt;0,-1,1)+IF(GR:GR&lt;0,-1,1)*COUNTIF(FZ$2:FZ49,FZ:FZ),"")</f>
        <v/>
      </c>
      <c r="GD50" s="39" t="e">
        <f>IF(AND(Include_study?="Yes",Sufficient_data="Yes"),'Publication Bias Analysis'!E50,NA())</f>
        <v>#N/A</v>
      </c>
      <c r="GE50" s="74" t="e">
        <f>IF(AND(Include_study?="Yes",Sufficient_data="Yes"),'Publication Bias Analysis'!F50,NA())</f>
        <v>#N/A</v>
      </c>
      <c r="GK50" s="176"/>
      <c r="GL5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0" s="39" t="str">
        <f t="shared" si="210"/>
        <v/>
      </c>
      <c r="GN5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0" s="39" t="str">
        <f>IF(AND(Include_study?="Yes",Sufficient_data="Yes"),IF('Publication Bias Analysis'!L$38="Left",'Publication Bias Analysis'!E:E-GW$3,GW$3-'Publication Bias Analysis'!E:E),"")</f>
        <v/>
      </c>
      <c r="GP50" s="39" t="str">
        <f t="shared" si="211"/>
        <v/>
      </c>
      <c r="GQ5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0" s="39" t="str">
        <f>IF(AND(Include_study?="Yes",Sufficient_data="Yes"),IF('Publication Bias Analysis'!L$38="Left",'Publication Bias Analysis'!E:E-GW$10,GW$10-'Publication Bias Analysis'!E:E),"")</f>
        <v/>
      </c>
      <c r="GS50" s="39" t="str">
        <f t="shared" si="212"/>
        <v/>
      </c>
      <c r="GT5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0" s="176"/>
      <c r="HL50" s="66" t="str">
        <f t="shared" si="89"/>
        <v/>
      </c>
      <c r="HM50" s="74" t="str">
        <f>IF(AND(Include_study?="Yes",Sufficient_data="Yes"),Z_score-('Publication Bias Analysis'!P$3+'Publication Bias Analysis'!P$4*Inverse_standard_error),"")</f>
        <v/>
      </c>
      <c r="HO50" s="176"/>
      <c r="HP50" s="64" t="str">
        <f>IF(AND(Include_study?="Yes",Sufficient_data="Yes"),(GD:GD-SUMPRODUCT(Calculations!FT:FT,'Publication Bias Analysis'!E:E)/SUM(Calculations!FT:FT))/SQRT(Calculations!HQ:HQ),"")</f>
        <v/>
      </c>
      <c r="HQ50" s="64" t="str">
        <f>IF(AND(Include_study?="Yes",Sufficient_data="Yes"),GE:GE^2-1/SUM(Calculations!FT:FT),"")</f>
        <v/>
      </c>
      <c r="HR50" s="7" t="str">
        <f t="shared" si="213"/>
        <v/>
      </c>
      <c r="HS50" s="7" t="str">
        <f t="shared" si="214"/>
        <v/>
      </c>
      <c r="HT50" s="7" t="str">
        <f>IF(AND(Include_study?="Yes",Sufficient_data="Yes"),COUNTIFS(HR$2:HR49,"&lt;"&amp;HR50,HS$2:HS49,"&lt;"&amp;HS50)+COUNTIFS(HR51:HR$201,"&lt;"&amp;HR50,HS51:HS$201,"&lt;"&amp;HS50)+COUNTIFS(HR$2:HR49,"&gt;"&amp;HR50,HS$2:HS49,"&gt;"&amp;HS50)+COUNTIFS(HR51:HR$201,"&gt;"&amp;HR50,HS51:HS$201,"&gt;"&amp;HS50),"")</f>
        <v/>
      </c>
      <c r="HU50" s="104" t="str">
        <f>IF(AND(Include_study?="Yes",Sufficient_data="Yes"),COUNTIFS(HR$2:HR49,"&lt;"&amp;HR50,HS$2:HS49,"&gt;"&amp;HS50)+COUNTIFS(HR51:HR$201,"&lt;"&amp;HR50,HS51:HS$201,"&gt;"&amp;HS50)+COUNTIFS(HR$2:HR49,"&gt;"&amp;HR50,HS$2:HS49,"&lt;"&amp;HS50)+COUNTIFS(HR51:HR$201,"&gt;"&amp;HR50,HS51:HS$201,"&lt;"&amp;HS50),"")</f>
        <v/>
      </c>
      <c r="HW50" s="176"/>
      <c r="IB50" s="176"/>
      <c r="IC50" s="146" t="e">
        <f t="shared" si="215"/>
        <v>#N/A</v>
      </c>
      <c r="ID50" s="137" t="e">
        <f t="shared" si="216"/>
        <v>#N/A</v>
      </c>
      <c r="IE50" s="137" t="str">
        <f t="shared" si="217"/>
        <v/>
      </c>
      <c r="IF50" s="95" t="str">
        <f t="shared" si="218"/>
        <v/>
      </c>
      <c r="IK50" s="176"/>
      <c r="IL50" s="3" t="e">
        <f>IF(AND(Include_study?="Yes",Sufficient_data="Yes"),'Publication Bias Analysis'!AV:AV,NA())</f>
        <v>#N/A</v>
      </c>
      <c r="IM50" s="158" t="e">
        <f>IF(AND(Sufficient_data="Yes",Include_study?="Yes"),'Publication Bias Analysis'!AU:AU,NA())</f>
        <v>#N/A</v>
      </c>
      <c r="IN50" s="62" t="str">
        <f t="shared" si="219"/>
        <v/>
      </c>
      <c r="IO50" s="74" t="str">
        <f>IF(AND(Include_study?="Yes",Sufficient_data="Yes"),Z_score-('Publication Bias Analysis'!AY$30+'Publication Bias Analysis'!AY$31*Inverse_standard_error),"")</f>
        <v/>
      </c>
      <c r="IU50" s="176"/>
      <c r="IV50" s="7" t="str">
        <f>IF('Publication Bias Analysis'!BG:BG&lt;&gt;"",RANK('Publication Bias Analysis'!BG:BG,'Publication Bias Analysis'!BG:BG,1)+COUNTIF('Publication Bias Analysis'!BG$2:BG49,'Publication Bias Analysis'!BG50),"")</f>
        <v/>
      </c>
      <c r="IW50" s="124" t="str">
        <f t="shared" si="220"/>
        <v/>
      </c>
      <c r="IX50" s="125" t="e">
        <f>IF('Publication Bias Analysis'!BF50&lt;&gt;"",'Publication Bias Analysis'!BF50,NA())</f>
        <v>#N/A</v>
      </c>
      <c r="IY50" s="125" t="e">
        <f>IF('Publication Bias Analysis'!BG50&lt;&gt;"",'Publication Bias Analysis'!BG50,NA())</f>
        <v>#N/A</v>
      </c>
      <c r="IZ50" s="62" t="str">
        <f>IF(AND(Include_study?="Yes",Sufficient_data="Yes"),'Publication Bias Analysis'!BF:BF-AVERAGE('Publication Bias Analysis'!BF:BF),"")</f>
        <v/>
      </c>
      <c r="JA50" s="74" t="str">
        <f>IF(AND(Include_study?="Yes",Sufficient_data="Yes"),'Publication Bias Analysis'!BG:BG-('Publication Bias Analysis'!BJ$30+'Publication Bias Analysis'!BJ$31*'Publication Bias Analysis'!BF:BF),"")</f>
        <v/>
      </c>
      <c r="JG50" s="176"/>
      <c r="JH50" s="39" t="str">
        <f t="shared" si="221"/>
        <v/>
      </c>
      <c r="JI50" s="148" t="str">
        <f t="shared" si="124"/>
        <v/>
      </c>
      <c r="JJ50" s="74" t="str">
        <f t="shared" si="125"/>
        <v/>
      </c>
    </row>
    <row r="51" spans="1:270" x14ac:dyDescent="0.2">
      <c r="A51" s="2" t="str">
        <f t="shared" si="126"/>
        <v/>
      </c>
      <c r="B51" s="7" t="str">
        <f>IF(AND(Include_study?="Yes",Sufficient_data="Yes"),IF(Input!a_&lt;&gt;"",Input!a_,Input!n1_-Input!b_),"")</f>
        <v/>
      </c>
      <c r="C51" s="7" t="str">
        <f>IF(AND(Include_study?="Yes",Sufficient_data="Yes"),IF(Input!b_&lt;&gt;"",Input!b_,Input!n1_-Input!a_),"")</f>
        <v/>
      </c>
      <c r="D51" s="7" t="str">
        <f>IF(AND(Include_study?="Yes",Sufficient_data="Yes"),IF(Input!c_&lt;&gt;"",Input!c_,Input!n2_-Input!d_),"")</f>
        <v/>
      </c>
      <c r="E51" s="7" t="str">
        <f>IF(AND(Include_study?="Yes",Sufficient_data="Yes"),IF(Input!d_&lt;&gt;"",Input!d_,Input!n2_-Input!c_),"")</f>
        <v/>
      </c>
      <c r="F51" s="74" t="str">
        <f t="shared" si="127"/>
        <v/>
      </c>
      <c r="H51" s="196"/>
      <c r="I51" s="182"/>
      <c r="J51" s="146" t="str">
        <f t="shared" si="2"/>
        <v/>
      </c>
      <c r="K51" s="39" t="str">
        <f t="shared" si="128"/>
        <v/>
      </c>
      <c r="L51" s="39" t="str">
        <f t="shared" si="129"/>
        <v/>
      </c>
      <c r="M51" s="39" t="str">
        <f t="shared" si="130"/>
        <v/>
      </c>
      <c r="N51" s="74" t="str">
        <f t="shared" si="131"/>
        <v/>
      </c>
      <c r="P51" s="176"/>
      <c r="Q51" s="130" t="str">
        <f t="shared" si="132"/>
        <v/>
      </c>
      <c r="R51" s="39" t="str">
        <f t="shared" si="133"/>
        <v/>
      </c>
      <c r="S51" s="39" t="str">
        <f t="shared" si="134"/>
        <v/>
      </c>
      <c r="T51" s="74" t="str">
        <f t="shared" si="135"/>
        <v/>
      </c>
      <c r="V51" s="176"/>
      <c r="W51" s="130" t="str">
        <f t="shared" si="136"/>
        <v/>
      </c>
      <c r="X51" s="39" t="str">
        <f t="shared" si="137"/>
        <v/>
      </c>
      <c r="Y51" s="39" t="str">
        <f t="shared" si="138"/>
        <v/>
      </c>
      <c r="Z51" s="74" t="str">
        <f t="shared" si="139"/>
        <v/>
      </c>
      <c r="AB51" s="176"/>
      <c r="AC51" s="130" t="str">
        <f t="shared" si="140"/>
        <v/>
      </c>
      <c r="AD51" s="39" t="str">
        <f t="shared" si="141"/>
        <v/>
      </c>
      <c r="AE51" s="39" t="str">
        <f t="shared" si="142"/>
        <v/>
      </c>
      <c r="AF51" s="39" t="str">
        <f t="shared" si="143"/>
        <v/>
      </c>
      <c r="AG51" s="74" t="str">
        <f t="shared" si="144"/>
        <v/>
      </c>
      <c r="AI51" s="196"/>
      <c r="AJ5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1" s="136" t="str">
        <f>IF(AJ51&lt;&gt;"",IF(AJ51=0,COUNTIF(AJ$2:AJ50,0)+1,COUNTIF(AJ$2:AJ50,AJ51)+AJ51+COUNTIF(AJ:AJ,0)),"")</f>
        <v/>
      </c>
      <c r="AL51" s="136" t="str">
        <f t="shared" si="20"/>
        <v/>
      </c>
      <c r="AM51" s="155" t="str">
        <f>IF(AND(Include_study?="Yes",Sufficient_data="Yes",Input!Study_name&lt;&gt;""),Input!Study_name,"")</f>
        <v/>
      </c>
      <c r="AN51" s="136" t="str">
        <f t="shared" si="21"/>
        <v/>
      </c>
      <c r="AO51" s="19" t="str">
        <f t="shared" si="145"/>
        <v/>
      </c>
      <c r="AP51" s="158" t="str">
        <f t="shared" si="146"/>
        <v/>
      </c>
      <c r="AQ51" s="158" t="str">
        <f t="shared" si="147"/>
        <v/>
      </c>
      <c r="AR51" s="39" t="str">
        <f t="shared" si="148"/>
        <v/>
      </c>
      <c r="AS51" s="158" t="str">
        <f t="shared" si="149"/>
        <v/>
      </c>
      <c r="AT51" s="39" t="str">
        <f t="shared" si="150"/>
        <v/>
      </c>
      <c r="AU51" s="172" t="str">
        <f t="shared" si="151"/>
        <v/>
      </c>
      <c r="AW51" s="84" t="e">
        <f t="shared" si="152"/>
        <v>#N/A</v>
      </c>
      <c r="AX51" s="3" t="e">
        <f t="shared" si="153"/>
        <v>#N/A</v>
      </c>
      <c r="AY51" s="74" t="e">
        <f t="shared" si="154"/>
        <v>#N/A</v>
      </c>
      <c r="BD51" s="196"/>
      <c r="BE51" s="182"/>
      <c r="BF51" s="3" t="str">
        <f t="shared" si="155"/>
        <v/>
      </c>
      <c r="BG51" s="3" t="str">
        <f t="shared" si="156"/>
        <v/>
      </c>
      <c r="BH51" s="3" t="str">
        <f t="shared" si="157"/>
        <v/>
      </c>
      <c r="BI51" s="39" t="str">
        <f t="shared" si="158"/>
        <v/>
      </c>
      <c r="BJ51" s="95" t="str">
        <f t="shared" si="159"/>
        <v/>
      </c>
      <c r="BO51" s="176"/>
      <c r="BP51" s="158" t="str">
        <f t="shared" si="160"/>
        <v/>
      </c>
      <c r="BQ51" s="158" t="str">
        <f t="shared" si="161"/>
        <v/>
      </c>
      <c r="BR51" s="158" t="str">
        <f t="shared" si="162"/>
        <v/>
      </c>
      <c r="BS51" s="158" t="str">
        <f>IF(AND(Sufficient_data="Yes",Include_study?="Yes"),IF(Add_0_5="Yes",(a_+d_+1)*(ab_+0.5)*(c_+0.5)/(Number_of_subjects+2)^2,(a_+d_)*b_*c_/Number_of_subjects^2),"")</f>
        <v/>
      </c>
      <c r="BT51" s="158" t="str">
        <f t="shared" si="163"/>
        <v/>
      </c>
      <c r="BU51" s="158" t="str">
        <f t="shared" si="164"/>
        <v/>
      </c>
      <c r="BV51" s="158" t="str">
        <f t="shared" si="165"/>
        <v/>
      </c>
      <c r="BW51" s="3" t="str">
        <f t="shared" si="166"/>
        <v/>
      </c>
      <c r="BX51" s="137" t="str">
        <f t="shared" si="167"/>
        <v/>
      </c>
      <c r="BY51" s="95" t="str">
        <f t="shared" si="168"/>
        <v/>
      </c>
      <c r="CD51" s="176"/>
      <c r="CE51" s="130" t="str">
        <f t="shared" si="169"/>
        <v/>
      </c>
      <c r="CF51" s="39" t="str">
        <f t="shared" si="170"/>
        <v/>
      </c>
      <c r="CG51" s="39" t="str">
        <f t="shared" si="171"/>
        <v/>
      </c>
      <c r="CH51" s="39" t="str">
        <f t="shared" si="172"/>
        <v/>
      </c>
      <c r="CI51" s="39" t="str">
        <f t="shared" si="173"/>
        <v/>
      </c>
      <c r="CJ51" s="39" t="str">
        <f t="shared" si="50"/>
        <v/>
      </c>
      <c r="CK51" s="95" t="str">
        <f t="shared" si="174"/>
        <v/>
      </c>
      <c r="CP51" s="176"/>
      <c r="CQ51" s="99" t="str">
        <f t="shared" si="175"/>
        <v/>
      </c>
      <c r="CX51" s="196"/>
      <c r="CY51" s="89" t="e">
        <f t="shared" si="176"/>
        <v>#N/A</v>
      </c>
      <c r="CZ51" s="136" t="str">
        <f t="shared" si="177"/>
        <v/>
      </c>
      <c r="DA51" s="140" t="str">
        <f t="shared" si="178"/>
        <v/>
      </c>
      <c r="DB51" s="39" t="str">
        <f t="shared" si="179"/>
        <v/>
      </c>
      <c r="DC51" s="39" t="str">
        <f t="shared" si="180"/>
        <v/>
      </c>
      <c r="DD51" s="39" t="str">
        <f t="shared" si="181"/>
        <v/>
      </c>
      <c r="DE51" s="39" t="str">
        <f t="shared" si="182"/>
        <v/>
      </c>
      <c r="DF51" s="141" t="str">
        <f t="shared" si="183"/>
        <v/>
      </c>
      <c r="DG51" s="39" t="str">
        <f t="shared" si="184"/>
        <v/>
      </c>
      <c r="DH51" s="39" t="str">
        <f t="shared" si="185"/>
        <v/>
      </c>
      <c r="DI51" s="39" t="str">
        <f t="shared" si="186"/>
        <v/>
      </c>
      <c r="DJ51" s="74" t="str">
        <f t="shared" si="187"/>
        <v/>
      </c>
      <c r="DL51" s="84" t="e">
        <f t="shared" si="188"/>
        <v>#N/A</v>
      </c>
      <c r="DM51" s="39" t="e">
        <f t="shared" si="189"/>
        <v>#N/A</v>
      </c>
      <c r="DN51" s="74" t="e">
        <f t="shared" si="190"/>
        <v>#N/A</v>
      </c>
      <c r="DP51" s="89" t="str">
        <f t="shared" si="102"/>
        <v/>
      </c>
      <c r="DQ51" s="26" t="str">
        <f>IF(AND(Sufficient_data="Yes",Subgroup&lt;&gt;""),IF(COUNTIFS(Input!J$2:J50,"="&amp;"Yes",Input!C$2:C50,"="&amp;"Yes",Input!K$2:K50,"="&amp;Subgroup)&gt;0,"",Subgroup),"")</f>
        <v/>
      </c>
      <c r="DR51" s="7" t="str">
        <f t="shared" si="103"/>
        <v/>
      </c>
      <c r="DS51" s="7" t="str">
        <f t="shared" si="191"/>
        <v/>
      </c>
      <c r="DT51" s="19" t="str">
        <f t="shared" si="192"/>
        <v/>
      </c>
      <c r="DU51" s="12" t="str">
        <f t="shared" si="104"/>
        <v/>
      </c>
      <c r="DV51" s="11" t="str">
        <f t="shared" si="105"/>
        <v/>
      </c>
      <c r="DW51" s="12" t="str">
        <f t="shared" si="193"/>
        <v/>
      </c>
      <c r="DX51" s="12" t="str">
        <f t="shared" si="194"/>
        <v/>
      </c>
      <c r="DY51" s="19" t="str">
        <f t="shared" si="106"/>
        <v/>
      </c>
      <c r="DZ51" s="12" t="str">
        <f t="shared" si="195"/>
        <v/>
      </c>
      <c r="EA51" s="19" t="str">
        <f t="shared" si="196"/>
        <v/>
      </c>
      <c r="EB51" s="7" t="str">
        <f t="shared" si="197"/>
        <v/>
      </c>
      <c r="EC51" s="19" t="str">
        <f t="shared" si="198"/>
        <v/>
      </c>
      <c r="ED51" s="19" t="str">
        <f t="shared" si="199"/>
        <v/>
      </c>
      <c r="EE51" s="19" t="str">
        <f t="shared" si="109"/>
        <v/>
      </c>
      <c r="EF51" s="19" t="str">
        <f t="shared" si="110"/>
        <v/>
      </c>
      <c r="EG51" s="19" t="str">
        <f t="shared" si="111"/>
        <v/>
      </c>
      <c r="EH51" s="19" t="str">
        <f t="shared" si="112"/>
        <v/>
      </c>
      <c r="EI51" s="19" t="str">
        <f t="shared" si="113"/>
        <v/>
      </c>
      <c r="EJ51" s="19" t="str">
        <f t="shared" si="200"/>
        <v/>
      </c>
      <c r="EK51" s="19" t="str">
        <f t="shared" si="201"/>
        <v/>
      </c>
      <c r="EL51" s="19" t="str">
        <f t="shared" si="115"/>
        <v/>
      </c>
      <c r="EM51" s="19" t="str">
        <f t="shared" si="116"/>
        <v/>
      </c>
      <c r="EN51" s="19" t="str">
        <f t="shared" si="117"/>
        <v/>
      </c>
      <c r="EO51" s="19" t="str">
        <f t="shared" si="118"/>
        <v/>
      </c>
      <c r="EP51" s="19" t="str">
        <f t="shared" si="202"/>
        <v/>
      </c>
      <c r="EQ51" s="19" t="e">
        <f t="shared" si="119"/>
        <v>#N/A</v>
      </c>
      <c r="ER51" s="11" t="str">
        <f t="shared" si="120"/>
        <v/>
      </c>
      <c r="ES51" s="19" t="str">
        <f t="shared" si="121"/>
        <v/>
      </c>
      <c r="ET51" s="156" t="str">
        <f t="shared" si="203"/>
        <v/>
      </c>
      <c r="EU51" s="39" t="str">
        <f t="shared" si="204"/>
        <v/>
      </c>
      <c r="EV51" s="74" t="str">
        <f t="shared" si="205"/>
        <v/>
      </c>
      <c r="FA51" s="196"/>
      <c r="FB51" s="84" t="e">
        <f>IF(AND(Include_study?="Yes",Sufficient_data="Yes",Moderator&lt;&gt;""),'Moderator Analysis'!E51,NA())</f>
        <v>#N/A</v>
      </c>
      <c r="FC51" s="39" t="e">
        <f>IF(AND(Include_study?="Yes",Sufficient_data="Yes",Moderator&lt;&gt;""),'Moderator Analysis'!F51,NA())</f>
        <v>#N/A</v>
      </c>
      <c r="FD51" s="39" t="str">
        <f t="shared" si="206"/>
        <v/>
      </c>
      <c r="FE51" s="39" t="str">
        <f t="shared" si="207"/>
        <v/>
      </c>
      <c r="FF51" s="39" t="str">
        <f>IF(AND(Include_study?="Yes",Sufficient_data="Yes",Moderator&lt;&gt;""),'Moderator Analysis'!F:F-FP$2,"")</f>
        <v/>
      </c>
      <c r="FG51" s="39" t="str">
        <f>IF(AND(Include_study?="Yes",Sufficient_data="Yes",Moderator&lt;&gt;""),'Moderator Analysis'!E:E-FP$3,"")</f>
        <v/>
      </c>
      <c r="FH51" s="74" t="str">
        <f>IF(AND(Include_study?="Yes",Sufficient_data="Yes",Moderator&lt;&gt;""),FE:FE*('Moderator Analysis'!F:F-FP$5-FP$4*'Moderator Analysis'!E:E)^2,"")</f>
        <v/>
      </c>
      <c r="FI51" s="128"/>
      <c r="FJ51" s="92" t="str">
        <f t="shared" si="208"/>
        <v/>
      </c>
      <c r="FK51" s="137" t="str">
        <f>IF(AND(Include_study?="Yes",Sufficient_data="Yes",Moderator&lt;&gt;""),'Moderator Analysis'!F:F-'Moderator Analysis'!J$37,"")</f>
        <v/>
      </c>
      <c r="FL51" s="137" t="str">
        <f>IF(AND(Include_study?="Yes",Sufficient_data="Yes",Moderator&lt;&gt;""),'Moderator Analysis'!E:E-SUMPRODUCT('Moderator Analysis'!E:E,FJ:FJ)/SUM(FJ:FJ),"")</f>
        <v/>
      </c>
      <c r="FM51" s="95" t="str">
        <f>IF(AND(Include_study?="Yes",Sufficient_data="Yes",Moderator&lt;&gt;""),FJ:FJ*('Moderator Analysis'!F:F-'Moderator Analysis'!J$29-'Moderator Analysis'!J$30*'Moderator Analysis'!E:E)^2,"")</f>
        <v/>
      </c>
      <c r="FN51" s="21"/>
      <c r="FR51" s="196"/>
      <c r="FS51" s="182"/>
      <c r="FT5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1" s="39" t="str">
        <f>IF(AND(Include_study?="Yes",Sufficient_data="Yes"),1/('Publication Bias Analysis'!F:F^2+IF(Additional_model="Fixed effect",0,Calculations!GH$12)),"")</f>
        <v/>
      </c>
      <c r="FV51" s="39" t="str">
        <f>IF(AND(Include_study?="Yes",Sufficient_data="Yes"),1/('Publication Bias Analysis'!F:F^2+IF(Additional_model="Fixed effect",0,'Publication Bias Analysis'!L$32)),"")</f>
        <v/>
      </c>
      <c r="FW51" s="39" t="str">
        <f>IF(AND(Include_study?="Yes",Sufficient_data="Yes"),'Publication Bias Analysis'!E:E-'Publication Bias Analysis'!I$37,"")</f>
        <v/>
      </c>
      <c r="FX51" s="39" t="str">
        <f>IF(AND(Include_study?="Yes",Sufficient_data="Yes"),IF(Additional_model="Fixed effect",1/'Publication Bias Analysis'!F:F,1/SQRT('Publication Bias Analysis'!F:F^2+GH$12)),"")</f>
        <v/>
      </c>
      <c r="FY5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1" s="136" t="str">
        <f t="shared" si="209"/>
        <v/>
      </c>
      <c r="GA51" s="144" t="str">
        <f>IF(AND(Include_study?="Yes",Sufficient_data="Yes"),FZ:FZ+IF(GL:GL&lt;0,-1,1)*COUNTIF(FZ$2:FZ50,FZ:FZ),"")</f>
        <v/>
      </c>
      <c r="GB51" s="144" t="str">
        <f>IF(AND(Include_study?="Yes",Sufficient_data="Yes"),RANK(GP:GP,GP:GP,1)*IF(GO:GO&lt;0,-1,1)+IF(GO:GO&lt;0,-1,1)*COUNTIF(FZ$2:FZ50,FZ:FZ),"")</f>
        <v/>
      </c>
      <c r="GC51" s="144" t="str">
        <f>IF(AND(Include_study?="Yes",Sufficient_data="Yes"),RANK(GS:GS,GS:GS,1)*IF(GR:GR&lt;0,-1,1)+IF(GR:GR&lt;0,-1,1)*COUNTIF(FZ$2:FZ50,FZ:FZ),"")</f>
        <v/>
      </c>
      <c r="GD51" s="39" t="e">
        <f>IF(AND(Include_study?="Yes",Sufficient_data="Yes"),'Publication Bias Analysis'!E51,NA())</f>
        <v>#N/A</v>
      </c>
      <c r="GE51" s="74" t="e">
        <f>IF(AND(Include_study?="Yes",Sufficient_data="Yes"),'Publication Bias Analysis'!F51,NA())</f>
        <v>#N/A</v>
      </c>
      <c r="GK51" s="176"/>
      <c r="GL5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1" s="39" t="str">
        <f t="shared" si="210"/>
        <v/>
      </c>
      <c r="GN5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1" s="39" t="str">
        <f>IF(AND(Include_study?="Yes",Sufficient_data="Yes"),IF('Publication Bias Analysis'!L$38="Left",'Publication Bias Analysis'!E:E-GW$3,GW$3-'Publication Bias Analysis'!E:E),"")</f>
        <v/>
      </c>
      <c r="GP51" s="39" t="str">
        <f t="shared" si="211"/>
        <v/>
      </c>
      <c r="GQ5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1" s="39" t="str">
        <f>IF(AND(Include_study?="Yes",Sufficient_data="Yes"),IF('Publication Bias Analysis'!L$38="Left",'Publication Bias Analysis'!E:E-GW$10,GW$10-'Publication Bias Analysis'!E:E),"")</f>
        <v/>
      </c>
      <c r="GS51" s="39" t="str">
        <f t="shared" si="212"/>
        <v/>
      </c>
      <c r="GT5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1" s="176"/>
      <c r="HL51" s="66" t="str">
        <f t="shared" si="89"/>
        <v/>
      </c>
      <c r="HM51" s="74" t="str">
        <f>IF(AND(Include_study?="Yes",Sufficient_data="Yes"),Z_score-('Publication Bias Analysis'!P$3+'Publication Bias Analysis'!P$4*Inverse_standard_error),"")</f>
        <v/>
      </c>
      <c r="HO51" s="176"/>
      <c r="HP51" s="64" t="str">
        <f>IF(AND(Include_study?="Yes",Sufficient_data="Yes"),(GD:GD-SUMPRODUCT(Calculations!FT:FT,'Publication Bias Analysis'!E:E)/SUM(Calculations!FT:FT))/SQRT(Calculations!HQ:HQ),"")</f>
        <v/>
      </c>
      <c r="HQ51" s="64" t="str">
        <f>IF(AND(Include_study?="Yes",Sufficient_data="Yes"),GE:GE^2-1/SUM(Calculations!FT:FT),"")</f>
        <v/>
      </c>
      <c r="HR51" s="7" t="str">
        <f t="shared" si="213"/>
        <v/>
      </c>
      <c r="HS51" s="7" t="str">
        <f t="shared" si="214"/>
        <v/>
      </c>
      <c r="HT51" s="7" t="str">
        <f>IF(AND(Include_study?="Yes",Sufficient_data="Yes"),COUNTIFS(HR$2:HR50,"&lt;"&amp;HR51,HS$2:HS50,"&lt;"&amp;HS51)+COUNTIFS(HR52:HR$201,"&lt;"&amp;HR51,HS52:HS$201,"&lt;"&amp;HS51)+COUNTIFS(HR$2:HR50,"&gt;"&amp;HR51,HS$2:HS50,"&gt;"&amp;HS51)+COUNTIFS(HR52:HR$201,"&gt;"&amp;HR51,HS52:HS$201,"&gt;"&amp;HS51),"")</f>
        <v/>
      </c>
      <c r="HU51" s="104" t="str">
        <f>IF(AND(Include_study?="Yes",Sufficient_data="Yes"),COUNTIFS(HR$2:HR50,"&lt;"&amp;HR51,HS$2:HS50,"&gt;"&amp;HS51)+COUNTIFS(HR52:HR$201,"&lt;"&amp;HR51,HS52:HS$201,"&gt;"&amp;HS51)+COUNTIFS(HR$2:HR50,"&gt;"&amp;HR51,HS$2:HS50,"&lt;"&amp;HS51)+COUNTIFS(HR52:HR$201,"&gt;"&amp;HR51,HS52:HS$201,"&lt;"&amp;HS51),"")</f>
        <v/>
      </c>
      <c r="HW51" s="176"/>
      <c r="IB51" s="176"/>
      <c r="IC51" s="146" t="e">
        <f t="shared" si="215"/>
        <v>#N/A</v>
      </c>
      <c r="ID51" s="137" t="e">
        <f t="shared" si="216"/>
        <v>#N/A</v>
      </c>
      <c r="IE51" s="137" t="str">
        <f t="shared" si="217"/>
        <v/>
      </c>
      <c r="IF51" s="95" t="str">
        <f t="shared" si="218"/>
        <v/>
      </c>
      <c r="IK51" s="176"/>
      <c r="IL51" s="3" t="e">
        <f>IF(AND(Include_study?="Yes",Sufficient_data="Yes"),'Publication Bias Analysis'!AV:AV,NA())</f>
        <v>#N/A</v>
      </c>
      <c r="IM51" s="158" t="e">
        <f>IF(AND(Sufficient_data="Yes",Include_study?="Yes"),'Publication Bias Analysis'!AU:AU,NA())</f>
        <v>#N/A</v>
      </c>
      <c r="IN51" s="62" t="str">
        <f t="shared" si="219"/>
        <v/>
      </c>
      <c r="IO51" s="74" t="str">
        <f>IF(AND(Include_study?="Yes",Sufficient_data="Yes"),Z_score-('Publication Bias Analysis'!AY$30+'Publication Bias Analysis'!AY$31*Inverse_standard_error),"")</f>
        <v/>
      </c>
      <c r="IU51" s="176"/>
      <c r="IV51" s="7" t="str">
        <f>IF('Publication Bias Analysis'!BG:BG&lt;&gt;"",RANK('Publication Bias Analysis'!BG:BG,'Publication Bias Analysis'!BG:BG,1)+COUNTIF('Publication Bias Analysis'!BG$2:BG50,'Publication Bias Analysis'!BG51),"")</f>
        <v/>
      </c>
      <c r="IW51" s="124" t="str">
        <f t="shared" si="220"/>
        <v/>
      </c>
      <c r="IX51" s="125" t="e">
        <f>IF('Publication Bias Analysis'!BF51&lt;&gt;"",'Publication Bias Analysis'!BF51,NA())</f>
        <v>#N/A</v>
      </c>
      <c r="IY51" s="125" t="e">
        <f>IF('Publication Bias Analysis'!BG51&lt;&gt;"",'Publication Bias Analysis'!BG51,NA())</f>
        <v>#N/A</v>
      </c>
      <c r="IZ51" s="62" t="str">
        <f>IF(AND(Include_study?="Yes",Sufficient_data="Yes"),'Publication Bias Analysis'!BF:BF-AVERAGE('Publication Bias Analysis'!BF:BF),"")</f>
        <v/>
      </c>
      <c r="JA51" s="74" t="str">
        <f>IF(AND(Include_study?="Yes",Sufficient_data="Yes"),'Publication Bias Analysis'!BG:BG-('Publication Bias Analysis'!BJ$30+'Publication Bias Analysis'!BJ$31*'Publication Bias Analysis'!BF:BF),"")</f>
        <v/>
      </c>
      <c r="JG51" s="176"/>
      <c r="JH51" s="39" t="str">
        <f t="shared" si="221"/>
        <v/>
      </c>
      <c r="JI51" s="148" t="str">
        <f t="shared" si="124"/>
        <v/>
      </c>
      <c r="JJ51" s="74" t="str">
        <f t="shared" si="125"/>
        <v/>
      </c>
    </row>
    <row r="52" spans="1:270" x14ac:dyDescent="0.2">
      <c r="A52" s="56" t="str">
        <f t="shared" si="126"/>
        <v/>
      </c>
      <c r="B52" s="7" t="str">
        <f>IF(AND(Include_study?="Yes",Sufficient_data="Yes"),IF(Input!a_&lt;&gt;"",Input!a_,Input!n1_-Input!b_),"")</f>
        <v/>
      </c>
      <c r="C52" s="7" t="str">
        <f>IF(AND(Include_study?="Yes",Sufficient_data="Yes"),IF(Input!b_&lt;&gt;"",Input!b_,Input!n1_-Input!a_),"")</f>
        <v/>
      </c>
      <c r="D52" s="7" t="str">
        <f>IF(AND(Include_study?="Yes",Sufficient_data="Yes"),IF(Input!c_&lt;&gt;"",Input!c_,Input!n2_-Input!d_),"")</f>
        <v/>
      </c>
      <c r="E52" s="7" t="str">
        <f>IF(AND(Include_study?="Yes",Sufficient_data="Yes"),IF(Input!d_&lt;&gt;"",Input!d_,Input!n2_-Input!c_),"")</f>
        <v/>
      </c>
      <c r="F52" s="74" t="str">
        <f t="shared" si="127"/>
        <v/>
      </c>
      <c r="H52" s="196"/>
      <c r="I52" s="182"/>
      <c r="J52" s="146" t="str">
        <f t="shared" si="2"/>
        <v/>
      </c>
      <c r="K52" s="39" t="str">
        <f t="shared" si="128"/>
        <v/>
      </c>
      <c r="L52" s="39" t="str">
        <f t="shared" si="129"/>
        <v/>
      </c>
      <c r="M52" s="39" t="str">
        <f t="shared" si="130"/>
        <v/>
      </c>
      <c r="N52" s="74" t="str">
        <f t="shared" si="131"/>
        <v/>
      </c>
      <c r="P52" s="176"/>
      <c r="Q52" s="130" t="str">
        <f t="shared" si="132"/>
        <v/>
      </c>
      <c r="R52" s="39" t="str">
        <f t="shared" si="133"/>
        <v/>
      </c>
      <c r="S52" s="39" t="str">
        <f t="shared" si="134"/>
        <v/>
      </c>
      <c r="T52" s="74" t="str">
        <f t="shared" si="135"/>
        <v/>
      </c>
      <c r="V52" s="176"/>
      <c r="W52" s="130" t="str">
        <f t="shared" si="136"/>
        <v/>
      </c>
      <c r="X52" s="39" t="str">
        <f t="shared" si="137"/>
        <v/>
      </c>
      <c r="Y52" s="39" t="str">
        <f t="shared" si="138"/>
        <v/>
      </c>
      <c r="Z52" s="74" t="str">
        <f t="shared" si="139"/>
        <v/>
      </c>
      <c r="AB52" s="176"/>
      <c r="AC52" s="130" t="str">
        <f t="shared" si="140"/>
        <v/>
      </c>
      <c r="AD52" s="39" t="str">
        <f t="shared" si="141"/>
        <v/>
      </c>
      <c r="AE52" s="39" t="str">
        <f t="shared" si="142"/>
        <v/>
      </c>
      <c r="AF52" s="39" t="str">
        <f t="shared" si="143"/>
        <v/>
      </c>
      <c r="AG52" s="74" t="str">
        <f t="shared" si="144"/>
        <v/>
      </c>
      <c r="AI52" s="196"/>
      <c r="AJ5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2" s="136" t="str">
        <f>IF(AJ52&lt;&gt;"",IF(AJ52=0,COUNTIF(AJ$2:AJ51,0)+1,COUNTIF(AJ$2:AJ51,AJ52)+AJ52+COUNTIF(AJ:AJ,0)),"")</f>
        <v/>
      </c>
      <c r="AL52" s="136" t="str">
        <f t="shared" si="20"/>
        <v/>
      </c>
      <c r="AM52" s="155" t="str">
        <f>IF(AND(Include_study?="Yes",Sufficient_data="Yes",Input!Study_name&lt;&gt;""),Input!Study_name,"")</f>
        <v/>
      </c>
      <c r="AN52" s="136" t="str">
        <f t="shared" si="21"/>
        <v/>
      </c>
      <c r="AO52" s="19" t="str">
        <f t="shared" si="145"/>
        <v/>
      </c>
      <c r="AP52" s="158" t="str">
        <f t="shared" si="146"/>
        <v/>
      </c>
      <c r="AQ52" s="158" t="str">
        <f t="shared" si="147"/>
        <v/>
      </c>
      <c r="AR52" s="39" t="str">
        <f t="shared" si="148"/>
        <v/>
      </c>
      <c r="AS52" s="158" t="str">
        <f t="shared" si="149"/>
        <v/>
      </c>
      <c r="AT52" s="39" t="str">
        <f t="shared" si="150"/>
        <v/>
      </c>
      <c r="AU52" s="172" t="str">
        <f t="shared" si="151"/>
        <v/>
      </c>
      <c r="AV52" s="45"/>
      <c r="AW52" s="84" t="e">
        <f t="shared" si="152"/>
        <v>#N/A</v>
      </c>
      <c r="AX52" s="69" t="e">
        <f t="shared" si="153"/>
        <v>#N/A</v>
      </c>
      <c r="AY52" s="74" t="e">
        <f t="shared" si="154"/>
        <v>#N/A</v>
      </c>
      <c r="AZ52" s="45"/>
      <c r="BA52" s="45"/>
      <c r="BB52" s="45"/>
      <c r="BC52" s="45"/>
      <c r="BD52" s="196"/>
      <c r="BE52" s="182"/>
      <c r="BF52" s="69" t="str">
        <f t="shared" si="155"/>
        <v/>
      </c>
      <c r="BG52" s="69" t="str">
        <f t="shared" si="156"/>
        <v/>
      </c>
      <c r="BH52" s="69" t="str">
        <f t="shared" si="157"/>
        <v/>
      </c>
      <c r="BI52" s="39" t="str">
        <f t="shared" si="158"/>
        <v/>
      </c>
      <c r="BJ52" s="95" t="str">
        <f t="shared" si="159"/>
        <v/>
      </c>
      <c r="BO52" s="176"/>
      <c r="BP52" s="158" t="str">
        <f t="shared" si="160"/>
        <v/>
      </c>
      <c r="BQ52" s="158" t="str">
        <f t="shared" si="161"/>
        <v/>
      </c>
      <c r="BR52" s="158" t="str">
        <f t="shared" si="162"/>
        <v/>
      </c>
      <c r="BS52" s="158" t="str">
        <f>IF(AND(Sufficient_data="Yes",Include_study?="Yes"),IF(Add_0_5="Yes",(a_+d_+1)*(ab_+0.5)*(c_+0.5)/(Number_of_subjects+2)^2,(a_+d_)*b_*c_/Number_of_subjects^2),"")</f>
        <v/>
      </c>
      <c r="BT52" s="158" t="str">
        <f t="shared" si="163"/>
        <v/>
      </c>
      <c r="BU52" s="158" t="str">
        <f t="shared" si="164"/>
        <v/>
      </c>
      <c r="BV52" s="158" t="str">
        <f t="shared" si="165"/>
        <v/>
      </c>
      <c r="BW52" s="69" t="str">
        <f t="shared" si="166"/>
        <v/>
      </c>
      <c r="BX52" s="137" t="str">
        <f t="shared" si="167"/>
        <v/>
      </c>
      <c r="BY52" s="95" t="str">
        <f t="shared" si="168"/>
        <v/>
      </c>
      <c r="CD52" s="176"/>
      <c r="CE52" s="130" t="str">
        <f t="shared" si="169"/>
        <v/>
      </c>
      <c r="CF52" s="39" t="str">
        <f t="shared" si="170"/>
        <v/>
      </c>
      <c r="CG52" s="39" t="str">
        <f t="shared" si="171"/>
        <v/>
      </c>
      <c r="CH52" s="39" t="str">
        <f t="shared" si="172"/>
        <v/>
      </c>
      <c r="CI52" s="39" t="str">
        <f t="shared" si="173"/>
        <v/>
      </c>
      <c r="CJ52" s="39" t="str">
        <f t="shared" si="50"/>
        <v/>
      </c>
      <c r="CK52" s="95" t="str">
        <f t="shared" si="174"/>
        <v/>
      </c>
      <c r="CP52" s="176"/>
      <c r="CQ52" s="99" t="str">
        <f t="shared" si="175"/>
        <v/>
      </c>
      <c r="CX52" s="196"/>
      <c r="CY52" s="89" t="e">
        <f t="shared" si="176"/>
        <v>#N/A</v>
      </c>
      <c r="CZ52" s="136" t="str">
        <f t="shared" si="177"/>
        <v/>
      </c>
      <c r="DA52" s="140" t="str">
        <f t="shared" si="178"/>
        <v/>
      </c>
      <c r="DB52" s="39" t="str">
        <f t="shared" si="179"/>
        <v/>
      </c>
      <c r="DC52" s="39" t="str">
        <f t="shared" si="180"/>
        <v/>
      </c>
      <c r="DD52" s="39" t="str">
        <f t="shared" si="181"/>
        <v/>
      </c>
      <c r="DE52" s="39" t="str">
        <f t="shared" si="182"/>
        <v/>
      </c>
      <c r="DF52" s="141" t="str">
        <f t="shared" si="183"/>
        <v/>
      </c>
      <c r="DG52" s="39" t="str">
        <f t="shared" si="184"/>
        <v/>
      </c>
      <c r="DH52" s="39" t="str">
        <f t="shared" si="185"/>
        <v/>
      </c>
      <c r="DI52" s="39" t="str">
        <f t="shared" si="186"/>
        <v/>
      </c>
      <c r="DJ52" s="74" t="str">
        <f t="shared" si="187"/>
        <v/>
      </c>
      <c r="DK52" s="45"/>
      <c r="DL52" s="84" t="e">
        <f t="shared" ref="DL52:DL115" si="222">IF(Subgroup_effect_size&lt;&gt;"",IF(Subgroup_effect_size_measure="Risk Difference",Subgroup_effect_size,DG:DG),NA())</f>
        <v>#N/A</v>
      </c>
      <c r="DM52" s="39" t="e">
        <f t="shared" si="189"/>
        <v>#N/A</v>
      </c>
      <c r="DN52" s="74" t="e">
        <f t="shared" si="190"/>
        <v>#N/A</v>
      </c>
      <c r="DO52" s="45"/>
      <c r="DP52" s="89" t="str">
        <f t="shared" si="102"/>
        <v/>
      </c>
      <c r="DQ52" s="26" t="str">
        <f>IF(AND(Sufficient_data="Yes",Subgroup&lt;&gt;""),IF(COUNTIFS(Input!J$2:J51,"="&amp;"Yes",Input!C$2:C51,"="&amp;"Yes",Input!K$2:K51,"="&amp;Subgroup)&gt;0,"",Subgroup),"")</f>
        <v/>
      </c>
      <c r="DR52" s="7" t="str">
        <f t="shared" si="103"/>
        <v/>
      </c>
      <c r="DS52" s="7" t="str">
        <f t="shared" si="191"/>
        <v/>
      </c>
      <c r="DT52" s="19" t="str">
        <f t="shared" si="192"/>
        <v/>
      </c>
      <c r="DU52" s="12" t="str">
        <f t="shared" ref="DU52:DU115" si="223">IF(DT52&lt;&gt;"",CHIDIST(DT52,DS52-1),"")</f>
        <v/>
      </c>
      <c r="DV52" s="11" t="str">
        <f t="shared" ref="DV52:DV115" si="224">IF(DT52&lt;&gt;"",IF((DT52-(DS52-1))&lt;=0,0,(DT52-(DS52-1))/DT52),"")</f>
        <v/>
      </c>
      <c r="DW52" s="12" t="str">
        <f t="shared" ref="DW52:DW115" si="225">IF(DT52&lt;&gt;"",SUMIF(Subgroup,DQ52,Subgroup_weightf)-SUMPRODUCT(--(Subgroup=DQ52),Subgroup_weightf,Subgroup_weightf)/SUMIF(Subgroup,DQ52,Subgroup_weightf),"")</f>
        <v/>
      </c>
      <c r="DX52" s="12" t="str">
        <f t="shared" si="194"/>
        <v/>
      </c>
      <c r="DY52" s="19" t="str">
        <f t="shared" ref="DY52:DY115" si="226">IF(DX52&lt;&gt;"",SQRT(DX52),"")</f>
        <v/>
      </c>
      <c r="DZ52" s="12" t="str">
        <f t="shared" ref="DZ52:DZ115" si="227">IF(DT52&lt;&gt;"",SUMPRODUCT(--(Subgroup=DQ52),DE:DE,Subgroup_effect_size)/SUMIF(Subgroup,DQ52,DE:DE),"")</f>
        <v/>
      </c>
      <c r="EA52" s="19" t="str">
        <f t="shared" si="196"/>
        <v/>
      </c>
      <c r="EB52" s="7" t="str">
        <f t="shared" si="197"/>
        <v/>
      </c>
      <c r="EC52" s="19" t="str">
        <f t="shared" si="198"/>
        <v/>
      </c>
      <c r="ED52" s="19" t="str">
        <f t="shared" si="199"/>
        <v/>
      </c>
      <c r="EE52" s="19" t="str">
        <f t="shared" ref="EE52:EE115" si="228">IF(AND(EE$1&lt;&gt;"",DT52&lt;&gt;""),EXP(DZ52),"")</f>
        <v/>
      </c>
      <c r="EF52" s="19" t="str">
        <f t="shared" ref="EF52:EF115" si="229">IF(AND(EF$1&lt;&gt;"",DT52&lt;&gt;""),EXP(EC52),"")</f>
        <v/>
      </c>
      <c r="EG52" s="19" t="str">
        <f t="shared" ref="EG52:EG115" si="230">IF(AND(EG$1&lt;&gt;"",DT52&lt;&gt;""),EXP(ED52),"")</f>
        <v/>
      </c>
      <c r="EH52" s="19" t="str">
        <f t="shared" ref="EH52:EH115" si="231">IF(AND(EE$1&lt;&gt;"",DT52&lt;&gt;""),EE52-EF52,IF(DT52&lt;&gt;"",DZ52-EC52,""))</f>
        <v/>
      </c>
      <c r="EI52" s="19" t="str">
        <f t="shared" ref="EI52:EI115" si="232">IF(AND(EE$1&lt;&gt;"",DT52&lt;&gt;""),EG52-EE52,IF(DT52&lt;&gt;"",ED52-DZ52,""))</f>
        <v/>
      </c>
      <c r="EJ52" s="19" t="str">
        <f t="shared" si="200"/>
        <v/>
      </c>
      <c r="EK52" s="19" t="str">
        <f t="shared" si="201"/>
        <v/>
      </c>
      <c r="EL52" s="19" t="str">
        <f t="shared" ref="EL52:EL115" si="233">IF(AND(EL$1&lt;&gt;"",DT52&lt;&gt;""),EXP(EJ52),"")</f>
        <v/>
      </c>
      <c r="EM52" s="19" t="str">
        <f t="shared" ref="EM52:EM115" si="234">IF(AND(EM$1&lt;&gt;"",DT52&lt;&gt;""),EXP(EK52),"")</f>
        <v/>
      </c>
      <c r="EN52" s="19" t="str">
        <f t="shared" ref="EN52:EN115" si="235">IF(AND(EE$1&lt;&gt;"",DT52&lt;&gt;""),EE52-EL52,IF(DT52&lt;&gt;"",DZ52-EJ52,""))</f>
        <v/>
      </c>
      <c r="EO52" s="19" t="str">
        <f t="shared" ref="EO52:EO115" si="236">IF(AND(EE$1&lt;&gt;"",DT52&lt;&gt;""),EM52-EE52,IF(DT52&lt;&gt;"",EK52-DZ52,""))</f>
        <v/>
      </c>
      <c r="EP52" s="19" t="str">
        <f t="shared" ref="EP52:EP115" si="237">IF(DT52&lt;&gt;"",SUMPRODUCT(--(Subgroup=DQ52),DE:DE,Subgroup_effect_size,Subgroup_effect_size)-(SUMPRODUCT(--(Subgroup=DQ52),DE:DE,Subgroup_effect_size)^2/SUMIF(Subgroup,DQ52,DE:DE)),"")</f>
        <v/>
      </c>
      <c r="EQ52" s="19" t="e">
        <f t="shared" ref="EQ52:EQ115" si="238">IF(DT52&lt;&gt;"",IF(EE52&lt;&gt;"",EE52,DZ52),NA())</f>
        <v>#N/A</v>
      </c>
      <c r="ER52" s="11" t="str">
        <f t="shared" si="120"/>
        <v/>
      </c>
      <c r="ES52" s="19" t="str">
        <f t="shared" si="121"/>
        <v/>
      </c>
      <c r="ET52" s="156" t="str">
        <f t="shared" si="203"/>
        <v/>
      </c>
      <c r="EU52" s="39" t="str">
        <f t="shared" ref="EU52:EU115" si="239">IF(ES52&lt;&gt;"",IF(Subgroup_effect_size_measure="Risk Difference",(EY$9-DZ52)^2*ET52,(EY$2-DZ52)^2*ET52),"")</f>
        <v/>
      </c>
      <c r="EV52" s="74" t="str">
        <f t="shared" si="205"/>
        <v/>
      </c>
      <c r="FA52" s="196"/>
      <c r="FB52" s="84" t="e">
        <f>IF(AND(Include_study?="Yes",Sufficient_data="Yes",Moderator&lt;&gt;""),'Moderator Analysis'!E52,NA())</f>
        <v>#N/A</v>
      </c>
      <c r="FC52" s="39" t="e">
        <f>IF(AND(Include_study?="Yes",Sufficient_data="Yes",Moderator&lt;&gt;""),'Moderator Analysis'!F52,NA())</f>
        <v>#N/A</v>
      </c>
      <c r="FD52" s="39" t="str">
        <f t="shared" si="206"/>
        <v/>
      </c>
      <c r="FE52" s="39" t="str">
        <f t="shared" si="207"/>
        <v/>
      </c>
      <c r="FF52" s="39" t="str">
        <f>IF(AND(Include_study?="Yes",Sufficient_data="Yes",Moderator&lt;&gt;""),'Moderator Analysis'!F:F-FP$2,"")</f>
        <v/>
      </c>
      <c r="FG52" s="39" t="str">
        <f>IF(AND(Include_study?="Yes",Sufficient_data="Yes",Moderator&lt;&gt;""),'Moderator Analysis'!E:E-FP$3,"")</f>
        <v/>
      </c>
      <c r="FH52" s="74" t="str">
        <f>IF(AND(Include_study?="Yes",Sufficient_data="Yes",Moderator&lt;&gt;""),FE:FE*('Moderator Analysis'!F:F-FP$5-FP$4*'Moderator Analysis'!E:E)^2,"")</f>
        <v/>
      </c>
      <c r="FI52" s="128"/>
      <c r="FJ52" s="92" t="str">
        <f t="shared" si="208"/>
        <v/>
      </c>
      <c r="FK52" s="137" t="str">
        <f>IF(AND(Include_study?="Yes",Sufficient_data="Yes",Moderator&lt;&gt;""),'Moderator Analysis'!F:F-'Moderator Analysis'!J$37,"")</f>
        <v/>
      </c>
      <c r="FL52" s="137" t="str">
        <f>IF(AND(Include_study?="Yes",Sufficient_data="Yes",Moderator&lt;&gt;""),'Moderator Analysis'!E:E-SUMPRODUCT('Moderator Analysis'!E:E,FJ:FJ)/SUM(FJ:FJ),"")</f>
        <v/>
      </c>
      <c r="FM52" s="95" t="str">
        <f>IF(AND(Include_study?="Yes",Sufficient_data="Yes",Moderator&lt;&gt;""),FJ:FJ*('Moderator Analysis'!F:F-'Moderator Analysis'!J$29-'Moderator Analysis'!J$30*'Moderator Analysis'!E:E)^2,"")</f>
        <v/>
      </c>
      <c r="FR52" s="196"/>
      <c r="FS52" s="182"/>
      <c r="FT5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2" s="39" t="str">
        <f>IF(AND(Include_study?="Yes",Sufficient_data="Yes"),1/('Publication Bias Analysis'!F:F^2+IF(Additional_model="Fixed effect",0,Calculations!GH$12)),"")</f>
        <v/>
      </c>
      <c r="FV52" s="39" t="str">
        <f>IF(AND(Include_study?="Yes",Sufficient_data="Yes"),1/('Publication Bias Analysis'!F:F^2+IF(Additional_model="Fixed effect",0,'Publication Bias Analysis'!L$32)),"")</f>
        <v/>
      </c>
      <c r="FW52" s="39" t="str">
        <f>IF(AND(Include_study?="Yes",Sufficient_data="Yes"),'Publication Bias Analysis'!E:E-'Publication Bias Analysis'!I$37,"")</f>
        <v/>
      </c>
      <c r="FX52" s="39" t="str">
        <f>IF(AND(Include_study?="Yes",Sufficient_data="Yes"),IF(Additional_model="Fixed effect",1/'Publication Bias Analysis'!F:F,1/SQRT('Publication Bias Analysis'!F:F^2+GH$12)),"")</f>
        <v/>
      </c>
      <c r="FY5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2" s="136" t="str">
        <f t="shared" si="209"/>
        <v/>
      </c>
      <c r="GA52" s="144" t="str">
        <f>IF(AND(Include_study?="Yes",Sufficient_data="Yes"),FZ:FZ+IF(GL:GL&lt;0,-1,1)*COUNTIF(FZ$2:FZ51,FZ:FZ),"")</f>
        <v/>
      </c>
      <c r="GB52" s="144" t="str">
        <f>IF(AND(Include_study?="Yes",Sufficient_data="Yes"),RANK(GP:GP,GP:GP,1)*IF(GO:GO&lt;0,-1,1)+IF(GO:GO&lt;0,-1,1)*COUNTIF(FZ$2:FZ51,FZ:FZ),"")</f>
        <v/>
      </c>
      <c r="GC52" s="144" t="str">
        <f>IF(AND(Include_study?="Yes",Sufficient_data="Yes"),RANK(GS:GS,GS:GS,1)*IF(GR:GR&lt;0,-1,1)+IF(GR:GR&lt;0,-1,1)*COUNTIF(FZ$2:FZ51,FZ:FZ),"")</f>
        <v/>
      </c>
      <c r="GD52" s="39" t="e">
        <f>IF(AND(Include_study?="Yes",Sufficient_data="Yes"),'Publication Bias Analysis'!E52,NA())</f>
        <v>#N/A</v>
      </c>
      <c r="GE52" s="74" t="e">
        <f>IF(AND(Include_study?="Yes",Sufficient_data="Yes"),'Publication Bias Analysis'!F52,NA())</f>
        <v>#N/A</v>
      </c>
      <c r="GK52" s="176"/>
      <c r="GL5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2" s="39" t="str">
        <f t="shared" si="210"/>
        <v/>
      </c>
      <c r="GN5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2" s="39" t="str">
        <f>IF(AND(Include_study?="Yes",Sufficient_data="Yes"),IF('Publication Bias Analysis'!L$38="Left",'Publication Bias Analysis'!E:E-GW$3,GW$3-'Publication Bias Analysis'!E:E),"")</f>
        <v/>
      </c>
      <c r="GP52" s="39" t="str">
        <f t="shared" si="211"/>
        <v/>
      </c>
      <c r="GQ5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2" s="39" t="str">
        <f>IF(AND(Include_study?="Yes",Sufficient_data="Yes"),IF('Publication Bias Analysis'!L$38="Left",'Publication Bias Analysis'!E:E-GW$10,GW$10-'Publication Bias Analysis'!E:E),"")</f>
        <v/>
      </c>
      <c r="GS52" s="39" t="str">
        <f t="shared" si="212"/>
        <v/>
      </c>
      <c r="GT5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2" s="176"/>
      <c r="HL52" s="69" t="str">
        <f t="shared" si="89"/>
        <v/>
      </c>
      <c r="HM52" s="74" t="str">
        <f>IF(AND(Include_study?="Yes",Sufficient_data="Yes"),Z_score-('Publication Bias Analysis'!P$3+'Publication Bias Analysis'!P$4*Inverse_standard_error),"")</f>
        <v/>
      </c>
      <c r="HO52" s="176"/>
      <c r="HP52" s="69" t="str">
        <f>IF(AND(Include_study?="Yes",Sufficient_data="Yes"),(GD:GD-SUMPRODUCT(Calculations!FT:FT,'Publication Bias Analysis'!E:E)/SUM(Calculations!FT:FT))/SQRT(Calculations!HQ:HQ),"")</f>
        <v/>
      </c>
      <c r="HQ52" s="69" t="str">
        <f>IF(AND(Include_study?="Yes",Sufficient_data="Yes"),GE:GE^2-1/SUM(Calculations!FT:FT),"")</f>
        <v/>
      </c>
      <c r="HR52" s="7" t="str">
        <f t="shared" ref="HR52:HR115" si="240">IF(AND(Include_study?="Yes",Sufficient_data="Yes"),RANK(HP:HP,HP:HP,0),"")</f>
        <v/>
      </c>
      <c r="HS52" s="7" t="str">
        <f t="shared" ref="HS52:HS115" si="241">IF(AND(Include_study?="Yes",Sufficient_data="Yes"),RANK(HQ:HQ,HQ:HQ,0),"")</f>
        <v/>
      </c>
      <c r="HT52" s="7" t="str">
        <f>IF(AND(Include_study?="Yes",Sufficient_data="Yes"),COUNTIFS(HR$2:HR51,"&lt;"&amp;HR52,HS$2:HS51,"&lt;"&amp;HS52)+COUNTIFS(HR53:HR$201,"&lt;"&amp;HR52,HS53:HS$201,"&lt;"&amp;HS52)+COUNTIFS(HR$2:HR51,"&gt;"&amp;HR52,HS$2:HS51,"&gt;"&amp;HS52)+COUNTIFS(HR53:HR$201,"&gt;"&amp;HR52,HS53:HS$201,"&gt;"&amp;HS52),"")</f>
        <v/>
      </c>
      <c r="HU52" s="104" t="str">
        <f>IF(AND(Include_study?="Yes",Sufficient_data="Yes"),COUNTIFS(HR$2:HR51,"&lt;"&amp;HR52,HS$2:HS51,"&gt;"&amp;HS52)+COUNTIFS(HR53:HR$201,"&lt;"&amp;HR52,HS53:HS$201,"&gt;"&amp;HS52)+COUNTIFS(HR$2:HR51,"&gt;"&amp;HR52,HS$2:HS51,"&lt;"&amp;HS52)+COUNTIFS(HR53:HR$201,"&gt;"&amp;HR52,HS53:HS$201,"&lt;"&amp;HS52),"")</f>
        <v/>
      </c>
      <c r="HW52" s="176"/>
      <c r="IB52" s="176"/>
      <c r="IC52" s="146" t="e">
        <f t="shared" si="215"/>
        <v>#N/A</v>
      </c>
      <c r="ID52" s="137" t="e">
        <f t="shared" si="216"/>
        <v>#N/A</v>
      </c>
      <c r="IE52" s="137" t="str">
        <f t="shared" si="217"/>
        <v/>
      </c>
      <c r="IF52" s="95" t="str">
        <f t="shared" si="218"/>
        <v/>
      </c>
      <c r="IK52" s="176"/>
      <c r="IL52" s="69" t="e">
        <f>IF(AND(Include_study?="Yes",Sufficient_data="Yes"),'Publication Bias Analysis'!AV:AV,NA())</f>
        <v>#N/A</v>
      </c>
      <c r="IM52" s="158" t="e">
        <f>IF(AND(Sufficient_data="Yes",Include_study?="Yes"),'Publication Bias Analysis'!AU:AU,NA())</f>
        <v>#N/A</v>
      </c>
      <c r="IN52" s="69" t="str">
        <f t="shared" si="219"/>
        <v/>
      </c>
      <c r="IO52" s="74" t="str">
        <f>IF(AND(Include_study?="Yes",Sufficient_data="Yes"),Z_score-('Publication Bias Analysis'!AY$30+'Publication Bias Analysis'!AY$31*Inverse_standard_error),"")</f>
        <v/>
      </c>
      <c r="IU52" s="176"/>
      <c r="IV52" s="7" t="str">
        <f>IF('Publication Bias Analysis'!BG:BG&lt;&gt;"",RANK('Publication Bias Analysis'!BG:BG,'Publication Bias Analysis'!BG:BG,1)+COUNTIF('Publication Bias Analysis'!BG$2:BG51,'Publication Bias Analysis'!BG52),"")</f>
        <v/>
      </c>
      <c r="IW52" s="124" t="str">
        <f t="shared" si="220"/>
        <v/>
      </c>
      <c r="IX52" s="125" t="e">
        <f>IF('Publication Bias Analysis'!BF52&lt;&gt;"",'Publication Bias Analysis'!BF52,NA())</f>
        <v>#N/A</v>
      </c>
      <c r="IY52" s="125" t="e">
        <f>IF('Publication Bias Analysis'!BG52&lt;&gt;"",'Publication Bias Analysis'!BG52,NA())</f>
        <v>#N/A</v>
      </c>
      <c r="IZ52" s="69" t="str">
        <f>IF(AND(Include_study?="Yes",Sufficient_data="Yes"),'Publication Bias Analysis'!BF:BF-AVERAGE('Publication Bias Analysis'!BF:BF),"")</f>
        <v/>
      </c>
      <c r="JA52" s="74" t="str">
        <f>IF(AND(Include_study?="Yes",Sufficient_data="Yes"),'Publication Bias Analysis'!BG:BG-('Publication Bias Analysis'!BJ$30+'Publication Bias Analysis'!BJ$31*'Publication Bias Analysis'!BF:BF),"")</f>
        <v/>
      </c>
      <c r="JG52" s="176"/>
      <c r="JH52" s="39" t="str">
        <f t="shared" si="221"/>
        <v/>
      </c>
      <c r="JI52" s="148" t="str">
        <f t="shared" si="124"/>
        <v/>
      </c>
      <c r="JJ52" s="74" t="str">
        <f t="shared" si="125"/>
        <v/>
      </c>
    </row>
    <row r="53" spans="1:270" x14ac:dyDescent="0.2">
      <c r="A53" s="56" t="str">
        <f t="shared" si="126"/>
        <v/>
      </c>
      <c r="B53" s="7" t="str">
        <f>IF(AND(Include_study?="Yes",Sufficient_data="Yes"),IF(Input!a_&lt;&gt;"",Input!a_,Input!n1_-Input!b_),"")</f>
        <v/>
      </c>
      <c r="C53" s="7" t="str">
        <f>IF(AND(Include_study?="Yes",Sufficient_data="Yes"),IF(Input!b_&lt;&gt;"",Input!b_,Input!n1_-Input!a_),"")</f>
        <v/>
      </c>
      <c r="D53" s="7" t="str">
        <f>IF(AND(Include_study?="Yes",Sufficient_data="Yes"),IF(Input!c_&lt;&gt;"",Input!c_,Input!n2_-Input!d_),"")</f>
        <v/>
      </c>
      <c r="E53" s="7" t="str">
        <f>IF(AND(Include_study?="Yes",Sufficient_data="Yes"),IF(Input!d_&lt;&gt;"",Input!d_,Input!n2_-Input!c_),"")</f>
        <v/>
      </c>
      <c r="F53" s="74" t="str">
        <f t="shared" si="127"/>
        <v/>
      </c>
      <c r="H53" s="196"/>
      <c r="I53" s="182"/>
      <c r="J53" s="146" t="str">
        <f t="shared" si="2"/>
        <v/>
      </c>
      <c r="K53" s="39" t="str">
        <f t="shared" si="128"/>
        <v/>
      </c>
      <c r="L53" s="39" t="str">
        <f t="shared" si="129"/>
        <v/>
      </c>
      <c r="M53" s="39" t="str">
        <f t="shared" si="130"/>
        <v/>
      </c>
      <c r="N53" s="74" t="str">
        <f t="shared" si="131"/>
        <v/>
      </c>
      <c r="P53" s="176"/>
      <c r="Q53" s="130" t="str">
        <f t="shared" si="132"/>
        <v/>
      </c>
      <c r="R53" s="39" t="str">
        <f t="shared" si="133"/>
        <v/>
      </c>
      <c r="S53" s="39" t="str">
        <f t="shared" si="134"/>
        <v/>
      </c>
      <c r="T53" s="74" t="str">
        <f t="shared" si="135"/>
        <v/>
      </c>
      <c r="V53" s="176"/>
      <c r="W53" s="130" t="str">
        <f t="shared" si="136"/>
        <v/>
      </c>
      <c r="X53" s="39" t="str">
        <f t="shared" si="137"/>
        <v/>
      </c>
      <c r="Y53" s="39" t="str">
        <f t="shared" si="138"/>
        <v/>
      </c>
      <c r="Z53" s="74" t="str">
        <f t="shared" si="139"/>
        <v/>
      </c>
      <c r="AB53" s="176"/>
      <c r="AC53" s="130" t="str">
        <f t="shared" si="140"/>
        <v/>
      </c>
      <c r="AD53" s="39" t="str">
        <f t="shared" si="141"/>
        <v/>
      </c>
      <c r="AE53" s="39" t="str">
        <f t="shared" si="142"/>
        <v/>
      </c>
      <c r="AF53" s="39" t="str">
        <f t="shared" si="143"/>
        <v/>
      </c>
      <c r="AG53" s="74" t="str">
        <f t="shared" si="144"/>
        <v/>
      </c>
      <c r="AI53" s="196"/>
      <c r="AJ5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3" s="136" t="str">
        <f>IF(AJ53&lt;&gt;"",IF(AJ53=0,COUNTIF(AJ$2:AJ52,0)+1,COUNTIF(AJ$2:AJ52,AJ53)+AJ53+COUNTIF(AJ:AJ,0)),"")</f>
        <v/>
      </c>
      <c r="AL53" s="136" t="str">
        <f t="shared" si="20"/>
        <v/>
      </c>
      <c r="AM53" s="155" t="str">
        <f>IF(AND(Include_study?="Yes",Sufficient_data="Yes",Input!Study_name&lt;&gt;""),Input!Study_name,"")</f>
        <v/>
      </c>
      <c r="AN53" s="136" t="str">
        <f t="shared" si="21"/>
        <v/>
      </c>
      <c r="AO53" s="19" t="str">
        <f t="shared" si="145"/>
        <v/>
      </c>
      <c r="AP53" s="158" t="str">
        <f t="shared" si="146"/>
        <v/>
      </c>
      <c r="AQ53" s="158" t="str">
        <f t="shared" si="147"/>
        <v/>
      </c>
      <c r="AR53" s="39" t="str">
        <f t="shared" si="148"/>
        <v/>
      </c>
      <c r="AS53" s="158" t="str">
        <f t="shared" si="149"/>
        <v/>
      </c>
      <c r="AT53" s="39" t="str">
        <f t="shared" si="150"/>
        <v/>
      </c>
      <c r="AU53" s="172" t="str">
        <f t="shared" si="151"/>
        <v/>
      </c>
      <c r="AV53" s="45"/>
      <c r="AW53" s="84" t="e">
        <f t="shared" si="152"/>
        <v>#N/A</v>
      </c>
      <c r="AX53" s="69" t="e">
        <f t="shared" si="153"/>
        <v>#N/A</v>
      </c>
      <c r="AY53" s="74" t="e">
        <f t="shared" si="154"/>
        <v>#N/A</v>
      </c>
      <c r="AZ53" s="45"/>
      <c r="BA53" s="45"/>
      <c r="BB53" s="45"/>
      <c r="BC53" s="45"/>
      <c r="BD53" s="196"/>
      <c r="BE53" s="182"/>
      <c r="BF53" s="69" t="str">
        <f t="shared" si="155"/>
        <v/>
      </c>
      <c r="BG53" s="69" t="str">
        <f t="shared" si="156"/>
        <v/>
      </c>
      <c r="BH53" s="69" t="str">
        <f t="shared" si="157"/>
        <v/>
      </c>
      <c r="BI53" s="39" t="str">
        <f t="shared" si="158"/>
        <v/>
      </c>
      <c r="BJ53" s="95" t="str">
        <f t="shared" si="159"/>
        <v/>
      </c>
      <c r="BO53" s="176"/>
      <c r="BP53" s="158" t="str">
        <f t="shared" si="160"/>
        <v/>
      </c>
      <c r="BQ53" s="158" t="str">
        <f t="shared" si="161"/>
        <v/>
      </c>
      <c r="BR53" s="158" t="str">
        <f t="shared" si="162"/>
        <v/>
      </c>
      <c r="BS53" s="158" t="str">
        <f>IF(AND(Sufficient_data="Yes",Include_study?="Yes"),IF(Add_0_5="Yes",(a_+d_+1)*(ab_+0.5)*(c_+0.5)/(Number_of_subjects+2)^2,(a_+d_)*b_*c_/Number_of_subjects^2),"")</f>
        <v/>
      </c>
      <c r="BT53" s="158" t="str">
        <f t="shared" si="163"/>
        <v/>
      </c>
      <c r="BU53" s="158" t="str">
        <f t="shared" si="164"/>
        <v/>
      </c>
      <c r="BV53" s="158" t="str">
        <f t="shared" si="165"/>
        <v/>
      </c>
      <c r="BW53" s="69" t="str">
        <f t="shared" si="166"/>
        <v/>
      </c>
      <c r="BX53" s="137" t="str">
        <f t="shared" si="167"/>
        <v/>
      </c>
      <c r="BY53" s="95" t="str">
        <f t="shared" si="168"/>
        <v/>
      </c>
      <c r="CD53" s="176"/>
      <c r="CE53" s="130" t="str">
        <f t="shared" si="169"/>
        <v/>
      </c>
      <c r="CF53" s="39" t="str">
        <f t="shared" si="170"/>
        <v/>
      </c>
      <c r="CG53" s="39" t="str">
        <f t="shared" si="171"/>
        <v/>
      </c>
      <c r="CH53" s="39" t="str">
        <f t="shared" si="172"/>
        <v/>
      </c>
      <c r="CI53" s="39" t="str">
        <f t="shared" si="173"/>
        <v/>
      </c>
      <c r="CJ53" s="39" t="str">
        <f t="shared" si="50"/>
        <v/>
      </c>
      <c r="CK53" s="95" t="str">
        <f t="shared" si="174"/>
        <v/>
      </c>
      <c r="CP53" s="176"/>
      <c r="CQ53" s="99" t="str">
        <f t="shared" si="175"/>
        <v/>
      </c>
      <c r="CX53" s="196"/>
      <c r="CY53" s="89" t="e">
        <f t="shared" si="176"/>
        <v>#N/A</v>
      </c>
      <c r="CZ53" s="136" t="str">
        <f t="shared" si="177"/>
        <v/>
      </c>
      <c r="DA53" s="140" t="str">
        <f t="shared" si="178"/>
        <v/>
      </c>
      <c r="DB53" s="39" t="str">
        <f t="shared" si="179"/>
        <v/>
      </c>
      <c r="DC53" s="39" t="str">
        <f t="shared" si="180"/>
        <v/>
      </c>
      <c r="DD53" s="39" t="str">
        <f t="shared" si="181"/>
        <v/>
      </c>
      <c r="DE53" s="39" t="str">
        <f t="shared" si="182"/>
        <v/>
      </c>
      <c r="DF53" s="141" t="str">
        <f t="shared" si="183"/>
        <v/>
      </c>
      <c r="DG53" s="39" t="str">
        <f t="shared" si="184"/>
        <v/>
      </c>
      <c r="DH53" s="39" t="str">
        <f t="shared" si="185"/>
        <v/>
      </c>
      <c r="DI53" s="39" t="str">
        <f t="shared" si="186"/>
        <v/>
      </c>
      <c r="DJ53" s="74" t="str">
        <f t="shared" si="187"/>
        <v/>
      </c>
      <c r="DK53" s="45"/>
      <c r="DL53" s="84" t="e">
        <f t="shared" si="222"/>
        <v>#N/A</v>
      </c>
      <c r="DM53" s="39" t="e">
        <f t="shared" si="189"/>
        <v>#N/A</v>
      </c>
      <c r="DN53" s="74" t="e">
        <f t="shared" si="190"/>
        <v>#N/A</v>
      </c>
      <c r="DO53" s="45"/>
      <c r="DP53" s="89" t="str">
        <f t="shared" si="102"/>
        <v/>
      </c>
      <c r="DQ53" s="26" t="str">
        <f>IF(AND(Sufficient_data="Yes",Subgroup&lt;&gt;""),IF(COUNTIFS(Input!J$2:J52,"="&amp;"Yes",Input!C$2:C52,"="&amp;"Yes",Input!K$2:K52,"="&amp;Subgroup)&gt;0,"",Subgroup),"")</f>
        <v/>
      </c>
      <c r="DR53" s="7" t="str">
        <f t="shared" si="103"/>
        <v/>
      </c>
      <c r="DS53" s="7" t="str">
        <f t="shared" si="191"/>
        <v/>
      </c>
      <c r="DT53" s="19" t="str">
        <f t="shared" si="192"/>
        <v/>
      </c>
      <c r="DU53" s="12" t="str">
        <f t="shared" si="223"/>
        <v/>
      </c>
      <c r="DV53" s="11" t="str">
        <f t="shared" si="224"/>
        <v/>
      </c>
      <c r="DW53" s="12" t="str">
        <f t="shared" si="225"/>
        <v/>
      </c>
      <c r="DX53" s="12" t="str">
        <f t="shared" si="194"/>
        <v/>
      </c>
      <c r="DY53" s="19" t="str">
        <f t="shared" si="226"/>
        <v/>
      </c>
      <c r="DZ53" s="12" t="str">
        <f t="shared" si="227"/>
        <v/>
      </c>
      <c r="EA53" s="19" t="str">
        <f t="shared" si="196"/>
        <v/>
      </c>
      <c r="EB53" s="7" t="str">
        <f t="shared" si="197"/>
        <v/>
      </c>
      <c r="EC53" s="19" t="str">
        <f t="shared" si="198"/>
        <v/>
      </c>
      <c r="ED53" s="19" t="str">
        <f t="shared" si="199"/>
        <v/>
      </c>
      <c r="EE53" s="19" t="str">
        <f t="shared" si="228"/>
        <v/>
      </c>
      <c r="EF53" s="19" t="str">
        <f t="shared" si="229"/>
        <v/>
      </c>
      <c r="EG53" s="19" t="str">
        <f t="shared" si="230"/>
        <v/>
      </c>
      <c r="EH53" s="19" t="str">
        <f t="shared" si="231"/>
        <v/>
      </c>
      <c r="EI53" s="19" t="str">
        <f t="shared" si="232"/>
        <v/>
      </c>
      <c r="EJ53" s="19" t="str">
        <f t="shared" si="200"/>
        <v/>
      </c>
      <c r="EK53" s="19" t="str">
        <f t="shared" si="201"/>
        <v/>
      </c>
      <c r="EL53" s="19" t="str">
        <f t="shared" si="233"/>
        <v/>
      </c>
      <c r="EM53" s="19" t="str">
        <f t="shared" si="234"/>
        <v/>
      </c>
      <c r="EN53" s="19" t="str">
        <f t="shared" si="235"/>
        <v/>
      </c>
      <c r="EO53" s="19" t="str">
        <f t="shared" si="236"/>
        <v/>
      </c>
      <c r="EP53" s="19" t="str">
        <f t="shared" si="237"/>
        <v/>
      </c>
      <c r="EQ53" s="19" t="e">
        <f t="shared" si="238"/>
        <v>#N/A</v>
      </c>
      <c r="ER53" s="11" t="str">
        <f t="shared" si="120"/>
        <v/>
      </c>
      <c r="ES53" s="19" t="str">
        <f t="shared" si="121"/>
        <v/>
      </c>
      <c r="ET53" s="156" t="str">
        <f t="shared" si="203"/>
        <v/>
      </c>
      <c r="EU53" s="39" t="str">
        <f t="shared" si="239"/>
        <v/>
      </c>
      <c r="EV53" s="74" t="str">
        <f t="shared" si="205"/>
        <v/>
      </c>
      <c r="FA53" s="196"/>
      <c r="FB53" s="84" t="e">
        <f>IF(AND(Include_study?="Yes",Sufficient_data="Yes",Moderator&lt;&gt;""),'Moderator Analysis'!E53,NA())</f>
        <v>#N/A</v>
      </c>
      <c r="FC53" s="39" t="e">
        <f>IF(AND(Include_study?="Yes",Sufficient_data="Yes",Moderator&lt;&gt;""),'Moderator Analysis'!F53,NA())</f>
        <v>#N/A</v>
      </c>
      <c r="FD53" s="39" t="str">
        <f t="shared" si="206"/>
        <v/>
      </c>
      <c r="FE53" s="39" t="str">
        <f t="shared" si="207"/>
        <v/>
      </c>
      <c r="FF53" s="39" t="str">
        <f>IF(AND(Include_study?="Yes",Sufficient_data="Yes",Moderator&lt;&gt;""),'Moderator Analysis'!F:F-FP$2,"")</f>
        <v/>
      </c>
      <c r="FG53" s="39" t="str">
        <f>IF(AND(Include_study?="Yes",Sufficient_data="Yes",Moderator&lt;&gt;""),'Moderator Analysis'!E:E-FP$3,"")</f>
        <v/>
      </c>
      <c r="FH53" s="74" t="str">
        <f>IF(AND(Include_study?="Yes",Sufficient_data="Yes",Moderator&lt;&gt;""),FE:FE*('Moderator Analysis'!F:F-FP$5-FP$4*'Moderator Analysis'!E:E)^2,"")</f>
        <v/>
      </c>
      <c r="FI53" s="128"/>
      <c r="FJ53" s="92" t="str">
        <f t="shared" si="208"/>
        <v/>
      </c>
      <c r="FK53" s="137" t="str">
        <f>IF(AND(Include_study?="Yes",Sufficient_data="Yes",Moderator&lt;&gt;""),'Moderator Analysis'!F:F-'Moderator Analysis'!J$37,"")</f>
        <v/>
      </c>
      <c r="FL53" s="137" t="str">
        <f>IF(AND(Include_study?="Yes",Sufficient_data="Yes",Moderator&lt;&gt;""),'Moderator Analysis'!E:E-SUMPRODUCT('Moderator Analysis'!E:E,FJ:FJ)/SUM(FJ:FJ),"")</f>
        <v/>
      </c>
      <c r="FM53" s="95" t="str">
        <f>IF(AND(Include_study?="Yes",Sufficient_data="Yes",Moderator&lt;&gt;""),FJ:FJ*('Moderator Analysis'!F:F-'Moderator Analysis'!J$29-'Moderator Analysis'!J$30*'Moderator Analysis'!E:E)^2,"")</f>
        <v/>
      </c>
      <c r="FR53" s="196"/>
      <c r="FS53" s="182"/>
      <c r="FT5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3" s="39" t="str">
        <f>IF(AND(Include_study?="Yes",Sufficient_data="Yes"),1/('Publication Bias Analysis'!F:F^2+IF(Additional_model="Fixed effect",0,Calculations!GH$12)),"")</f>
        <v/>
      </c>
      <c r="FV53" s="39" t="str">
        <f>IF(AND(Include_study?="Yes",Sufficient_data="Yes"),1/('Publication Bias Analysis'!F:F^2+IF(Additional_model="Fixed effect",0,'Publication Bias Analysis'!L$32)),"")</f>
        <v/>
      </c>
      <c r="FW53" s="39" t="str">
        <f>IF(AND(Include_study?="Yes",Sufficient_data="Yes"),'Publication Bias Analysis'!E:E-'Publication Bias Analysis'!I$37,"")</f>
        <v/>
      </c>
      <c r="FX53" s="39" t="str">
        <f>IF(AND(Include_study?="Yes",Sufficient_data="Yes"),IF(Additional_model="Fixed effect",1/'Publication Bias Analysis'!F:F,1/SQRT('Publication Bias Analysis'!F:F^2+GH$12)),"")</f>
        <v/>
      </c>
      <c r="FY5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3" s="136" t="str">
        <f t="shared" si="209"/>
        <v/>
      </c>
      <c r="GA53" s="144" t="str">
        <f>IF(AND(Include_study?="Yes",Sufficient_data="Yes"),FZ:FZ+IF(GL:GL&lt;0,-1,1)*COUNTIF(FZ$2:FZ52,FZ:FZ),"")</f>
        <v/>
      </c>
      <c r="GB53" s="144" t="str">
        <f>IF(AND(Include_study?="Yes",Sufficient_data="Yes"),RANK(GP:GP,GP:GP,1)*IF(GO:GO&lt;0,-1,1)+IF(GO:GO&lt;0,-1,1)*COUNTIF(FZ$2:FZ52,FZ:FZ),"")</f>
        <v/>
      </c>
      <c r="GC53" s="144" t="str">
        <f>IF(AND(Include_study?="Yes",Sufficient_data="Yes"),RANK(GS:GS,GS:GS,1)*IF(GR:GR&lt;0,-1,1)+IF(GR:GR&lt;0,-1,1)*COUNTIF(FZ$2:FZ52,FZ:FZ),"")</f>
        <v/>
      </c>
      <c r="GD53" s="39" t="e">
        <f>IF(AND(Include_study?="Yes",Sufficient_data="Yes"),'Publication Bias Analysis'!E53,NA())</f>
        <v>#N/A</v>
      </c>
      <c r="GE53" s="74" t="e">
        <f>IF(AND(Include_study?="Yes",Sufficient_data="Yes"),'Publication Bias Analysis'!F53,NA())</f>
        <v>#N/A</v>
      </c>
      <c r="GK53" s="176"/>
      <c r="GL5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3" s="39" t="str">
        <f t="shared" si="210"/>
        <v/>
      </c>
      <c r="GN5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3" s="39" t="str">
        <f>IF(AND(Include_study?="Yes",Sufficient_data="Yes"),IF('Publication Bias Analysis'!L$38="Left",'Publication Bias Analysis'!E:E-GW$3,GW$3-'Publication Bias Analysis'!E:E),"")</f>
        <v/>
      </c>
      <c r="GP53" s="39" t="str">
        <f t="shared" si="211"/>
        <v/>
      </c>
      <c r="GQ5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3" s="39" t="str">
        <f>IF(AND(Include_study?="Yes",Sufficient_data="Yes"),IF('Publication Bias Analysis'!L$38="Left",'Publication Bias Analysis'!E:E-GW$10,GW$10-'Publication Bias Analysis'!E:E),"")</f>
        <v/>
      </c>
      <c r="GS53" s="39" t="str">
        <f t="shared" si="212"/>
        <v/>
      </c>
      <c r="GT5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3" s="176"/>
      <c r="HL53" s="69" t="str">
        <f t="shared" si="89"/>
        <v/>
      </c>
      <c r="HM53" s="74" t="str">
        <f>IF(AND(Include_study?="Yes",Sufficient_data="Yes"),Z_score-('Publication Bias Analysis'!P$3+'Publication Bias Analysis'!P$4*Inverse_standard_error),"")</f>
        <v/>
      </c>
      <c r="HO53" s="176"/>
      <c r="HP53" s="69" t="str">
        <f>IF(AND(Include_study?="Yes",Sufficient_data="Yes"),(GD:GD-SUMPRODUCT(Calculations!FT:FT,'Publication Bias Analysis'!E:E)/SUM(Calculations!FT:FT))/SQRT(Calculations!HQ:HQ),"")</f>
        <v/>
      </c>
      <c r="HQ53" s="69" t="str">
        <f>IF(AND(Include_study?="Yes",Sufficient_data="Yes"),GE:GE^2-1/SUM(Calculations!FT:FT),"")</f>
        <v/>
      </c>
      <c r="HR53" s="7" t="str">
        <f t="shared" si="240"/>
        <v/>
      </c>
      <c r="HS53" s="7" t="str">
        <f t="shared" si="241"/>
        <v/>
      </c>
      <c r="HT53" s="7" t="str">
        <f>IF(AND(Include_study?="Yes",Sufficient_data="Yes"),COUNTIFS(HR$2:HR52,"&lt;"&amp;HR53,HS$2:HS52,"&lt;"&amp;HS53)+COUNTIFS(HR54:HR$201,"&lt;"&amp;HR53,HS54:HS$201,"&lt;"&amp;HS53)+COUNTIFS(HR$2:HR52,"&gt;"&amp;HR53,HS$2:HS52,"&gt;"&amp;HS53)+COUNTIFS(HR54:HR$201,"&gt;"&amp;HR53,HS54:HS$201,"&gt;"&amp;HS53),"")</f>
        <v/>
      </c>
      <c r="HU53" s="104" t="str">
        <f>IF(AND(Include_study?="Yes",Sufficient_data="Yes"),COUNTIFS(HR$2:HR52,"&lt;"&amp;HR53,HS$2:HS52,"&gt;"&amp;HS53)+COUNTIFS(HR54:HR$201,"&lt;"&amp;HR53,HS54:HS$201,"&gt;"&amp;HS53)+COUNTIFS(HR$2:HR52,"&gt;"&amp;HR53,HS$2:HS52,"&lt;"&amp;HS53)+COUNTIFS(HR54:HR$201,"&gt;"&amp;HR53,HS54:HS$201,"&lt;"&amp;HS53),"")</f>
        <v/>
      </c>
      <c r="HW53" s="176"/>
      <c r="IB53" s="176"/>
      <c r="IC53" s="146" t="e">
        <f t="shared" si="215"/>
        <v>#N/A</v>
      </c>
      <c r="ID53" s="137" t="e">
        <f t="shared" si="216"/>
        <v>#N/A</v>
      </c>
      <c r="IE53" s="137" t="str">
        <f t="shared" si="217"/>
        <v/>
      </c>
      <c r="IF53" s="95" t="str">
        <f t="shared" si="218"/>
        <v/>
      </c>
      <c r="IK53" s="176"/>
      <c r="IL53" s="69" t="e">
        <f>IF(AND(Include_study?="Yes",Sufficient_data="Yes"),'Publication Bias Analysis'!AV:AV,NA())</f>
        <v>#N/A</v>
      </c>
      <c r="IM53" s="158" t="e">
        <f>IF(AND(Sufficient_data="Yes",Include_study?="Yes"),'Publication Bias Analysis'!AU:AU,NA())</f>
        <v>#N/A</v>
      </c>
      <c r="IN53" s="69" t="str">
        <f t="shared" si="219"/>
        <v/>
      </c>
      <c r="IO53" s="74" t="str">
        <f>IF(AND(Include_study?="Yes",Sufficient_data="Yes"),Z_score-('Publication Bias Analysis'!AY$30+'Publication Bias Analysis'!AY$31*Inverse_standard_error),"")</f>
        <v/>
      </c>
      <c r="IU53" s="176"/>
      <c r="IV53" s="7" t="str">
        <f>IF('Publication Bias Analysis'!BG:BG&lt;&gt;"",RANK('Publication Bias Analysis'!BG:BG,'Publication Bias Analysis'!BG:BG,1)+COUNTIF('Publication Bias Analysis'!BG$2:BG52,'Publication Bias Analysis'!BG53),"")</f>
        <v/>
      </c>
      <c r="IW53" s="124" t="str">
        <f t="shared" si="220"/>
        <v/>
      </c>
      <c r="IX53" s="125" t="e">
        <f>IF('Publication Bias Analysis'!BF53&lt;&gt;"",'Publication Bias Analysis'!BF53,NA())</f>
        <v>#N/A</v>
      </c>
      <c r="IY53" s="125" t="e">
        <f>IF('Publication Bias Analysis'!BG53&lt;&gt;"",'Publication Bias Analysis'!BG53,NA())</f>
        <v>#N/A</v>
      </c>
      <c r="IZ53" s="69" t="str">
        <f>IF(AND(Include_study?="Yes",Sufficient_data="Yes"),'Publication Bias Analysis'!BF:BF-AVERAGE('Publication Bias Analysis'!BF:BF),"")</f>
        <v/>
      </c>
      <c r="JA53" s="74" t="str">
        <f>IF(AND(Include_study?="Yes",Sufficient_data="Yes"),'Publication Bias Analysis'!BG:BG-('Publication Bias Analysis'!BJ$30+'Publication Bias Analysis'!BJ$31*'Publication Bias Analysis'!BF:BF),"")</f>
        <v/>
      </c>
      <c r="JG53" s="176"/>
      <c r="JH53" s="39" t="str">
        <f t="shared" si="221"/>
        <v/>
      </c>
      <c r="JI53" s="148" t="str">
        <f t="shared" si="124"/>
        <v/>
      </c>
      <c r="JJ53" s="74" t="str">
        <f t="shared" si="125"/>
        <v/>
      </c>
    </row>
    <row r="54" spans="1:270" x14ac:dyDescent="0.2">
      <c r="A54" s="56" t="str">
        <f t="shared" si="126"/>
        <v/>
      </c>
      <c r="B54" s="7" t="str">
        <f>IF(AND(Include_study?="Yes",Sufficient_data="Yes"),IF(Input!a_&lt;&gt;"",Input!a_,Input!n1_-Input!b_),"")</f>
        <v/>
      </c>
      <c r="C54" s="7" t="str">
        <f>IF(AND(Include_study?="Yes",Sufficient_data="Yes"),IF(Input!b_&lt;&gt;"",Input!b_,Input!n1_-Input!a_),"")</f>
        <v/>
      </c>
      <c r="D54" s="7" t="str">
        <f>IF(AND(Include_study?="Yes",Sufficient_data="Yes"),IF(Input!c_&lt;&gt;"",Input!c_,Input!n2_-Input!d_),"")</f>
        <v/>
      </c>
      <c r="E54" s="7" t="str">
        <f>IF(AND(Include_study?="Yes",Sufficient_data="Yes"),IF(Input!d_&lt;&gt;"",Input!d_,Input!n2_-Input!c_),"")</f>
        <v/>
      </c>
      <c r="F54" s="74" t="str">
        <f t="shared" si="127"/>
        <v/>
      </c>
      <c r="H54" s="196"/>
      <c r="I54" s="182"/>
      <c r="J54" s="146" t="str">
        <f t="shared" si="2"/>
        <v/>
      </c>
      <c r="K54" s="39" t="str">
        <f t="shared" si="128"/>
        <v/>
      </c>
      <c r="L54" s="39" t="str">
        <f t="shared" si="129"/>
        <v/>
      </c>
      <c r="M54" s="39" t="str">
        <f t="shared" si="130"/>
        <v/>
      </c>
      <c r="N54" s="74" t="str">
        <f t="shared" si="131"/>
        <v/>
      </c>
      <c r="P54" s="176"/>
      <c r="Q54" s="130" t="str">
        <f t="shared" si="132"/>
        <v/>
      </c>
      <c r="R54" s="39" t="str">
        <f t="shared" si="133"/>
        <v/>
      </c>
      <c r="S54" s="39" t="str">
        <f t="shared" si="134"/>
        <v/>
      </c>
      <c r="T54" s="74" t="str">
        <f t="shared" si="135"/>
        <v/>
      </c>
      <c r="V54" s="176"/>
      <c r="W54" s="130" t="str">
        <f t="shared" si="136"/>
        <v/>
      </c>
      <c r="X54" s="39" t="str">
        <f t="shared" si="137"/>
        <v/>
      </c>
      <c r="Y54" s="39" t="str">
        <f t="shared" si="138"/>
        <v/>
      </c>
      <c r="Z54" s="74" t="str">
        <f t="shared" si="139"/>
        <v/>
      </c>
      <c r="AB54" s="176"/>
      <c r="AC54" s="130" t="str">
        <f t="shared" si="140"/>
        <v/>
      </c>
      <c r="AD54" s="39" t="str">
        <f t="shared" si="141"/>
        <v/>
      </c>
      <c r="AE54" s="39" t="str">
        <f t="shared" si="142"/>
        <v/>
      </c>
      <c r="AF54" s="39" t="str">
        <f t="shared" si="143"/>
        <v/>
      </c>
      <c r="AG54" s="74" t="str">
        <f t="shared" si="144"/>
        <v/>
      </c>
      <c r="AI54" s="196"/>
      <c r="AJ5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4" s="136" t="str">
        <f>IF(AJ54&lt;&gt;"",IF(AJ54=0,COUNTIF(AJ$2:AJ53,0)+1,COUNTIF(AJ$2:AJ53,AJ54)+AJ54+COUNTIF(AJ:AJ,0)),"")</f>
        <v/>
      </c>
      <c r="AL54" s="136" t="str">
        <f t="shared" si="20"/>
        <v/>
      </c>
      <c r="AM54" s="155" t="str">
        <f>IF(AND(Include_study?="Yes",Sufficient_data="Yes",Input!Study_name&lt;&gt;""),Input!Study_name,"")</f>
        <v/>
      </c>
      <c r="AN54" s="136" t="str">
        <f t="shared" si="21"/>
        <v/>
      </c>
      <c r="AO54" s="19" t="str">
        <f t="shared" si="145"/>
        <v/>
      </c>
      <c r="AP54" s="158" t="str">
        <f t="shared" si="146"/>
        <v/>
      </c>
      <c r="AQ54" s="158" t="str">
        <f t="shared" si="147"/>
        <v/>
      </c>
      <c r="AR54" s="39" t="str">
        <f t="shared" si="148"/>
        <v/>
      </c>
      <c r="AS54" s="158" t="str">
        <f t="shared" si="149"/>
        <v/>
      </c>
      <c r="AT54" s="39" t="str">
        <f t="shared" si="150"/>
        <v/>
      </c>
      <c r="AU54" s="172" t="str">
        <f t="shared" si="151"/>
        <v/>
      </c>
      <c r="AV54" s="45"/>
      <c r="AW54" s="84" t="e">
        <f t="shared" si="152"/>
        <v>#N/A</v>
      </c>
      <c r="AX54" s="69" t="e">
        <f t="shared" si="153"/>
        <v>#N/A</v>
      </c>
      <c r="AY54" s="74" t="e">
        <f t="shared" si="154"/>
        <v>#N/A</v>
      </c>
      <c r="AZ54" s="45"/>
      <c r="BA54" s="45"/>
      <c r="BB54" s="45"/>
      <c r="BC54" s="45"/>
      <c r="BD54" s="196"/>
      <c r="BE54" s="182"/>
      <c r="BF54" s="69" t="str">
        <f t="shared" si="155"/>
        <v/>
      </c>
      <c r="BG54" s="69" t="str">
        <f t="shared" si="156"/>
        <v/>
      </c>
      <c r="BH54" s="69" t="str">
        <f t="shared" si="157"/>
        <v/>
      </c>
      <c r="BI54" s="39" t="str">
        <f t="shared" si="158"/>
        <v/>
      </c>
      <c r="BJ54" s="95" t="str">
        <f t="shared" si="159"/>
        <v/>
      </c>
      <c r="BO54" s="176"/>
      <c r="BP54" s="158" t="str">
        <f t="shared" si="160"/>
        <v/>
      </c>
      <c r="BQ54" s="158" t="str">
        <f t="shared" si="161"/>
        <v/>
      </c>
      <c r="BR54" s="158" t="str">
        <f t="shared" si="162"/>
        <v/>
      </c>
      <c r="BS54" s="158" t="str">
        <f>IF(AND(Sufficient_data="Yes",Include_study?="Yes"),IF(Add_0_5="Yes",(a_+d_+1)*(ab_+0.5)*(c_+0.5)/(Number_of_subjects+2)^2,(a_+d_)*b_*c_/Number_of_subjects^2),"")</f>
        <v/>
      </c>
      <c r="BT54" s="158" t="str">
        <f t="shared" si="163"/>
        <v/>
      </c>
      <c r="BU54" s="158" t="str">
        <f t="shared" si="164"/>
        <v/>
      </c>
      <c r="BV54" s="158" t="str">
        <f t="shared" si="165"/>
        <v/>
      </c>
      <c r="BW54" s="69" t="str">
        <f t="shared" si="166"/>
        <v/>
      </c>
      <c r="BX54" s="137" t="str">
        <f t="shared" si="167"/>
        <v/>
      </c>
      <c r="BY54" s="95" t="str">
        <f t="shared" si="168"/>
        <v/>
      </c>
      <c r="CD54" s="176"/>
      <c r="CE54" s="130" t="str">
        <f t="shared" si="169"/>
        <v/>
      </c>
      <c r="CF54" s="39" t="str">
        <f t="shared" si="170"/>
        <v/>
      </c>
      <c r="CG54" s="39" t="str">
        <f t="shared" si="171"/>
        <v/>
      </c>
      <c r="CH54" s="39" t="str">
        <f t="shared" si="172"/>
        <v/>
      </c>
      <c r="CI54" s="39" t="str">
        <f t="shared" si="173"/>
        <v/>
      </c>
      <c r="CJ54" s="39" t="str">
        <f t="shared" si="50"/>
        <v/>
      </c>
      <c r="CK54" s="95" t="str">
        <f t="shared" si="174"/>
        <v/>
      </c>
      <c r="CP54" s="176"/>
      <c r="CQ54" s="99" t="str">
        <f t="shared" si="175"/>
        <v/>
      </c>
      <c r="CX54" s="196"/>
      <c r="CY54" s="89" t="e">
        <f t="shared" si="176"/>
        <v>#N/A</v>
      </c>
      <c r="CZ54" s="136" t="str">
        <f t="shared" si="177"/>
        <v/>
      </c>
      <c r="DA54" s="140" t="str">
        <f t="shared" si="178"/>
        <v/>
      </c>
      <c r="DB54" s="39" t="str">
        <f t="shared" si="179"/>
        <v/>
      </c>
      <c r="DC54" s="39" t="str">
        <f t="shared" si="180"/>
        <v/>
      </c>
      <c r="DD54" s="39" t="str">
        <f t="shared" si="181"/>
        <v/>
      </c>
      <c r="DE54" s="39" t="str">
        <f t="shared" si="182"/>
        <v/>
      </c>
      <c r="DF54" s="141" t="str">
        <f t="shared" si="183"/>
        <v/>
      </c>
      <c r="DG54" s="39" t="str">
        <f t="shared" si="184"/>
        <v/>
      </c>
      <c r="DH54" s="39" t="str">
        <f t="shared" si="185"/>
        <v/>
      </c>
      <c r="DI54" s="39" t="str">
        <f t="shared" si="186"/>
        <v/>
      </c>
      <c r="DJ54" s="74" t="str">
        <f t="shared" si="187"/>
        <v/>
      </c>
      <c r="DK54" s="45"/>
      <c r="DL54" s="84" t="e">
        <f t="shared" si="222"/>
        <v>#N/A</v>
      </c>
      <c r="DM54" s="39" t="e">
        <f t="shared" si="189"/>
        <v>#N/A</v>
      </c>
      <c r="DN54" s="74" t="e">
        <f t="shared" si="190"/>
        <v>#N/A</v>
      </c>
      <c r="DO54" s="45"/>
      <c r="DP54" s="89" t="str">
        <f t="shared" si="102"/>
        <v/>
      </c>
      <c r="DQ54" s="26" t="str">
        <f>IF(AND(Sufficient_data="Yes",Subgroup&lt;&gt;""),IF(COUNTIFS(Input!J$2:J53,"="&amp;"Yes",Input!C$2:C53,"="&amp;"Yes",Input!K$2:K53,"="&amp;Subgroup)&gt;0,"",Subgroup),"")</f>
        <v/>
      </c>
      <c r="DR54" s="7" t="str">
        <f t="shared" si="103"/>
        <v/>
      </c>
      <c r="DS54" s="7" t="str">
        <f t="shared" si="191"/>
        <v/>
      </c>
      <c r="DT54" s="19" t="str">
        <f t="shared" si="192"/>
        <v/>
      </c>
      <c r="DU54" s="12" t="str">
        <f t="shared" si="223"/>
        <v/>
      </c>
      <c r="DV54" s="11" t="str">
        <f t="shared" si="224"/>
        <v/>
      </c>
      <c r="DW54" s="12" t="str">
        <f t="shared" si="225"/>
        <v/>
      </c>
      <c r="DX54" s="12" t="str">
        <f t="shared" si="194"/>
        <v/>
      </c>
      <c r="DY54" s="19" t="str">
        <f t="shared" si="226"/>
        <v/>
      </c>
      <c r="DZ54" s="12" t="str">
        <f t="shared" si="227"/>
        <v/>
      </c>
      <c r="EA54" s="19" t="str">
        <f t="shared" si="196"/>
        <v/>
      </c>
      <c r="EB54" s="7" t="str">
        <f t="shared" si="197"/>
        <v/>
      </c>
      <c r="EC54" s="19" t="str">
        <f t="shared" si="198"/>
        <v/>
      </c>
      <c r="ED54" s="19" t="str">
        <f t="shared" si="199"/>
        <v/>
      </c>
      <c r="EE54" s="19" t="str">
        <f t="shared" si="228"/>
        <v/>
      </c>
      <c r="EF54" s="19" t="str">
        <f t="shared" si="229"/>
        <v/>
      </c>
      <c r="EG54" s="19" t="str">
        <f t="shared" si="230"/>
        <v/>
      </c>
      <c r="EH54" s="19" t="str">
        <f t="shared" si="231"/>
        <v/>
      </c>
      <c r="EI54" s="19" t="str">
        <f t="shared" si="232"/>
        <v/>
      </c>
      <c r="EJ54" s="19" t="str">
        <f t="shared" si="200"/>
        <v/>
      </c>
      <c r="EK54" s="19" t="str">
        <f t="shared" si="201"/>
        <v/>
      </c>
      <c r="EL54" s="19" t="str">
        <f t="shared" si="233"/>
        <v/>
      </c>
      <c r="EM54" s="19" t="str">
        <f t="shared" si="234"/>
        <v/>
      </c>
      <c r="EN54" s="19" t="str">
        <f t="shared" si="235"/>
        <v/>
      </c>
      <c r="EO54" s="19" t="str">
        <f t="shared" si="236"/>
        <v/>
      </c>
      <c r="EP54" s="19" t="str">
        <f t="shared" si="237"/>
        <v/>
      </c>
      <c r="EQ54" s="19" t="e">
        <f t="shared" si="238"/>
        <v>#N/A</v>
      </c>
      <c r="ER54" s="11" t="str">
        <f t="shared" si="120"/>
        <v/>
      </c>
      <c r="ES54" s="19" t="str">
        <f t="shared" si="121"/>
        <v/>
      </c>
      <c r="ET54" s="156" t="str">
        <f t="shared" si="203"/>
        <v/>
      </c>
      <c r="EU54" s="39" t="str">
        <f t="shared" si="239"/>
        <v/>
      </c>
      <c r="EV54" s="74" t="str">
        <f t="shared" si="205"/>
        <v/>
      </c>
      <c r="FA54" s="196"/>
      <c r="FB54" s="84" t="e">
        <f>IF(AND(Include_study?="Yes",Sufficient_data="Yes",Moderator&lt;&gt;""),'Moderator Analysis'!E54,NA())</f>
        <v>#N/A</v>
      </c>
      <c r="FC54" s="39" t="e">
        <f>IF(AND(Include_study?="Yes",Sufficient_data="Yes",Moderator&lt;&gt;""),'Moderator Analysis'!F54,NA())</f>
        <v>#N/A</v>
      </c>
      <c r="FD54" s="39" t="str">
        <f t="shared" si="206"/>
        <v/>
      </c>
      <c r="FE54" s="39" t="str">
        <f t="shared" si="207"/>
        <v/>
      </c>
      <c r="FF54" s="39" t="str">
        <f>IF(AND(Include_study?="Yes",Sufficient_data="Yes",Moderator&lt;&gt;""),'Moderator Analysis'!F:F-FP$2,"")</f>
        <v/>
      </c>
      <c r="FG54" s="39" t="str">
        <f>IF(AND(Include_study?="Yes",Sufficient_data="Yes",Moderator&lt;&gt;""),'Moderator Analysis'!E:E-FP$3,"")</f>
        <v/>
      </c>
      <c r="FH54" s="74" t="str">
        <f>IF(AND(Include_study?="Yes",Sufficient_data="Yes",Moderator&lt;&gt;""),FE:FE*('Moderator Analysis'!F:F-FP$5-FP$4*'Moderator Analysis'!E:E)^2,"")</f>
        <v/>
      </c>
      <c r="FI54" s="128"/>
      <c r="FJ54" s="92" t="str">
        <f t="shared" si="208"/>
        <v/>
      </c>
      <c r="FK54" s="137" t="str">
        <f>IF(AND(Include_study?="Yes",Sufficient_data="Yes",Moderator&lt;&gt;""),'Moderator Analysis'!F:F-'Moderator Analysis'!J$37,"")</f>
        <v/>
      </c>
      <c r="FL54" s="137" t="str">
        <f>IF(AND(Include_study?="Yes",Sufficient_data="Yes",Moderator&lt;&gt;""),'Moderator Analysis'!E:E-SUMPRODUCT('Moderator Analysis'!E:E,FJ:FJ)/SUM(FJ:FJ),"")</f>
        <v/>
      </c>
      <c r="FM54" s="95" t="str">
        <f>IF(AND(Include_study?="Yes",Sufficient_data="Yes",Moderator&lt;&gt;""),FJ:FJ*('Moderator Analysis'!F:F-'Moderator Analysis'!J$29-'Moderator Analysis'!J$30*'Moderator Analysis'!E:E)^2,"")</f>
        <v/>
      </c>
      <c r="FR54" s="196"/>
      <c r="FS54" s="182"/>
      <c r="FT5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4" s="39" t="str">
        <f>IF(AND(Include_study?="Yes",Sufficient_data="Yes"),1/('Publication Bias Analysis'!F:F^2+IF(Additional_model="Fixed effect",0,Calculations!GH$12)),"")</f>
        <v/>
      </c>
      <c r="FV54" s="39" t="str">
        <f>IF(AND(Include_study?="Yes",Sufficient_data="Yes"),1/('Publication Bias Analysis'!F:F^2+IF(Additional_model="Fixed effect",0,'Publication Bias Analysis'!L$32)),"")</f>
        <v/>
      </c>
      <c r="FW54" s="39" t="str">
        <f>IF(AND(Include_study?="Yes",Sufficient_data="Yes"),'Publication Bias Analysis'!E:E-'Publication Bias Analysis'!I$37,"")</f>
        <v/>
      </c>
      <c r="FX54" s="39" t="str">
        <f>IF(AND(Include_study?="Yes",Sufficient_data="Yes"),IF(Additional_model="Fixed effect",1/'Publication Bias Analysis'!F:F,1/SQRT('Publication Bias Analysis'!F:F^2+GH$12)),"")</f>
        <v/>
      </c>
      <c r="FY5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4" s="136" t="str">
        <f t="shared" si="209"/>
        <v/>
      </c>
      <c r="GA54" s="144" t="str">
        <f>IF(AND(Include_study?="Yes",Sufficient_data="Yes"),FZ:FZ+IF(GL:GL&lt;0,-1,1)*COUNTIF(FZ$2:FZ53,FZ:FZ),"")</f>
        <v/>
      </c>
      <c r="GB54" s="144" t="str">
        <f>IF(AND(Include_study?="Yes",Sufficient_data="Yes"),RANK(GP:GP,GP:GP,1)*IF(GO:GO&lt;0,-1,1)+IF(GO:GO&lt;0,-1,1)*COUNTIF(FZ$2:FZ53,FZ:FZ),"")</f>
        <v/>
      </c>
      <c r="GC54" s="144" t="str">
        <f>IF(AND(Include_study?="Yes",Sufficient_data="Yes"),RANK(GS:GS,GS:GS,1)*IF(GR:GR&lt;0,-1,1)+IF(GR:GR&lt;0,-1,1)*COUNTIF(FZ$2:FZ53,FZ:FZ),"")</f>
        <v/>
      </c>
      <c r="GD54" s="39" t="e">
        <f>IF(AND(Include_study?="Yes",Sufficient_data="Yes"),'Publication Bias Analysis'!E54,NA())</f>
        <v>#N/A</v>
      </c>
      <c r="GE54" s="74" t="e">
        <f>IF(AND(Include_study?="Yes",Sufficient_data="Yes"),'Publication Bias Analysis'!F54,NA())</f>
        <v>#N/A</v>
      </c>
      <c r="GK54" s="176"/>
      <c r="GL5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4" s="39" t="str">
        <f t="shared" si="210"/>
        <v/>
      </c>
      <c r="GN5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4" s="39" t="str">
        <f>IF(AND(Include_study?="Yes",Sufficient_data="Yes"),IF('Publication Bias Analysis'!L$38="Left",'Publication Bias Analysis'!E:E-GW$3,GW$3-'Publication Bias Analysis'!E:E),"")</f>
        <v/>
      </c>
      <c r="GP54" s="39" t="str">
        <f t="shared" ref="GP54:GP66" si="242">IF(GO54&lt;&gt;"",ABS(GO54),"")</f>
        <v/>
      </c>
      <c r="GQ5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4" s="39" t="str">
        <f>IF(AND(Include_study?="Yes",Sufficient_data="Yes"),IF('Publication Bias Analysis'!L$38="Left",'Publication Bias Analysis'!E:E-GW$10,GW$10-'Publication Bias Analysis'!E:E),"")</f>
        <v/>
      </c>
      <c r="GS54" s="39" t="str">
        <f t="shared" ref="GS54:GS66" si="243">IF(GR54&lt;&gt;"",ABS(GR54),"")</f>
        <v/>
      </c>
      <c r="GT5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4" s="176"/>
      <c r="HL54" s="69" t="str">
        <f t="shared" si="89"/>
        <v/>
      </c>
      <c r="HM54" s="74" t="str">
        <f>IF(AND(Include_study?="Yes",Sufficient_data="Yes"),Z_score-('Publication Bias Analysis'!P$3+'Publication Bias Analysis'!P$4*Inverse_standard_error),"")</f>
        <v/>
      </c>
      <c r="HO54" s="176"/>
      <c r="HP54" s="69" t="str">
        <f>IF(AND(Include_study?="Yes",Sufficient_data="Yes"),(GD:GD-SUMPRODUCT(Calculations!FT:FT,'Publication Bias Analysis'!E:E)/SUM(Calculations!FT:FT))/SQRT(Calculations!HQ:HQ),"")</f>
        <v/>
      </c>
      <c r="HQ54" s="69" t="str">
        <f>IF(AND(Include_study?="Yes",Sufficient_data="Yes"),GE:GE^2-1/SUM(Calculations!FT:FT),"")</f>
        <v/>
      </c>
      <c r="HR54" s="7" t="str">
        <f t="shared" si="240"/>
        <v/>
      </c>
      <c r="HS54" s="7" t="str">
        <f t="shared" si="241"/>
        <v/>
      </c>
      <c r="HT54" s="7" t="str">
        <f>IF(AND(Include_study?="Yes",Sufficient_data="Yes"),COUNTIFS(HR$2:HR53,"&lt;"&amp;HR54,HS$2:HS53,"&lt;"&amp;HS54)+COUNTIFS(HR55:HR$201,"&lt;"&amp;HR54,HS55:HS$201,"&lt;"&amp;HS54)+COUNTIFS(HR$2:HR53,"&gt;"&amp;HR54,HS$2:HS53,"&gt;"&amp;HS54)+COUNTIFS(HR55:HR$201,"&gt;"&amp;HR54,HS55:HS$201,"&gt;"&amp;HS54),"")</f>
        <v/>
      </c>
      <c r="HU54" s="104" t="str">
        <f>IF(AND(Include_study?="Yes",Sufficient_data="Yes"),COUNTIFS(HR$2:HR53,"&lt;"&amp;HR54,HS$2:HS53,"&gt;"&amp;HS54)+COUNTIFS(HR55:HR$201,"&lt;"&amp;HR54,HS55:HS$201,"&gt;"&amp;HS54)+COUNTIFS(HR$2:HR53,"&gt;"&amp;HR54,HS$2:HS53,"&lt;"&amp;HS54)+COUNTIFS(HR55:HR$201,"&gt;"&amp;HR54,HS55:HS$201,"&lt;"&amp;HS54),"")</f>
        <v/>
      </c>
      <c r="HW54" s="176"/>
      <c r="IB54" s="176"/>
      <c r="IC54" s="146" t="e">
        <f t="shared" si="215"/>
        <v>#N/A</v>
      </c>
      <c r="ID54" s="137" t="e">
        <f t="shared" si="216"/>
        <v>#N/A</v>
      </c>
      <c r="IE54" s="137" t="str">
        <f t="shared" si="217"/>
        <v/>
      </c>
      <c r="IF54" s="95" t="str">
        <f t="shared" si="218"/>
        <v/>
      </c>
      <c r="IK54" s="176"/>
      <c r="IL54" s="69" t="e">
        <f>IF(AND(Include_study?="Yes",Sufficient_data="Yes"),'Publication Bias Analysis'!AV:AV,NA())</f>
        <v>#N/A</v>
      </c>
      <c r="IM54" s="158" t="e">
        <f>IF(AND(Sufficient_data="Yes",Include_study?="Yes"),'Publication Bias Analysis'!AU:AU,NA())</f>
        <v>#N/A</v>
      </c>
      <c r="IN54" s="69" t="str">
        <f t="shared" si="219"/>
        <v/>
      </c>
      <c r="IO54" s="74" t="str">
        <f>IF(AND(Include_study?="Yes",Sufficient_data="Yes"),Z_score-('Publication Bias Analysis'!AY$30+'Publication Bias Analysis'!AY$31*Inverse_standard_error),"")</f>
        <v/>
      </c>
      <c r="IU54" s="176"/>
      <c r="IV54" s="7" t="str">
        <f>IF('Publication Bias Analysis'!BG:BG&lt;&gt;"",RANK('Publication Bias Analysis'!BG:BG,'Publication Bias Analysis'!BG:BG,1)+COUNTIF('Publication Bias Analysis'!BG$2:BG53,'Publication Bias Analysis'!BG54),"")</f>
        <v/>
      </c>
      <c r="IW54" s="124" t="str">
        <f t="shared" si="220"/>
        <v/>
      </c>
      <c r="IX54" s="125" t="e">
        <f>IF('Publication Bias Analysis'!BF54&lt;&gt;"",'Publication Bias Analysis'!BF54,NA())</f>
        <v>#N/A</v>
      </c>
      <c r="IY54" s="125" t="e">
        <f>IF('Publication Bias Analysis'!BG54&lt;&gt;"",'Publication Bias Analysis'!BG54,NA())</f>
        <v>#N/A</v>
      </c>
      <c r="IZ54" s="69" t="str">
        <f>IF(AND(Include_study?="Yes",Sufficient_data="Yes"),'Publication Bias Analysis'!BF:BF-AVERAGE('Publication Bias Analysis'!BF:BF),"")</f>
        <v/>
      </c>
      <c r="JA54" s="74" t="str">
        <f>IF(AND(Include_study?="Yes",Sufficient_data="Yes"),'Publication Bias Analysis'!BG:BG-('Publication Bias Analysis'!BJ$30+'Publication Bias Analysis'!BJ$31*'Publication Bias Analysis'!BF:BF),"")</f>
        <v/>
      </c>
      <c r="JG54" s="176"/>
      <c r="JH54" s="39" t="str">
        <f t="shared" si="221"/>
        <v/>
      </c>
      <c r="JI54" s="148" t="str">
        <f t="shared" si="124"/>
        <v/>
      </c>
      <c r="JJ54" s="74" t="str">
        <f t="shared" si="125"/>
        <v/>
      </c>
    </row>
    <row r="55" spans="1:270" x14ac:dyDescent="0.2">
      <c r="A55" s="56" t="str">
        <f t="shared" si="126"/>
        <v/>
      </c>
      <c r="B55" s="7" t="str">
        <f>IF(AND(Include_study?="Yes",Sufficient_data="Yes"),IF(Input!a_&lt;&gt;"",Input!a_,Input!n1_-Input!b_),"")</f>
        <v/>
      </c>
      <c r="C55" s="7" t="str">
        <f>IF(AND(Include_study?="Yes",Sufficient_data="Yes"),IF(Input!b_&lt;&gt;"",Input!b_,Input!n1_-Input!a_),"")</f>
        <v/>
      </c>
      <c r="D55" s="7" t="str">
        <f>IF(AND(Include_study?="Yes",Sufficient_data="Yes"),IF(Input!c_&lt;&gt;"",Input!c_,Input!n2_-Input!d_),"")</f>
        <v/>
      </c>
      <c r="E55" s="7" t="str">
        <f>IF(AND(Include_study?="Yes",Sufficient_data="Yes"),IF(Input!d_&lt;&gt;"",Input!d_,Input!n2_-Input!c_),"")</f>
        <v/>
      </c>
      <c r="F55" s="74" t="str">
        <f t="shared" si="127"/>
        <v/>
      </c>
      <c r="H55" s="196"/>
      <c r="I55" s="182"/>
      <c r="J55" s="146" t="str">
        <f t="shared" si="2"/>
        <v/>
      </c>
      <c r="K55" s="39" t="str">
        <f t="shared" si="128"/>
        <v/>
      </c>
      <c r="L55" s="39" t="str">
        <f t="shared" si="129"/>
        <v/>
      </c>
      <c r="M55" s="39" t="str">
        <f t="shared" si="130"/>
        <v/>
      </c>
      <c r="N55" s="74" t="str">
        <f t="shared" si="131"/>
        <v/>
      </c>
      <c r="P55" s="176"/>
      <c r="Q55" s="130" t="str">
        <f t="shared" si="132"/>
        <v/>
      </c>
      <c r="R55" s="39" t="str">
        <f t="shared" si="133"/>
        <v/>
      </c>
      <c r="S55" s="39" t="str">
        <f t="shared" si="134"/>
        <v/>
      </c>
      <c r="T55" s="74" t="str">
        <f t="shared" si="135"/>
        <v/>
      </c>
      <c r="V55" s="176"/>
      <c r="W55" s="130" t="str">
        <f t="shared" si="136"/>
        <v/>
      </c>
      <c r="X55" s="39" t="str">
        <f t="shared" si="137"/>
        <v/>
      </c>
      <c r="Y55" s="39" t="str">
        <f t="shared" si="138"/>
        <v/>
      </c>
      <c r="Z55" s="74" t="str">
        <f t="shared" si="139"/>
        <v/>
      </c>
      <c r="AB55" s="176"/>
      <c r="AC55" s="130" t="str">
        <f t="shared" si="140"/>
        <v/>
      </c>
      <c r="AD55" s="39" t="str">
        <f t="shared" si="141"/>
        <v/>
      </c>
      <c r="AE55" s="39" t="str">
        <f t="shared" si="142"/>
        <v/>
      </c>
      <c r="AF55" s="39" t="str">
        <f t="shared" si="143"/>
        <v/>
      </c>
      <c r="AG55" s="74" t="str">
        <f t="shared" si="144"/>
        <v/>
      </c>
      <c r="AI55" s="196"/>
      <c r="AJ5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5" s="136" t="str">
        <f>IF(AJ55&lt;&gt;"",IF(AJ55=0,COUNTIF(AJ$2:AJ54,0)+1,COUNTIF(AJ$2:AJ54,AJ55)+AJ55+COUNTIF(AJ:AJ,0)),"")</f>
        <v/>
      </c>
      <c r="AL55" s="136" t="str">
        <f t="shared" si="20"/>
        <v/>
      </c>
      <c r="AM55" s="155" t="str">
        <f>IF(AND(Include_study?="Yes",Sufficient_data="Yes",Input!Study_name&lt;&gt;""),Input!Study_name,"")</f>
        <v/>
      </c>
      <c r="AN55" s="136" t="str">
        <f t="shared" si="21"/>
        <v/>
      </c>
      <c r="AO55" s="19" t="str">
        <f t="shared" si="145"/>
        <v/>
      </c>
      <c r="AP55" s="158" t="str">
        <f t="shared" si="146"/>
        <v/>
      </c>
      <c r="AQ55" s="158" t="str">
        <f t="shared" si="147"/>
        <v/>
      </c>
      <c r="AR55" s="39" t="str">
        <f t="shared" si="148"/>
        <v/>
      </c>
      <c r="AS55" s="158" t="str">
        <f t="shared" si="149"/>
        <v/>
      </c>
      <c r="AT55" s="39" t="str">
        <f t="shared" si="150"/>
        <v/>
      </c>
      <c r="AU55" s="172" t="str">
        <f t="shared" si="151"/>
        <v/>
      </c>
      <c r="AV55" s="45"/>
      <c r="AW55" s="84" t="e">
        <f t="shared" si="152"/>
        <v>#N/A</v>
      </c>
      <c r="AX55" s="69" t="e">
        <f t="shared" si="153"/>
        <v>#N/A</v>
      </c>
      <c r="AY55" s="74" t="e">
        <f t="shared" si="154"/>
        <v>#N/A</v>
      </c>
      <c r="AZ55" s="45"/>
      <c r="BA55" s="45"/>
      <c r="BB55" s="45"/>
      <c r="BC55" s="45"/>
      <c r="BD55" s="196"/>
      <c r="BE55" s="182"/>
      <c r="BF55" s="69" t="str">
        <f t="shared" si="155"/>
        <v/>
      </c>
      <c r="BG55" s="69" t="str">
        <f t="shared" si="156"/>
        <v/>
      </c>
      <c r="BH55" s="69" t="str">
        <f t="shared" si="157"/>
        <v/>
      </c>
      <c r="BI55" s="39" t="str">
        <f t="shared" si="158"/>
        <v/>
      </c>
      <c r="BJ55" s="95" t="str">
        <f t="shared" si="159"/>
        <v/>
      </c>
      <c r="BO55" s="176"/>
      <c r="BP55" s="158" t="str">
        <f t="shared" si="160"/>
        <v/>
      </c>
      <c r="BQ55" s="158" t="str">
        <f t="shared" si="161"/>
        <v/>
      </c>
      <c r="BR55" s="158" t="str">
        <f t="shared" si="162"/>
        <v/>
      </c>
      <c r="BS55" s="158" t="str">
        <f>IF(AND(Sufficient_data="Yes",Include_study?="Yes"),IF(Add_0_5="Yes",(a_+d_+1)*(ab_+0.5)*(c_+0.5)/(Number_of_subjects+2)^2,(a_+d_)*b_*c_/Number_of_subjects^2),"")</f>
        <v/>
      </c>
      <c r="BT55" s="158" t="str">
        <f t="shared" si="163"/>
        <v/>
      </c>
      <c r="BU55" s="158" t="str">
        <f t="shared" si="164"/>
        <v/>
      </c>
      <c r="BV55" s="158" t="str">
        <f t="shared" si="165"/>
        <v/>
      </c>
      <c r="BW55" s="69" t="str">
        <f t="shared" si="166"/>
        <v/>
      </c>
      <c r="BX55" s="137" t="str">
        <f t="shared" si="167"/>
        <v/>
      </c>
      <c r="BY55" s="95" t="str">
        <f t="shared" si="168"/>
        <v/>
      </c>
      <c r="CD55" s="176"/>
      <c r="CE55" s="130" t="str">
        <f t="shared" si="169"/>
        <v/>
      </c>
      <c r="CF55" s="39" t="str">
        <f t="shared" si="170"/>
        <v/>
      </c>
      <c r="CG55" s="39" t="str">
        <f t="shared" si="171"/>
        <v/>
      </c>
      <c r="CH55" s="39" t="str">
        <f t="shared" si="172"/>
        <v/>
      </c>
      <c r="CI55" s="39" t="str">
        <f t="shared" si="173"/>
        <v/>
      </c>
      <c r="CJ55" s="39" t="str">
        <f t="shared" si="50"/>
        <v/>
      </c>
      <c r="CK55" s="95" t="str">
        <f t="shared" si="174"/>
        <v/>
      </c>
      <c r="CP55" s="176"/>
      <c r="CQ55" s="99" t="str">
        <f t="shared" si="175"/>
        <v/>
      </c>
      <c r="CX55" s="196"/>
      <c r="CY55" s="89" t="e">
        <f t="shared" si="176"/>
        <v>#N/A</v>
      </c>
      <c r="CZ55" s="136" t="str">
        <f t="shared" si="177"/>
        <v/>
      </c>
      <c r="DA55" s="140" t="str">
        <f t="shared" si="178"/>
        <v/>
      </c>
      <c r="DB55" s="39" t="str">
        <f t="shared" si="179"/>
        <v/>
      </c>
      <c r="DC55" s="39" t="str">
        <f t="shared" si="180"/>
        <v/>
      </c>
      <c r="DD55" s="39" t="str">
        <f t="shared" si="181"/>
        <v/>
      </c>
      <c r="DE55" s="39" t="str">
        <f t="shared" si="182"/>
        <v/>
      </c>
      <c r="DF55" s="141" t="str">
        <f t="shared" si="183"/>
        <v/>
      </c>
      <c r="DG55" s="39" t="str">
        <f t="shared" si="184"/>
        <v/>
      </c>
      <c r="DH55" s="39" t="str">
        <f t="shared" si="185"/>
        <v/>
      </c>
      <c r="DI55" s="39" t="str">
        <f t="shared" si="186"/>
        <v/>
      </c>
      <c r="DJ55" s="74" t="str">
        <f t="shared" si="187"/>
        <v/>
      </c>
      <c r="DK55" s="45"/>
      <c r="DL55" s="84" t="e">
        <f t="shared" si="222"/>
        <v>#N/A</v>
      </c>
      <c r="DM55" s="39" t="e">
        <f t="shared" si="189"/>
        <v>#N/A</v>
      </c>
      <c r="DN55" s="74" t="e">
        <f t="shared" si="190"/>
        <v>#N/A</v>
      </c>
      <c r="DO55" s="45"/>
      <c r="DP55" s="89" t="str">
        <f t="shared" si="102"/>
        <v/>
      </c>
      <c r="DQ55" s="26" t="str">
        <f>IF(AND(Sufficient_data="Yes",Subgroup&lt;&gt;""),IF(COUNTIFS(Input!J$2:J54,"="&amp;"Yes",Input!C$2:C54,"="&amp;"Yes",Input!K$2:K54,"="&amp;Subgroup)&gt;0,"",Subgroup),"")</f>
        <v/>
      </c>
      <c r="DR55" s="7" t="str">
        <f t="shared" si="103"/>
        <v/>
      </c>
      <c r="DS55" s="7" t="str">
        <f t="shared" si="191"/>
        <v/>
      </c>
      <c r="DT55" s="19" t="str">
        <f t="shared" si="192"/>
        <v/>
      </c>
      <c r="DU55" s="12" t="str">
        <f t="shared" si="223"/>
        <v/>
      </c>
      <c r="DV55" s="11" t="str">
        <f t="shared" si="224"/>
        <v/>
      </c>
      <c r="DW55" s="12" t="str">
        <f t="shared" si="225"/>
        <v/>
      </c>
      <c r="DX55" s="12" t="str">
        <f t="shared" si="194"/>
        <v/>
      </c>
      <c r="DY55" s="19" t="str">
        <f t="shared" si="226"/>
        <v/>
      </c>
      <c r="DZ55" s="12" t="str">
        <f t="shared" si="227"/>
        <v/>
      </c>
      <c r="EA55" s="19" t="str">
        <f t="shared" si="196"/>
        <v/>
      </c>
      <c r="EB55" s="7" t="str">
        <f t="shared" si="197"/>
        <v/>
      </c>
      <c r="EC55" s="19" t="str">
        <f t="shared" si="198"/>
        <v/>
      </c>
      <c r="ED55" s="19" t="str">
        <f t="shared" si="199"/>
        <v/>
      </c>
      <c r="EE55" s="19" t="str">
        <f t="shared" si="228"/>
        <v/>
      </c>
      <c r="EF55" s="19" t="str">
        <f t="shared" si="229"/>
        <v/>
      </c>
      <c r="EG55" s="19" t="str">
        <f t="shared" si="230"/>
        <v/>
      </c>
      <c r="EH55" s="19" t="str">
        <f t="shared" si="231"/>
        <v/>
      </c>
      <c r="EI55" s="19" t="str">
        <f t="shared" si="232"/>
        <v/>
      </c>
      <c r="EJ55" s="19" t="str">
        <f t="shared" si="200"/>
        <v/>
      </c>
      <c r="EK55" s="19" t="str">
        <f t="shared" si="201"/>
        <v/>
      </c>
      <c r="EL55" s="19" t="str">
        <f t="shared" si="233"/>
        <v/>
      </c>
      <c r="EM55" s="19" t="str">
        <f t="shared" si="234"/>
        <v/>
      </c>
      <c r="EN55" s="19" t="str">
        <f t="shared" si="235"/>
        <v/>
      </c>
      <c r="EO55" s="19" t="str">
        <f t="shared" si="236"/>
        <v/>
      </c>
      <c r="EP55" s="19" t="str">
        <f t="shared" si="237"/>
        <v/>
      </c>
      <c r="EQ55" s="19" t="e">
        <f t="shared" si="238"/>
        <v>#N/A</v>
      </c>
      <c r="ER55" s="11" t="str">
        <f t="shared" si="120"/>
        <v/>
      </c>
      <c r="ES55" s="19" t="str">
        <f t="shared" si="121"/>
        <v/>
      </c>
      <c r="ET55" s="156" t="str">
        <f t="shared" si="203"/>
        <v/>
      </c>
      <c r="EU55" s="39" t="str">
        <f t="shared" si="239"/>
        <v/>
      </c>
      <c r="EV55" s="74" t="str">
        <f t="shared" si="205"/>
        <v/>
      </c>
      <c r="FA55" s="196"/>
      <c r="FB55" s="84" t="e">
        <f>IF(AND(Include_study?="Yes",Sufficient_data="Yes",Moderator&lt;&gt;""),'Moderator Analysis'!E55,NA())</f>
        <v>#N/A</v>
      </c>
      <c r="FC55" s="39" t="e">
        <f>IF(AND(Include_study?="Yes",Sufficient_data="Yes",Moderator&lt;&gt;""),'Moderator Analysis'!F55,NA())</f>
        <v>#N/A</v>
      </c>
      <c r="FD55" s="39" t="str">
        <f t="shared" si="206"/>
        <v/>
      </c>
      <c r="FE55" s="39" t="str">
        <f t="shared" si="207"/>
        <v/>
      </c>
      <c r="FF55" s="39" t="str">
        <f>IF(AND(Include_study?="Yes",Sufficient_data="Yes",Moderator&lt;&gt;""),'Moderator Analysis'!F:F-FP$2,"")</f>
        <v/>
      </c>
      <c r="FG55" s="39" t="str">
        <f>IF(AND(Include_study?="Yes",Sufficient_data="Yes",Moderator&lt;&gt;""),'Moderator Analysis'!E:E-FP$3,"")</f>
        <v/>
      </c>
      <c r="FH55" s="74" t="str">
        <f>IF(AND(Include_study?="Yes",Sufficient_data="Yes",Moderator&lt;&gt;""),FE:FE*('Moderator Analysis'!F:F-FP$5-FP$4*'Moderator Analysis'!E:E)^2,"")</f>
        <v/>
      </c>
      <c r="FI55" s="128"/>
      <c r="FJ55" s="92" t="str">
        <f t="shared" si="208"/>
        <v/>
      </c>
      <c r="FK55" s="137" t="str">
        <f>IF(AND(Include_study?="Yes",Sufficient_data="Yes",Moderator&lt;&gt;""),'Moderator Analysis'!F:F-'Moderator Analysis'!J$37,"")</f>
        <v/>
      </c>
      <c r="FL55" s="137" t="str">
        <f>IF(AND(Include_study?="Yes",Sufficient_data="Yes",Moderator&lt;&gt;""),'Moderator Analysis'!E:E-SUMPRODUCT('Moderator Analysis'!E:E,FJ:FJ)/SUM(FJ:FJ),"")</f>
        <v/>
      </c>
      <c r="FM55" s="95" t="str">
        <f>IF(AND(Include_study?="Yes",Sufficient_data="Yes",Moderator&lt;&gt;""),FJ:FJ*('Moderator Analysis'!F:F-'Moderator Analysis'!J$29-'Moderator Analysis'!J$30*'Moderator Analysis'!E:E)^2,"")</f>
        <v/>
      </c>
      <c r="FR55" s="196"/>
      <c r="FS55" s="182"/>
      <c r="FT5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5" s="39" t="str">
        <f>IF(AND(Include_study?="Yes",Sufficient_data="Yes"),1/('Publication Bias Analysis'!F:F^2+IF(Additional_model="Fixed effect",0,Calculations!GH$12)),"")</f>
        <v/>
      </c>
      <c r="FV55" s="39" t="str">
        <f>IF(AND(Include_study?="Yes",Sufficient_data="Yes"),1/('Publication Bias Analysis'!F:F^2+IF(Additional_model="Fixed effect",0,'Publication Bias Analysis'!L$32)),"")</f>
        <v/>
      </c>
      <c r="FW55" s="39" t="str">
        <f>IF(AND(Include_study?="Yes",Sufficient_data="Yes"),'Publication Bias Analysis'!E:E-'Publication Bias Analysis'!I$37,"")</f>
        <v/>
      </c>
      <c r="FX55" s="39" t="str">
        <f>IF(AND(Include_study?="Yes",Sufficient_data="Yes"),IF(Additional_model="Fixed effect",1/'Publication Bias Analysis'!F:F,1/SQRT('Publication Bias Analysis'!F:F^2+GH$12)),"")</f>
        <v/>
      </c>
      <c r="FY5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5" s="136" t="str">
        <f t="shared" si="209"/>
        <v/>
      </c>
      <c r="GA55" s="144" t="str">
        <f>IF(AND(Include_study?="Yes",Sufficient_data="Yes"),FZ:FZ+IF(GL:GL&lt;0,-1,1)*COUNTIF(FZ$2:FZ54,FZ:FZ),"")</f>
        <v/>
      </c>
      <c r="GB55" s="144" t="str">
        <f>IF(AND(Include_study?="Yes",Sufficient_data="Yes"),RANK(GP:GP,GP:GP,1)*IF(GO:GO&lt;0,-1,1)+IF(GO:GO&lt;0,-1,1)*COUNTIF(FZ$2:FZ54,FZ:FZ),"")</f>
        <v/>
      </c>
      <c r="GC55" s="144" t="str">
        <f>IF(AND(Include_study?="Yes",Sufficient_data="Yes"),RANK(GS:GS,GS:GS,1)*IF(GR:GR&lt;0,-1,1)+IF(GR:GR&lt;0,-1,1)*COUNTIF(FZ$2:FZ54,FZ:FZ),"")</f>
        <v/>
      </c>
      <c r="GD55" s="39" t="e">
        <f>IF(AND(Include_study?="Yes",Sufficient_data="Yes"),'Publication Bias Analysis'!E55,NA())</f>
        <v>#N/A</v>
      </c>
      <c r="GE55" s="74" t="e">
        <f>IF(AND(Include_study?="Yes",Sufficient_data="Yes"),'Publication Bias Analysis'!F55,NA())</f>
        <v>#N/A</v>
      </c>
      <c r="GK55" s="176"/>
      <c r="GL5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5" s="39" t="str">
        <f t="shared" si="210"/>
        <v/>
      </c>
      <c r="GN5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5" s="39" t="str">
        <f>IF(AND(Include_study?="Yes",Sufficient_data="Yes"),IF('Publication Bias Analysis'!L$38="Left",'Publication Bias Analysis'!E:E-GW$3,GW$3-'Publication Bias Analysis'!E:E),"")</f>
        <v/>
      </c>
      <c r="GP55" s="39" t="str">
        <f t="shared" si="242"/>
        <v/>
      </c>
      <c r="GQ5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5" s="39" t="str">
        <f>IF(AND(Include_study?="Yes",Sufficient_data="Yes"),IF('Publication Bias Analysis'!L$38="Left",'Publication Bias Analysis'!E:E-GW$10,GW$10-'Publication Bias Analysis'!E:E),"")</f>
        <v/>
      </c>
      <c r="GS55" s="39" t="str">
        <f t="shared" si="243"/>
        <v/>
      </c>
      <c r="GT5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5" s="176"/>
      <c r="HL55" s="69" t="str">
        <f t="shared" si="89"/>
        <v/>
      </c>
      <c r="HM55" s="74" t="str">
        <f>IF(AND(Include_study?="Yes",Sufficient_data="Yes"),Z_score-('Publication Bias Analysis'!P$3+'Publication Bias Analysis'!P$4*Inverse_standard_error),"")</f>
        <v/>
      </c>
      <c r="HO55" s="176"/>
      <c r="HP55" s="69" t="str">
        <f>IF(AND(Include_study?="Yes",Sufficient_data="Yes"),(GD:GD-SUMPRODUCT(Calculations!FT:FT,'Publication Bias Analysis'!E:E)/SUM(Calculations!FT:FT))/SQRT(Calculations!HQ:HQ),"")</f>
        <v/>
      </c>
      <c r="HQ55" s="69" t="str">
        <f>IF(AND(Include_study?="Yes",Sufficient_data="Yes"),GE:GE^2-1/SUM(Calculations!FT:FT),"")</f>
        <v/>
      </c>
      <c r="HR55" s="7" t="str">
        <f t="shared" si="240"/>
        <v/>
      </c>
      <c r="HS55" s="7" t="str">
        <f t="shared" si="241"/>
        <v/>
      </c>
      <c r="HT55" s="7" t="str">
        <f>IF(AND(Include_study?="Yes",Sufficient_data="Yes"),COUNTIFS(HR$2:HR54,"&lt;"&amp;HR55,HS$2:HS54,"&lt;"&amp;HS55)+COUNTIFS(HR56:HR$201,"&lt;"&amp;HR55,HS56:HS$201,"&lt;"&amp;HS55)+COUNTIFS(HR$2:HR54,"&gt;"&amp;HR55,HS$2:HS54,"&gt;"&amp;HS55)+COUNTIFS(HR56:HR$201,"&gt;"&amp;HR55,HS56:HS$201,"&gt;"&amp;HS55),"")</f>
        <v/>
      </c>
      <c r="HU55" s="104" t="str">
        <f>IF(AND(Include_study?="Yes",Sufficient_data="Yes"),COUNTIFS(HR$2:HR54,"&lt;"&amp;HR55,HS$2:HS54,"&gt;"&amp;HS55)+COUNTIFS(HR56:HR$201,"&lt;"&amp;HR55,HS56:HS$201,"&gt;"&amp;HS55)+COUNTIFS(HR$2:HR54,"&gt;"&amp;HR55,HS$2:HS54,"&lt;"&amp;HS55)+COUNTIFS(HR56:HR$201,"&gt;"&amp;HR55,HS56:HS$201,"&lt;"&amp;HS55),"")</f>
        <v/>
      </c>
      <c r="HW55" s="176"/>
      <c r="IB55" s="176"/>
      <c r="IC55" s="146" t="e">
        <f t="shared" si="215"/>
        <v>#N/A</v>
      </c>
      <c r="ID55" s="137" t="e">
        <f t="shared" si="216"/>
        <v>#N/A</v>
      </c>
      <c r="IE55" s="137" t="str">
        <f t="shared" si="217"/>
        <v/>
      </c>
      <c r="IF55" s="95" t="str">
        <f t="shared" si="218"/>
        <v/>
      </c>
      <c r="IK55" s="176"/>
      <c r="IL55" s="69" t="e">
        <f>IF(AND(Include_study?="Yes",Sufficient_data="Yes"),'Publication Bias Analysis'!AV:AV,NA())</f>
        <v>#N/A</v>
      </c>
      <c r="IM55" s="158" t="e">
        <f>IF(AND(Sufficient_data="Yes",Include_study?="Yes"),'Publication Bias Analysis'!AU:AU,NA())</f>
        <v>#N/A</v>
      </c>
      <c r="IN55" s="69" t="str">
        <f t="shared" si="219"/>
        <v/>
      </c>
      <c r="IO55" s="74" t="str">
        <f>IF(AND(Include_study?="Yes",Sufficient_data="Yes"),Z_score-('Publication Bias Analysis'!AY$30+'Publication Bias Analysis'!AY$31*Inverse_standard_error),"")</f>
        <v/>
      </c>
      <c r="IU55" s="176"/>
      <c r="IV55" s="7" t="str">
        <f>IF('Publication Bias Analysis'!BG:BG&lt;&gt;"",RANK('Publication Bias Analysis'!BG:BG,'Publication Bias Analysis'!BG:BG,1)+COUNTIF('Publication Bias Analysis'!BG$2:BG54,'Publication Bias Analysis'!BG55),"")</f>
        <v/>
      </c>
      <c r="IW55" s="124" t="str">
        <f t="shared" si="220"/>
        <v/>
      </c>
      <c r="IX55" s="125" t="e">
        <f>IF('Publication Bias Analysis'!BF55&lt;&gt;"",'Publication Bias Analysis'!BF55,NA())</f>
        <v>#N/A</v>
      </c>
      <c r="IY55" s="125" t="e">
        <f>IF('Publication Bias Analysis'!BG55&lt;&gt;"",'Publication Bias Analysis'!BG55,NA())</f>
        <v>#N/A</v>
      </c>
      <c r="IZ55" s="69" t="str">
        <f>IF(AND(Include_study?="Yes",Sufficient_data="Yes"),'Publication Bias Analysis'!BF:BF-AVERAGE('Publication Bias Analysis'!BF:BF),"")</f>
        <v/>
      </c>
      <c r="JA55" s="74" t="str">
        <f>IF(AND(Include_study?="Yes",Sufficient_data="Yes"),'Publication Bias Analysis'!BG:BG-('Publication Bias Analysis'!BJ$30+'Publication Bias Analysis'!BJ$31*'Publication Bias Analysis'!BF:BF),"")</f>
        <v/>
      </c>
      <c r="JG55" s="176"/>
      <c r="JH55" s="39" t="str">
        <f t="shared" si="221"/>
        <v/>
      </c>
      <c r="JI55" s="148" t="str">
        <f t="shared" si="124"/>
        <v/>
      </c>
      <c r="JJ55" s="74" t="str">
        <f t="shared" si="125"/>
        <v/>
      </c>
    </row>
    <row r="56" spans="1:270" x14ac:dyDescent="0.2">
      <c r="A56" s="56" t="str">
        <f t="shared" si="126"/>
        <v/>
      </c>
      <c r="B56" s="7" t="str">
        <f>IF(AND(Include_study?="Yes",Sufficient_data="Yes"),IF(Input!a_&lt;&gt;"",Input!a_,Input!n1_-Input!b_),"")</f>
        <v/>
      </c>
      <c r="C56" s="7" t="str">
        <f>IF(AND(Include_study?="Yes",Sufficient_data="Yes"),IF(Input!b_&lt;&gt;"",Input!b_,Input!n1_-Input!a_),"")</f>
        <v/>
      </c>
      <c r="D56" s="7" t="str">
        <f>IF(AND(Include_study?="Yes",Sufficient_data="Yes"),IF(Input!c_&lt;&gt;"",Input!c_,Input!n2_-Input!d_),"")</f>
        <v/>
      </c>
      <c r="E56" s="7" t="str">
        <f>IF(AND(Include_study?="Yes",Sufficient_data="Yes"),IF(Input!d_&lt;&gt;"",Input!d_,Input!n2_-Input!c_),"")</f>
        <v/>
      </c>
      <c r="F56" s="74" t="str">
        <f t="shared" si="127"/>
        <v/>
      </c>
      <c r="H56" s="196"/>
      <c r="I56" s="182"/>
      <c r="J56" s="146" t="str">
        <f t="shared" si="2"/>
        <v/>
      </c>
      <c r="K56" s="39" t="str">
        <f t="shared" si="128"/>
        <v/>
      </c>
      <c r="L56" s="39" t="str">
        <f t="shared" si="129"/>
        <v/>
      </c>
      <c r="M56" s="39" t="str">
        <f t="shared" si="130"/>
        <v/>
      </c>
      <c r="N56" s="74" t="str">
        <f t="shared" si="131"/>
        <v/>
      </c>
      <c r="P56" s="176"/>
      <c r="Q56" s="130" t="str">
        <f t="shared" si="132"/>
        <v/>
      </c>
      <c r="R56" s="39" t="str">
        <f t="shared" si="133"/>
        <v/>
      </c>
      <c r="S56" s="39" t="str">
        <f t="shared" si="134"/>
        <v/>
      </c>
      <c r="T56" s="74" t="str">
        <f t="shared" si="135"/>
        <v/>
      </c>
      <c r="V56" s="176"/>
      <c r="W56" s="130" t="str">
        <f t="shared" si="136"/>
        <v/>
      </c>
      <c r="X56" s="39" t="str">
        <f t="shared" si="137"/>
        <v/>
      </c>
      <c r="Y56" s="39" t="str">
        <f t="shared" si="138"/>
        <v/>
      </c>
      <c r="Z56" s="74" t="str">
        <f t="shared" si="139"/>
        <v/>
      </c>
      <c r="AB56" s="176"/>
      <c r="AC56" s="130" t="str">
        <f t="shared" si="140"/>
        <v/>
      </c>
      <c r="AD56" s="39" t="str">
        <f t="shared" si="141"/>
        <v/>
      </c>
      <c r="AE56" s="39" t="str">
        <f t="shared" si="142"/>
        <v/>
      </c>
      <c r="AF56" s="39" t="str">
        <f t="shared" si="143"/>
        <v/>
      </c>
      <c r="AG56" s="74" t="str">
        <f t="shared" si="144"/>
        <v/>
      </c>
      <c r="AI56" s="196"/>
      <c r="AJ5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6" s="136" t="str">
        <f>IF(AJ56&lt;&gt;"",IF(AJ56=0,COUNTIF(AJ$2:AJ55,0)+1,COUNTIF(AJ$2:AJ55,AJ56)+AJ56+COUNTIF(AJ:AJ,0)),"")</f>
        <v/>
      </c>
      <c r="AL56" s="136" t="str">
        <f t="shared" si="20"/>
        <v/>
      </c>
      <c r="AM56" s="155" t="str">
        <f>IF(AND(Include_study?="Yes",Sufficient_data="Yes",Input!Study_name&lt;&gt;""),Input!Study_name,"")</f>
        <v/>
      </c>
      <c r="AN56" s="136" t="str">
        <f t="shared" si="21"/>
        <v/>
      </c>
      <c r="AO56" s="19" t="str">
        <f t="shared" si="145"/>
        <v/>
      </c>
      <c r="AP56" s="158" t="str">
        <f t="shared" si="146"/>
        <v/>
      </c>
      <c r="AQ56" s="158" t="str">
        <f t="shared" si="147"/>
        <v/>
      </c>
      <c r="AR56" s="39" t="str">
        <f t="shared" si="148"/>
        <v/>
      </c>
      <c r="AS56" s="158" t="str">
        <f t="shared" si="149"/>
        <v/>
      </c>
      <c r="AT56" s="39" t="str">
        <f t="shared" si="150"/>
        <v/>
      </c>
      <c r="AU56" s="172" t="str">
        <f t="shared" si="151"/>
        <v/>
      </c>
      <c r="AV56" s="45"/>
      <c r="AW56" s="84" t="e">
        <f t="shared" si="152"/>
        <v>#N/A</v>
      </c>
      <c r="AX56" s="69" t="e">
        <f t="shared" si="153"/>
        <v>#N/A</v>
      </c>
      <c r="AY56" s="74" t="e">
        <f t="shared" si="154"/>
        <v>#N/A</v>
      </c>
      <c r="AZ56" s="45"/>
      <c r="BA56" s="45"/>
      <c r="BB56" s="45"/>
      <c r="BC56" s="45"/>
      <c r="BD56" s="196"/>
      <c r="BE56" s="182"/>
      <c r="BF56" s="69" t="str">
        <f t="shared" si="155"/>
        <v/>
      </c>
      <c r="BG56" s="69" t="str">
        <f t="shared" si="156"/>
        <v/>
      </c>
      <c r="BH56" s="69" t="str">
        <f t="shared" si="157"/>
        <v/>
      </c>
      <c r="BI56" s="39" t="str">
        <f t="shared" si="158"/>
        <v/>
      </c>
      <c r="BJ56" s="95" t="str">
        <f t="shared" si="159"/>
        <v/>
      </c>
      <c r="BO56" s="176"/>
      <c r="BP56" s="158" t="str">
        <f t="shared" si="160"/>
        <v/>
      </c>
      <c r="BQ56" s="158" t="str">
        <f t="shared" si="161"/>
        <v/>
      </c>
      <c r="BR56" s="158" t="str">
        <f t="shared" si="162"/>
        <v/>
      </c>
      <c r="BS56" s="158" t="str">
        <f>IF(AND(Sufficient_data="Yes",Include_study?="Yes"),IF(Add_0_5="Yes",(a_+d_+1)*(ab_+0.5)*(c_+0.5)/(Number_of_subjects+2)^2,(a_+d_)*b_*c_/Number_of_subjects^2),"")</f>
        <v/>
      </c>
      <c r="BT56" s="158" t="str">
        <f t="shared" si="163"/>
        <v/>
      </c>
      <c r="BU56" s="158" t="str">
        <f t="shared" si="164"/>
        <v/>
      </c>
      <c r="BV56" s="158" t="str">
        <f t="shared" si="165"/>
        <v/>
      </c>
      <c r="BW56" s="69" t="str">
        <f t="shared" si="166"/>
        <v/>
      </c>
      <c r="BX56" s="137" t="str">
        <f t="shared" si="167"/>
        <v/>
      </c>
      <c r="BY56" s="95" t="str">
        <f t="shared" si="168"/>
        <v/>
      </c>
      <c r="CD56" s="176"/>
      <c r="CE56" s="130" t="str">
        <f t="shared" si="169"/>
        <v/>
      </c>
      <c r="CF56" s="39" t="str">
        <f t="shared" si="170"/>
        <v/>
      </c>
      <c r="CG56" s="39" t="str">
        <f t="shared" si="171"/>
        <v/>
      </c>
      <c r="CH56" s="39" t="str">
        <f t="shared" si="172"/>
        <v/>
      </c>
      <c r="CI56" s="39" t="str">
        <f t="shared" si="173"/>
        <v/>
      </c>
      <c r="CJ56" s="39" t="str">
        <f t="shared" si="50"/>
        <v/>
      </c>
      <c r="CK56" s="95" t="str">
        <f t="shared" si="174"/>
        <v/>
      </c>
      <c r="CP56" s="176"/>
      <c r="CQ56" s="99" t="str">
        <f t="shared" si="175"/>
        <v/>
      </c>
      <c r="CX56" s="196"/>
      <c r="CY56" s="89" t="e">
        <f t="shared" si="176"/>
        <v>#N/A</v>
      </c>
      <c r="CZ56" s="136" t="str">
        <f t="shared" si="177"/>
        <v/>
      </c>
      <c r="DA56" s="140" t="str">
        <f t="shared" si="178"/>
        <v/>
      </c>
      <c r="DB56" s="39" t="str">
        <f t="shared" si="179"/>
        <v/>
      </c>
      <c r="DC56" s="39" t="str">
        <f t="shared" si="180"/>
        <v/>
      </c>
      <c r="DD56" s="39" t="str">
        <f t="shared" si="181"/>
        <v/>
      </c>
      <c r="DE56" s="39" t="str">
        <f t="shared" si="182"/>
        <v/>
      </c>
      <c r="DF56" s="141" t="str">
        <f t="shared" si="183"/>
        <v/>
      </c>
      <c r="DG56" s="39" t="str">
        <f t="shared" si="184"/>
        <v/>
      </c>
      <c r="DH56" s="39" t="str">
        <f t="shared" si="185"/>
        <v/>
      </c>
      <c r="DI56" s="39" t="str">
        <f t="shared" si="186"/>
        <v/>
      </c>
      <c r="DJ56" s="74" t="str">
        <f t="shared" si="187"/>
        <v/>
      </c>
      <c r="DK56" s="45"/>
      <c r="DL56" s="84" t="e">
        <f t="shared" si="222"/>
        <v>#N/A</v>
      </c>
      <c r="DM56" s="39" t="e">
        <f t="shared" si="189"/>
        <v>#N/A</v>
      </c>
      <c r="DN56" s="74" t="e">
        <f t="shared" si="190"/>
        <v>#N/A</v>
      </c>
      <c r="DO56" s="45"/>
      <c r="DP56" s="89" t="str">
        <f t="shared" si="102"/>
        <v/>
      </c>
      <c r="DQ56" s="26" t="str">
        <f>IF(AND(Sufficient_data="Yes",Subgroup&lt;&gt;""),IF(COUNTIFS(Input!J$2:J55,"="&amp;"Yes",Input!C$2:C55,"="&amp;"Yes",Input!K$2:K55,"="&amp;Subgroup)&gt;0,"",Subgroup),"")</f>
        <v/>
      </c>
      <c r="DR56" s="7" t="str">
        <f t="shared" si="103"/>
        <v/>
      </c>
      <c r="DS56" s="7" t="str">
        <f t="shared" si="191"/>
        <v/>
      </c>
      <c r="DT56" s="19" t="str">
        <f t="shared" si="192"/>
        <v/>
      </c>
      <c r="DU56" s="12" t="str">
        <f t="shared" si="223"/>
        <v/>
      </c>
      <c r="DV56" s="11" t="str">
        <f t="shared" si="224"/>
        <v/>
      </c>
      <c r="DW56" s="12" t="str">
        <f t="shared" si="225"/>
        <v/>
      </c>
      <c r="DX56" s="12" t="str">
        <f t="shared" si="194"/>
        <v/>
      </c>
      <c r="DY56" s="19" t="str">
        <f t="shared" si="226"/>
        <v/>
      </c>
      <c r="DZ56" s="12" t="str">
        <f t="shared" si="227"/>
        <v/>
      </c>
      <c r="EA56" s="19" t="str">
        <f t="shared" si="196"/>
        <v/>
      </c>
      <c r="EB56" s="7" t="str">
        <f t="shared" si="197"/>
        <v/>
      </c>
      <c r="EC56" s="19" t="str">
        <f t="shared" si="198"/>
        <v/>
      </c>
      <c r="ED56" s="19" t="str">
        <f t="shared" si="199"/>
        <v/>
      </c>
      <c r="EE56" s="19" t="str">
        <f t="shared" si="228"/>
        <v/>
      </c>
      <c r="EF56" s="19" t="str">
        <f t="shared" si="229"/>
        <v/>
      </c>
      <c r="EG56" s="19" t="str">
        <f t="shared" si="230"/>
        <v/>
      </c>
      <c r="EH56" s="19" t="str">
        <f t="shared" si="231"/>
        <v/>
      </c>
      <c r="EI56" s="19" t="str">
        <f t="shared" si="232"/>
        <v/>
      </c>
      <c r="EJ56" s="19" t="str">
        <f t="shared" si="200"/>
        <v/>
      </c>
      <c r="EK56" s="19" t="str">
        <f t="shared" si="201"/>
        <v/>
      </c>
      <c r="EL56" s="19" t="str">
        <f t="shared" si="233"/>
        <v/>
      </c>
      <c r="EM56" s="19" t="str">
        <f t="shared" si="234"/>
        <v/>
      </c>
      <c r="EN56" s="19" t="str">
        <f t="shared" si="235"/>
        <v/>
      </c>
      <c r="EO56" s="19" t="str">
        <f t="shared" si="236"/>
        <v/>
      </c>
      <c r="EP56" s="19" t="str">
        <f t="shared" si="237"/>
        <v/>
      </c>
      <c r="EQ56" s="19" t="e">
        <f t="shared" si="238"/>
        <v>#N/A</v>
      </c>
      <c r="ER56" s="11" t="str">
        <f t="shared" si="120"/>
        <v/>
      </c>
      <c r="ES56" s="19" t="str">
        <f t="shared" si="121"/>
        <v/>
      </c>
      <c r="ET56" s="156" t="str">
        <f t="shared" si="203"/>
        <v/>
      </c>
      <c r="EU56" s="39" t="str">
        <f t="shared" si="239"/>
        <v/>
      </c>
      <c r="EV56" s="74" t="str">
        <f t="shared" si="205"/>
        <v/>
      </c>
      <c r="FA56" s="196"/>
      <c r="FB56" s="84" t="e">
        <f>IF(AND(Include_study?="Yes",Sufficient_data="Yes",Moderator&lt;&gt;""),'Moderator Analysis'!E56,NA())</f>
        <v>#N/A</v>
      </c>
      <c r="FC56" s="39" t="e">
        <f>IF(AND(Include_study?="Yes",Sufficient_data="Yes",Moderator&lt;&gt;""),'Moderator Analysis'!F56,NA())</f>
        <v>#N/A</v>
      </c>
      <c r="FD56" s="39" t="str">
        <f t="shared" si="206"/>
        <v/>
      </c>
      <c r="FE56" s="39" t="str">
        <f t="shared" si="207"/>
        <v/>
      </c>
      <c r="FF56" s="39" t="str">
        <f>IF(AND(Include_study?="Yes",Sufficient_data="Yes",Moderator&lt;&gt;""),'Moderator Analysis'!F:F-FP$2,"")</f>
        <v/>
      </c>
      <c r="FG56" s="39" t="str">
        <f>IF(AND(Include_study?="Yes",Sufficient_data="Yes",Moderator&lt;&gt;""),'Moderator Analysis'!E:E-FP$3,"")</f>
        <v/>
      </c>
      <c r="FH56" s="74" t="str">
        <f>IF(AND(Include_study?="Yes",Sufficient_data="Yes",Moderator&lt;&gt;""),FE:FE*('Moderator Analysis'!F:F-FP$5-FP$4*'Moderator Analysis'!E:E)^2,"")</f>
        <v/>
      </c>
      <c r="FI56" s="128"/>
      <c r="FJ56" s="92" t="str">
        <f t="shared" si="208"/>
        <v/>
      </c>
      <c r="FK56" s="137" t="str">
        <f>IF(AND(Include_study?="Yes",Sufficient_data="Yes",Moderator&lt;&gt;""),'Moderator Analysis'!F:F-'Moderator Analysis'!J$37,"")</f>
        <v/>
      </c>
      <c r="FL56" s="137" t="str">
        <f>IF(AND(Include_study?="Yes",Sufficient_data="Yes",Moderator&lt;&gt;""),'Moderator Analysis'!E:E-SUMPRODUCT('Moderator Analysis'!E:E,FJ:FJ)/SUM(FJ:FJ),"")</f>
        <v/>
      </c>
      <c r="FM56" s="95" t="str">
        <f>IF(AND(Include_study?="Yes",Sufficient_data="Yes",Moderator&lt;&gt;""),FJ:FJ*('Moderator Analysis'!F:F-'Moderator Analysis'!J$29-'Moderator Analysis'!J$30*'Moderator Analysis'!E:E)^2,"")</f>
        <v/>
      </c>
      <c r="FR56" s="196"/>
      <c r="FS56" s="182"/>
      <c r="FT5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6" s="39" t="str">
        <f>IF(AND(Include_study?="Yes",Sufficient_data="Yes"),1/('Publication Bias Analysis'!F:F^2+IF(Additional_model="Fixed effect",0,Calculations!GH$12)),"")</f>
        <v/>
      </c>
      <c r="FV56" s="39" t="str">
        <f>IF(AND(Include_study?="Yes",Sufficient_data="Yes"),1/('Publication Bias Analysis'!F:F^2+IF(Additional_model="Fixed effect",0,'Publication Bias Analysis'!L$32)),"")</f>
        <v/>
      </c>
      <c r="FW56" s="39" t="str">
        <f>IF(AND(Include_study?="Yes",Sufficient_data="Yes"),'Publication Bias Analysis'!E:E-'Publication Bias Analysis'!I$37,"")</f>
        <v/>
      </c>
      <c r="FX56" s="39" t="str">
        <f>IF(AND(Include_study?="Yes",Sufficient_data="Yes"),IF(Additional_model="Fixed effect",1/'Publication Bias Analysis'!F:F,1/SQRT('Publication Bias Analysis'!F:F^2+GH$12)),"")</f>
        <v/>
      </c>
      <c r="FY5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6" s="136" t="str">
        <f t="shared" si="209"/>
        <v/>
      </c>
      <c r="GA56" s="144" t="str">
        <f>IF(AND(Include_study?="Yes",Sufficient_data="Yes"),FZ:FZ+IF(GL:GL&lt;0,-1,1)*COUNTIF(FZ$2:FZ55,FZ:FZ),"")</f>
        <v/>
      </c>
      <c r="GB56" s="144" t="str">
        <f>IF(AND(Include_study?="Yes",Sufficient_data="Yes"),RANK(GP:GP,GP:GP,1)*IF(GO:GO&lt;0,-1,1)+IF(GO:GO&lt;0,-1,1)*COUNTIF(FZ$2:FZ55,FZ:FZ),"")</f>
        <v/>
      </c>
      <c r="GC56" s="144" t="str">
        <f>IF(AND(Include_study?="Yes",Sufficient_data="Yes"),RANK(GS:GS,GS:GS,1)*IF(GR:GR&lt;0,-1,1)+IF(GR:GR&lt;0,-1,1)*COUNTIF(FZ$2:FZ55,FZ:FZ),"")</f>
        <v/>
      </c>
      <c r="GD56" s="39" t="e">
        <f>IF(AND(Include_study?="Yes",Sufficient_data="Yes"),'Publication Bias Analysis'!E56,NA())</f>
        <v>#N/A</v>
      </c>
      <c r="GE56" s="74" t="e">
        <f>IF(AND(Include_study?="Yes",Sufficient_data="Yes"),'Publication Bias Analysis'!F56,NA())</f>
        <v>#N/A</v>
      </c>
      <c r="GK56" s="176"/>
      <c r="GL5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6" s="39" t="str">
        <f t="shared" si="210"/>
        <v/>
      </c>
      <c r="GN5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6" s="39" t="str">
        <f>IF(AND(Include_study?="Yes",Sufficient_data="Yes"),IF('Publication Bias Analysis'!L$38="Left",'Publication Bias Analysis'!E:E-GW$3,GW$3-'Publication Bias Analysis'!E:E),"")</f>
        <v/>
      </c>
      <c r="GP56" s="39" t="str">
        <f t="shared" si="242"/>
        <v/>
      </c>
      <c r="GQ5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6" s="39" t="str">
        <f>IF(AND(Include_study?="Yes",Sufficient_data="Yes"),IF('Publication Bias Analysis'!L$38="Left",'Publication Bias Analysis'!E:E-GW$10,GW$10-'Publication Bias Analysis'!E:E),"")</f>
        <v/>
      </c>
      <c r="GS56" s="39" t="str">
        <f t="shared" si="243"/>
        <v/>
      </c>
      <c r="GT5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6" s="176"/>
      <c r="HL56" s="69" t="str">
        <f t="shared" si="89"/>
        <v/>
      </c>
      <c r="HM56" s="74" t="str">
        <f>IF(AND(Include_study?="Yes",Sufficient_data="Yes"),Z_score-('Publication Bias Analysis'!P$3+'Publication Bias Analysis'!P$4*Inverse_standard_error),"")</f>
        <v/>
      </c>
      <c r="HO56" s="176"/>
      <c r="HP56" s="69" t="str">
        <f>IF(AND(Include_study?="Yes",Sufficient_data="Yes"),(GD:GD-SUMPRODUCT(Calculations!FT:FT,'Publication Bias Analysis'!E:E)/SUM(Calculations!FT:FT))/SQRT(Calculations!HQ:HQ),"")</f>
        <v/>
      </c>
      <c r="HQ56" s="69" t="str">
        <f>IF(AND(Include_study?="Yes",Sufficient_data="Yes"),GE:GE^2-1/SUM(Calculations!FT:FT),"")</f>
        <v/>
      </c>
      <c r="HR56" s="7" t="str">
        <f t="shared" si="240"/>
        <v/>
      </c>
      <c r="HS56" s="7" t="str">
        <f t="shared" si="241"/>
        <v/>
      </c>
      <c r="HT56" s="7" t="str">
        <f>IF(AND(Include_study?="Yes",Sufficient_data="Yes"),COUNTIFS(HR$2:HR55,"&lt;"&amp;HR56,HS$2:HS55,"&lt;"&amp;HS56)+COUNTIFS(HR57:HR$201,"&lt;"&amp;HR56,HS57:HS$201,"&lt;"&amp;HS56)+COUNTIFS(HR$2:HR55,"&gt;"&amp;HR56,HS$2:HS55,"&gt;"&amp;HS56)+COUNTIFS(HR57:HR$201,"&gt;"&amp;HR56,HS57:HS$201,"&gt;"&amp;HS56),"")</f>
        <v/>
      </c>
      <c r="HU56" s="104" t="str">
        <f>IF(AND(Include_study?="Yes",Sufficient_data="Yes"),COUNTIFS(HR$2:HR55,"&lt;"&amp;HR56,HS$2:HS55,"&gt;"&amp;HS56)+COUNTIFS(HR57:HR$201,"&lt;"&amp;HR56,HS57:HS$201,"&gt;"&amp;HS56)+COUNTIFS(HR$2:HR55,"&gt;"&amp;HR56,HS$2:HS55,"&lt;"&amp;HS56)+COUNTIFS(HR57:HR$201,"&gt;"&amp;HR56,HS57:HS$201,"&lt;"&amp;HS56),"")</f>
        <v/>
      </c>
      <c r="HW56" s="176"/>
      <c r="IB56" s="176"/>
      <c r="IC56" s="146" t="e">
        <f t="shared" si="215"/>
        <v>#N/A</v>
      </c>
      <c r="ID56" s="137" t="e">
        <f t="shared" si="216"/>
        <v>#N/A</v>
      </c>
      <c r="IE56" s="137" t="str">
        <f t="shared" si="217"/>
        <v/>
      </c>
      <c r="IF56" s="95" t="str">
        <f t="shared" si="218"/>
        <v/>
      </c>
      <c r="IK56" s="176"/>
      <c r="IL56" s="69" t="e">
        <f>IF(AND(Include_study?="Yes",Sufficient_data="Yes"),'Publication Bias Analysis'!AV:AV,NA())</f>
        <v>#N/A</v>
      </c>
      <c r="IM56" s="158" t="e">
        <f>IF(AND(Sufficient_data="Yes",Include_study?="Yes"),'Publication Bias Analysis'!AU:AU,NA())</f>
        <v>#N/A</v>
      </c>
      <c r="IN56" s="69" t="str">
        <f t="shared" si="219"/>
        <v/>
      </c>
      <c r="IO56" s="74" t="str">
        <f>IF(AND(Include_study?="Yes",Sufficient_data="Yes"),Z_score-('Publication Bias Analysis'!AY$30+'Publication Bias Analysis'!AY$31*Inverse_standard_error),"")</f>
        <v/>
      </c>
      <c r="IU56" s="176"/>
      <c r="IV56" s="7" t="str">
        <f>IF('Publication Bias Analysis'!BG:BG&lt;&gt;"",RANK('Publication Bias Analysis'!BG:BG,'Publication Bias Analysis'!BG:BG,1)+COUNTIF('Publication Bias Analysis'!BG$2:BG55,'Publication Bias Analysis'!BG56),"")</f>
        <v/>
      </c>
      <c r="IW56" s="124" t="str">
        <f t="shared" si="220"/>
        <v/>
      </c>
      <c r="IX56" s="125" t="e">
        <f>IF('Publication Bias Analysis'!BF56&lt;&gt;"",'Publication Bias Analysis'!BF56,NA())</f>
        <v>#N/A</v>
      </c>
      <c r="IY56" s="125" t="e">
        <f>IF('Publication Bias Analysis'!BG56&lt;&gt;"",'Publication Bias Analysis'!BG56,NA())</f>
        <v>#N/A</v>
      </c>
      <c r="IZ56" s="69" t="str">
        <f>IF(AND(Include_study?="Yes",Sufficient_data="Yes"),'Publication Bias Analysis'!BF:BF-AVERAGE('Publication Bias Analysis'!BF:BF),"")</f>
        <v/>
      </c>
      <c r="JA56" s="74" t="str">
        <f>IF(AND(Include_study?="Yes",Sufficient_data="Yes"),'Publication Bias Analysis'!BG:BG-('Publication Bias Analysis'!BJ$30+'Publication Bias Analysis'!BJ$31*'Publication Bias Analysis'!BF:BF),"")</f>
        <v/>
      </c>
      <c r="JG56" s="176"/>
      <c r="JH56" s="39" t="str">
        <f t="shared" si="221"/>
        <v/>
      </c>
      <c r="JI56" s="148" t="str">
        <f t="shared" si="124"/>
        <v/>
      </c>
      <c r="JJ56" s="74" t="str">
        <f t="shared" si="125"/>
        <v/>
      </c>
    </row>
    <row r="57" spans="1:270" x14ac:dyDescent="0.2">
      <c r="A57" s="56" t="str">
        <f t="shared" si="126"/>
        <v/>
      </c>
      <c r="B57" s="7" t="str">
        <f>IF(AND(Include_study?="Yes",Sufficient_data="Yes"),IF(Input!a_&lt;&gt;"",Input!a_,Input!n1_-Input!b_),"")</f>
        <v/>
      </c>
      <c r="C57" s="7" t="str">
        <f>IF(AND(Include_study?="Yes",Sufficient_data="Yes"),IF(Input!b_&lt;&gt;"",Input!b_,Input!n1_-Input!a_),"")</f>
        <v/>
      </c>
      <c r="D57" s="7" t="str">
        <f>IF(AND(Include_study?="Yes",Sufficient_data="Yes"),IF(Input!c_&lt;&gt;"",Input!c_,Input!n2_-Input!d_),"")</f>
        <v/>
      </c>
      <c r="E57" s="7" t="str">
        <f>IF(AND(Include_study?="Yes",Sufficient_data="Yes"),IF(Input!d_&lt;&gt;"",Input!d_,Input!n2_-Input!c_),"")</f>
        <v/>
      </c>
      <c r="F57" s="74" t="str">
        <f t="shared" si="127"/>
        <v/>
      </c>
      <c r="H57" s="196"/>
      <c r="I57" s="182"/>
      <c r="J57" s="146" t="str">
        <f t="shared" si="2"/>
        <v/>
      </c>
      <c r="K57" s="39" t="str">
        <f t="shared" si="128"/>
        <v/>
      </c>
      <c r="L57" s="39" t="str">
        <f t="shared" si="129"/>
        <v/>
      </c>
      <c r="M57" s="39" t="str">
        <f t="shared" si="130"/>
        <v/>
      </c>
      <c r="N57" s="74" t="str">
        <f t="shared" si="131"/>
        <v/>
      </c>
      <c r="P57" s="176"/>
      <c r="Q57" s="130" t="str">
        <f t="shared" si="132"/>
        <v/>
      </c>
      <c r="R57" s="39" t="str">
        <f t="shared" si="133"/>
        <v/>
      </c>
      <c r="S57" s="39" t="str">
        <f t="shared" si="134"/>
        <v/>
      </c>
      <c r="T57" s="74" t="str">
        <f t="shared" si="135"/>
        <v/>
      </c>
      <c r="V57" s="176"/>
      <c r="W57" s="130" t="str">
        <f t="shared" si="136"/>
        <v/>
      </c>
      <c r="X57" s="39" t="str">
        <f t="shared" si="137"/>
        <v/>
      </c>
      <c r="Y57" s="39" t="str">
        <f t="shared" si="138"/>
        <v/>
      </c>
      <c r="Z57" s="74" t="str">
        <f t="shared" si="139"/>
        <v/>
      </c>
      <c r="AB57" s="176"/>
      <c r="AC57" s="130" t="str">
        <f t="shared" si="140"/>
        <v/>
      </c>
      <c r="AD57" s="39" t="str">
        <f t="shared" si="141"/>
        <v/>
      </c>
      <c r="AE57" s="39" t="str">
        <f t="shared" si="142"/>
        <v/>
      </c>
      <c r="AF57" s="39" t="str">
        <f t="shared" si="143"/>
        <v/>
      </c>
      <c r="AG57" s="74" t="str">
        <f t="shared" si="144"/>
        <v/>
      </c>
      <c r="AI57" s="196"/>
      <c r="AJ5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7" s="136" t="str">
        <f>IF(AJ57&lt;&gt;"",IF(AJ57=0,COUNTIF(AJ$2:AJ56,0)+1,COUNTIF(AJ$2:AJ56,AJ57)+AJ57+COUNTIF(AJ:AJ,0)),"")</f>
        <v/>
      </c>
      <c r="AL57" s="136" t="str">
        <f t="shared" si="20"/>
        <v/>
      </c>
      <c r="AM57" s="155" t="str">
        <f>IF(AND(Include_study?="Yes",Sufficient_data="Yes",Input!Study_name&lt;&gt;""),Input!Study_name,"")</f>
        <v/>
      </c>
      <c r="AN57" s="136" t="str">
        <f t="shared" si="21"/>
        <v/>
      </c>
      <c r="AO57" s="19" t="str">
        <f t="shared" si="145"/>
        <v/>
      </c>
      <c r="AP57" s="158" t="str">
        <f t="shared" si="146"/>
        <v/>
      </c>
      <c r="AQ57" s="158" t="str">
        <f t="shared" si="147"/>
        <v/>
      </c>
      <c r="AR57" s="39" t="str">
        <f t="shared" si="148"/>
        <v/>
      </c>
      <c r="AS57" s="158" t="str">
        <f t="shared" si="149"/>
        <v/>
      </c>
      <c r="AT57" s="39" t="str">
        <f t="shared" si="150"/>
        <v/>
      </c>
      <c r="AU57" s="172" t="str">
        <f t="shared" si="151"/>
        <v/>
      </c>
      <c r="AV57" s="45"/>
      <c r="AW57" s="84" t="e">
        <f t="shared" si="152"/>
        <v>#N/A</v>
      </c>
      <c r="AX57" s="69" t="e">
        <f t="shared" si="153"/>
        <v>#N/A</v>
      </c>
      <c r="AY57" s="74" t="e">
        <f t="shared" si="154"/>
        <v>#N/A</v>
      </c>
      <c r="AZ57" s="45"/>
      <c r="BA57" s="45"/>
      <c r="BB57" s="45"/>
      <c r="BC57" s="45"/>
      <c r="BD57" s="196"/>
      <c r="BE57" s="182"/>
      <c r="BF57" s="69" t="str">
        <f t="shared" si="155"/>
        <v/>
      </c>
      <c r="BG57" s="69" t="str">
        <f t="shared" si="156"/>
        <v/>
      </c>
      <c r="BH57" s="69" t="str">
        <f t="shared" si="157"/>
        <v/>
      </c>
      <c r="BI57" s="39" t="str">
        <f t="shared" si="158"/>
        <v/>
      </c>
      <c r="BJ57" s="95" t="str">
        <f t="shared" si="159"/>
        <v/>
      </c>
      <c r="BO57" s="176"/>
      <c r="BP57" s="158" t="str">
        <f t="shared" si="160"/>
        <v/>
      </c>
      <c r="BQ57" s="158" t="str">
        <f t="shared" si="161"/>
        <v/>
      </c>
      <c r="BR57" s="158" t="str">
        <f t="shared" si="162"/>
        <v/>
      </c>
      <c r="BS57" s="158" t="str">
        <f>IF(AND(Sufficient_data="Yes",Include_study?="Yes"),IF(Add_0_5="Yes",(a_+d_+1)*(ab_+0.5)*(c_+0.5)/(Number_of_subjects+2)^2,(a_+d_)*b_*c_/Number_of_subjects^2),"")</f>
        <v/>
      </c>
      <c r="BT57" s="158" t="str">
        <f t="shared" si="163"/>
        <v/>
      </c>
      <c r="BU57" s="158" t="str">
        <f t="shared" si="164"/>
        <v/>
      </c>
      <c r="BV57" s="158" t="str">
        <f t="shared" si="165"/>
        <v/>
      </c>
      <c r="BW57" s="69" t="str">
        <f t="shared" si="166"/>
        <v/>
      </c>
      <c r="BX57" s="137" t="str">
        <f t="shared" si="167"/>
        <v/>
      </c>
      <c r="BY57" s="95" t="str">
        <f t="shared" si="168"/>
        <v/>
      </c>
      <c r="CD57" s="176"/>
      <c r="CE57" s="130" t="str">
        <f t="shared" si="169"/>
        <v/>
      </c>
      <c r="CF57" s="39" t="str">
        <f t="shared" si="170"/>
        <v/>
      </c>
      <c r="CG57" s="39" t="str">
        <f t="shared" si="171"/>
        <v/>
      </c>
      <c r="CH57" s="39" t="str">
        <f t="shared" si="172"/>
        <v/>
      </c>
      <c r="CI57" s="39" t="str">
        <f t="shared" si="173"/>
        <v/>
      </c>
      <c r="CJ57" s="39" t="str">
        <f t="shared" si="50"/>
        <v/>
      </c>
      <c r="CK57" s="95" t="str">
        <f t="shared" si="174"/>
        <v/>
      </c>
      <c r="CP57" s="176"/>
      <c r="CQ57" s="99" t="str">
        <f t="shared" si="175"/>
        <v/>
      </c>
      <c r="CX57" s="196"/>
      <c r="CY57" s="89" t="e">
        <f t="shared" si="176"/>
        <v>#N/A</v>
      </c>
      <c r="CZ57" s="136" t="str">
        <f t="shared" si="177"/>
        <v/>
      </c>
      <c r="DA57" s="140" t="str">
        <f t="shared" si="178"/>
        <v/>
      </c>
      <c r="DB57" s="39" t="str">
        <f t="shared" si="179"/>
        <v/>
      </c>
      <c r="DC57" s="39" t="str">
        <f t="shared" si="180"/>
        <v/>
      </c>
      <c r="DD57" s="39" t="str">
        <f t="shared" si="181"/>
        <v/>
      </c>
      <c r="DE57" s="39" t="str">
        <f t="shared" si="182"/>
        <v/>
      </c>
      <c r="DF57" s="141" t="str">
        <f t="shared" si="183"/>
        <v/>
      </c>
      <c r="DG57" s="39" t="str">
        <f t="shared" si="184"/>
        <v/>
      </c>
      <c r="DH57" s="39" t="str">
        <f t="shared" si="185"/>
        <v/>
      </c>
      <c r="DI57" s="39" t="str">
        <f t="shared" si="186"/>
        <v/>
      </c>
      <c r="DJ57" s="74" t="str">
        <f t="shared" si="187"/>
        <v/>
      </c>
      <c r="DK57" s="45"/>
      <c r="DL57" s="84" t="e">
        <f t="shared" si="222"/>
        <v>#N/A</v>
      </c>
      <c r="DM57" s="39" t="e">
        <f t="shared" si="189"/>
        <v>#N/A</v>
      </c>
      <c r="DN57" s="74" t="e">
        <f t="shared" si="190"/>
        <v>#N/A</v>
      </c>
      <c r="DO57" s="45"/>
      <c r="DP57" s="89" t="str">
        <f t="shared" si="102"/>
        <v/>
      </c>
      <c r="DQ57" s="26" t="str">
        <f>IF(AND(Sufficient_data="Yes",Subgroup&lt;&gt;""),IF(COUNTIFS(Input!J$2:J56,"="&amp;"Yes",Input!C$2:C56,"="&amp;"Yes",Input!K$2:K56,"="&amp;Subgroup)&gt;0,"",Subgroup),"")</f>
        <v/>
      </c>
      <c r="DR57" s="7" t="str">
        <f t="shared" si="103"/>
        <v/>
      </c>
      <c r="DS57" s="7" t="str">
        <f t="shared" si="191"/>
        <v/>
      </c>
      <c r="DT57" s="19" t="str">
        <f t="shared" si="192"/>
        <v/>
      </c>
      <c r="DU57" s="12" t="str">
        <f t="shared" si="223"/>
        <v/>
      </c>
      <c r="DV57" s="11" t="str">
        <f t="shared" si="224"/>
        <v/>
      </c>
      <c r="DW57" s="12" t="str">
        <f t="shared" si="225"/>
        <v/>
      </c>
      <c r="DX57" s="12" t="str">
        <f t="shared" si="194"/>
        <v/>
      </c>
      <c r="DY57" s="19" t="str">
        <f t="shared" si="226"/>
        <v/>
      </c>
      <c r="DZ57" s="12" t="str">
        <f t="shared" si="227"/>
        <v/>
      </c>
      <c r="EA57" s="19" t="str">
        <f t="shared" si="196"/>
        <v/>
      </c>
      <c r="EB57" s="7" t="str">
        <f t="shared" si="197"/>
        <v/>
      </c>
      <c r="EC57" s="19" t="str">
        <f t="shared" si="198"/>
        <v/>
      </c>
      <c r="ED57" s="19" t="str">
        <f t="shared" si="199"/>
        <v/>
      </c>
      <c r="EE57" s="19" t="str">
        <f t="shared" si="228"/>
        <v/>
      </c>
      <c r="EF57" s="19" t="str">
        <f t="shared" si="229"/>
        <v/>
      </c>
      <c r="EG57" s="19" t="str">
        <f t="shared" si="230"/>
        <v/>
      </c>
      <c r="EH57" s="19" t="str">
        <f t="shared" si="231"/>
        <v/>
      </c>
      <c r="EI57" s="19" t="str">
        <f t="shared" si="232"/>
        <v/>
      </c>
      <c r="EJ57" s="19" t="str">
        <f t="shared" si="200"/>
        <v/>
      </c>
      <c r="EK57" s="19" t="str">
        <f t="shared" si="201"/>
        <v/>
      </c>
      <c r="EL57" s="19" t="str">
        <f t="shared" si="233"/>
        <v/>
      </c>
      <c r="EM57" s="19" t="str">
        <f t="shared" si="234"/>
        <v/>
      </c>
      <c r="EN57" s="19" t="str">
        <f t="shared" si="235"/>
        <v/>
      </c>
      <c r="EO57" s="19" t="str">
        <f t="shared" si="236"/>
        <v/>
      </c>
      <c r="EP57" s="19" t="str">
        <f t="shared" si="237"/>
        <v/>
      </c>
      <c r="EQ57" s="19" t="e">
        <f t="shared" si="238"/>
        <v>#N/A</v>
      </c>
      <c r="ER57" s="11" t="str">
        <f t="shared" si="120"/>
        <v/>
      </c>
      <c r="ES57" s="19" t="str">
        <f t="shared" si="121"/>
        <v/>
      </c>
      <c r="ET57" s="156" t="str">
        <f t="shared" si="203"/>
        <v/>
      </c>
      <c r="EU57" s="39" t="str">
        <f t="shared" si="239"/>
        <v/>
      </c>
      <c r="EV57" s="74" t="str">
        <f t="shared" si="205"/>
        <v/>
      </c>
      <c r="FA57" s="196"/>
      <c r="FB57" s="84" t="e">
        <f>IF(AND(Include_study?="Yes",Sufficient_data="Yes",Moderator&lt;&gt;""),'Moderator Analysis'!E57,NA())</f>
        <v>#N/A</v>
      </c>
      <c r="FC57" s="39" t="e">
        <f>IF(AND(Include_study?="Yes",Sufficient_data="Yes",Moderator&lt;&gt;""),'Moderator Analysis'!F57,NA())</f>
        <v>#N/A</v>
      </c>
      <c r="FD57" s="39" t="str">
        <f t="shared" si="206"/>
        <v/>
      </c>
      <c r="FE57" s="39" t="str">
        <f t="shared" si="207"/>
        <v/>
      </c>
      <c r="FF57" s="39" t="str">
        <f>IF(AND(Include_study?="Yes",Sufficient_data="Yes",Moderator&lt;&gt;""),'Moderator Analysis'!F:F-FP$2,"")</f>
        <v/>
      </c>
      <c r="FG57" s="39" t="str">
        <f>IF(AND(Include_study?="Yes",Sufficient_data="Yes",Moderator&lt;&gt;""),'Moderator Analysis'!E:E-FP$3,"")</f>
        <v/>
      </c>
      <c r="FH57" s="74" t="str">
        <f>IF(AND(Include_study?="Yes",Sufficient_data="Yes",Moderator&lt;&gt;""),FE:FE*('Moderator Analysis'!F:F-FP$5-FP$4*'Moderator Analysis'!E:E)^2,"")</f>
        <v/>
      </c>
      <c r="FI57" s="128"/>
      <c r="FJ57" s="92" t="str">
        <f t="shared" si="208"/>
        <v/>
      </c>
      <c r="FK57" s="137" t="str">
        <f>IF(AND(Include_study?="Yes",Sufficient_data="Yes",Moderator&lt;&gt;""),'Moderator Analysis'!F:F-'Moderator Analysis'!J$37,"")</f>
        <v/>
      </c>
      <c r="FL57" s="137" t="str">
        <f>IF(AND(Include_study?="Yes",Sufficient_data="Yes",Moderator&lt;&gt;""),'Moderator Analysis'!E:E-SUMPRODUCT('Moderator Analysis'!E:E,FJ:FJ)/SUM(FJ:FJ),"")</f>
        <v/>
      </c>
      <c r="FM57" s="95" t="str">
        <f>IF(AND(Include_study?="Yes",Sufficient_data="Yes",Moderator&lt;&gt;""),FJ:FJ*('Moderator Analysis'!F:F-'Moderator Analysis'!J$29-'Moderator Analysis'!J$30*'Moderator Analysis'!E:E)^2,"")</f>
        <v/>
      </c>
      <c r="FR57" s="196"/>
      <c r="FS57" s="182"/>
      <c r="FT5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7" s="39" t="str">
        <f>IF(AND(Include_study?="Yes",Sufficient_data="Yes"),1/('Publication Bias Analysis'!F:F^2+IF(Additional_model="Fixed effect",0,Calculations!GH$12)),"")</f>
        <v/>
      </c>
      <c r="FV57" s="39" t="str">
        <f>IF(AND(Include_study?="Yes",Sufficient_data="Yes"),1/('Publication Bias Analysis'!F:F^2+IF(Additional_model="Fixed effect",0,'Publication Bias Analysis'!L$32)),"")</f>
        <v/>
      </c>
      <c r="FW57" s="39" t="str">
        <f>IF(AND(Include_study?="Yes",Sufficient_data="Yes"),'Publication Bias Analysis'!E:E-'Publication Bias Analysis'!I$37,"")</f>
        <v/>
      </c>
      <c r="FX57" s="39" t="str">
        <f>IF(AND(Include_study?="Yes",Sufficient_data="Yes"),IF(Additional_model="Fixed effect",1/'Publication Bias Analysis'!F:F,1/SQRT('Publication Bias Analysis'!F:F^2+GH$12)),"")</f>
        <v/>
      </c>
      <c r="FY5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7" s="136" t="str">
        <f t="shared" si="209"/>
        <v/>
      </c>
      <c r="GA57" s="144" t="str">
        <f>IF(AND(Include_study?="Yes",Sufficient_data="Yes"),FZ:FZ+IF(GL:GL&lt;0,-1,1)*COUNTIF(FZ$2:FZ56,FZ:FZ),"")</f>
        <v/>
      </c>
      <c r="GB57" s="144" t="str">
        <f>IF(AND(Include_study?="Yes",Sufficient_data="Yes"),RANK(GP:GP,GP:GP,1)*IF(GO:GO&lt;0,-1,1)+IF(GO:GO&lt;0,-1,1)*COUNTIF(FZ$2:FZ56,FZ:FZ),"")</f>
        <v/>
      </c>
      <c r="GC57" s="144" t="str">
        <f>IF(AND(Include_study?="Yes",Sufficient_data="Yes"),RANK(GS:GS,GS:GS,1)*IF(GR:GR&lt;0,-1,1)+IF(GR:GR&lt;0,-1,1)*COUNTIF(FZ$2:FZ56,FZ:FZ),"")</f>
        <v/>
      </c>
      <c r="GD57" s="39" t="e">
        <f>IF(AND(Include_study?="Yes",Sufficient_data="Yes"),'Publication Bias Analysis'!E57,NA())</f>
        <v>#N/A</v>
      </c>
      <c r="GE57" s="74" t="e">
        <f>IF(AND(Include_study?="Yes",Sufficient_data="Yes"),'Publication Bias Analysis'!F57,NA())</f>
        <v>#N/A</v>
      </c>
      <c r="GK57" s="176"/>
      <c r="GL5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7" s="39" t="str">
        <f t="shared" si="210"/>
        <v/>
      </c>
      <c r="GN5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7" s="39" t="str">
        <f>IF(AND(Include_study?="Yes",Sufficient_data="Yes"),IF('Publication Bias Analysis'!L$38="Left",'Publication Bias Analysis'!E:E-GW$3,GW$3-'Publication Bias Analysis'!E:E),"")</f>
        <v/>
      </c>
      <c r="GP57" s="39" t="str">
        <f t="shared" si="242"/>
        <v/>
      </c>
      <c r="GQ5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7" s="39" t="str">
        <f>IF(AND(Include_study?="Yes",Sufficient_data="Yes"),IF('Publication Bias Analysis'!L$38="Left",'Publication Bias Analysis'!E:E-GW$10,GW$10-'Publication Bias Analysis'!E:E),"")</f>
        <v/>
      </c>
      <c r="GS57" s="39" t="str">
        <f t="shared" si="243"/>
        <v/>
      </c>
      <c r="GT5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7" s="176"/>
      <c r="HL57" s="69" t="str">
        <f t="shared" si="89"/>
        <v/>
      </c>
      <c r="HM57" s="74" t="str">
        <f>IF(AND(Include_study?="Yes",Sufficient_data="Yes"),Z_score-('Publication Bias Analysis'!P$3+'Publication Bias Analysis'!P$4*Inverse_standard_error),"")</f>
        <v/>
      </c>
      <c r="HO57" s="176"/>
      <c r="HP57" s="69" t="str">
        <f>IF(AND(Include_study?="Yes",Sufficient_data="Yes"),(GD:GD-SUMPRODUCT(Calculations!FT:FT,'Publication Bias Analysis'!E:E)/SUM(Calculations!FT:FT))/SQRT(Calculations!HQ:HQ),"")</f>
        <v/>
      </c>
      <c r="HQ57" s="69" t="str">
        <f>IF(AND(Include_study?="Yes",Sufficient_data="Yes"),GE:GE^2-1/SUM(Calculations!FT:FT),"")</f>
        <v/>
      </c>
      <c r="HR57" s="7" t="str">
        <f t="shared" si="240"/>
        <v/>
      </c>
      <c r="HS57" s="7" t="str">
        <f t="shared" si="241"/>
        <v/>
      </c>
      <c r="HT57" s="7" t="str">
        <f>IF(AND(Include_study?="Yes",Sufficient_data="Yes"),COUNTIFS(HR$2:HR56,"&lt;"&amp;HR57,HS$2:HS56,"&lt;"&amp;HS57)+COUNTIFS(HR58:HR$201,"&lt;"&amp;HR57,HS58:HS$201,"&lt;"&amp;HS57)+COUNTIFS(HR$2:HR56,"&gt;"&amp;HR57,HS$2:HS56,"&gt;"&amp;HS57)+COUNTIFS(HR58:HR$201,"&gt;"&amp;HR57,HS58:HS$201,"&gt;"&amp;HS57),"")</f>
        <v/>
      </c>
      <c r="HU57" s="104" t="str">
        <f>IF(AND(Include_study?="Yes",Sufficient_data="Yes"),COUNTIFS(HR$2:HR56,"&lt;"&amp;HR57,HS$2:HS56,"&gt;"&amp;HS57)+COUNTIFS(HR58:HR$201,"&lt;"&amp;HR57,HS58:HS$201,"&gt;"&amp;HS57)+COUNTIFS(HR$2:HR56,"&gt;"&amp;HR57,HS$2:HS56,"&lt;"&amp;HS57)+COUNTIFS(HR58:HR$201,"&gt;"&amp;HR57,HS58:HS$201,"&lt;"&amp;HS57),"")</f>
        <v/>
      </c>
      <c r="HW57" s="176"/>
      <c r="IB57" s="176"/>
      <c r="IC57" s="146" t="e">
        <f t="shared" si="215"/>
        <v>#N/A</v>
      </c>
      <c r="ID57" s="137" t="e">
        <f t="shared" si="216"/>
        <v>#N/A</v>
      </c>
      <c r="IE57" s="137" t="str">
        <f t="shared" si="217"/>
        <v/>
      </c>
      <c r="IF57" s="95" t="str">
        <f t="shared" si="218"/>
        <v/>
      </c>
      <c r="IK57" s="176"/>
      <c r="IL57" s="69" t="e">
        <f>IF(AND(Include_study?="Yes",Sufficient_data="Yes"),'Publication Bias Analysis'!AV:AV,NA())</f>
        <v>#N/A</v>
      </c>
      <c r="IM57" s="158" t="e">
        <f>IF(AND(Sufficient_data="Yes",Include_study?="Yes"),'Publication Bias Analysis'!AU:AU,NA())</f>
        <v>#N/A</v>
      </c>
      <c r="IN57" s="69" t="str">
        <f t="shared" si="219"/>
        <v/>
      </c>
      <c r="IO57" s="74" t="str">
        <f>IF(AND(Include_study?="Yes",Sufficient_data="Yes"),Z_score-('Publication Bias Analysis'!AY$30+'Publication Bias Analysis'!AY$31*Inverse_standard_error),"")</f>
        <v/>
      </c>
      <c r="IU57" s="176"/>
      <c r="IV57" s="7" t="str">
        <f>IF('Publication Bias Analysis'!BG:BG&lt;&gt;"",RANK('Publication Bias Analysis'!BG:BG,'Publication Bias Analysis'!BG:BG,1)+COUNTIF('Publication Bias Analysis'!BG$2:BG56,'Publication Bias Analysis'!BG57),"")</f>
        <v/>
      </c>
      <c r="IW57" s="124" t="str">
        <f t="shared" si="220"/>
        <v/>
      </c>
      <c r="IX57" s="125" t="e">
        <f>IF('Publication Bias Analysis'!BF57&lt;&gt;"",'Publication Bias Analysis'!BF57,NA())</f>
        <v>#N/A</v>
      </c>
      <c r="IY57" s="125" t="e">
        <f>IF('Publication Bias Analysis'!BG57&lt;&gt;"",'Publication Bias Analysis'!BG57,NA())</f>
        <v>#N/A</v>
      </c>
      <c r="IZ57" s="69" t="str">
        <f>IF(AND(Include_study?="Yes",Sufficient_data="Yes"),'Publication Bias Analysis'!BF:BF-AVERAGE('Publication Bias Analysis'!BF:BF),"")</f>
        <v/>
      </c>
      <c r="JA57" s="74" t="str">
        <f>IF(AND(Include_study?="Yes",Sufficient_data="Yes"),'Publication Bias Analysis'!BG:BG-('Publication Bias Analysis'!BJ$30+'Publication Bias Analysis'!BJ$31*'Publication Bias Analysis'!BF:BF),"")</f>
        <v/>
      </c>
      <c r="JG57" s="176"/>
      <c r="JH57" s="39" t="str">
        <f t="shared" si="221"/>
        <v/>
      </c>
      <c r="JI57" s="148" t="str">
        <f t="shared" si="124"/>
        <v/>
      </c>
      <c r="JJ57" s="74" t="str">
        <f t="shared" si="125"/>
        <v/>
      </c>
    </row>
    <row r="58" spans="1:270" x14ac:dyDescent="0.2">
      <c r="A58" s="56" t="str">
        <f t="shared" si="126"/>
        <v/>
      </c>
      <c r="B58" s="7" t="str">
        <f>IF(AND(Include_study?="Yes",Sufficient_data="Yes"),IF(Input!a_&lt;&gt;"",Input!a_,Input!n1_-Input!b_),"")</f>
        <v/>
      </c>
      <c r="C58" s="7" t="str">
        <f>IF(AND(Include_study?="Yes",Sufficient_data="Yes"),IF(Input!b_&lt;&gt;"",Input!b_,Input!n1_-Input!a_),"")</f>
        <v/>
      </c>
      <c r="D58" s="7" t="str">
        <f>IF(AND(Include_study?="Yes",Sufficient_data="Yes"),IF(Input!c_&lt;&gt;"",Input!c_,Input!n2_-Input!d_),"")</f>
        <v/>
      </c>
      <c r="E58" s="7" t="str">
        <f>IF(AND(Include_study?="Yes",Sufficient_data="Yes"),IF(Input!d_&lt;&gt;"",Input!d_,Input!n2_-Input!c_),"")</f>
        <v/>
      </c>
      <c r="F58" s="74" t="str">
        <f t="shared" si="127"/>
        <v/>
      </c>
      <c r="H58" s="196"/>
      <c r="I58" s="182"/>
      <c r="J58" s="146" t="str">
        <f t="shared" si="2"/>
        <v/>
      </c>
      <c r="K58" s="39" t="str">
        <f t="shared" si="128"/>
        <v/>
      </c>
      <c r="L58" s="39" t="str">
        <f t="shared" si="129"/>
        <v/>
      </c>
      <c r="M58" s="39" t="str">
        <f t="shared" si="130"/>
        <v/>
      </c>
      <c r="N58" s="74" t="str">
        <f t="shared" si="131"/>
        <v/>
      </c>
      <c r="P58" s="176"/>
      <c r="Q58" s="130" t="str">
        <f t="shared" si="132"/>
        <v/>
      </c>
      <c r="R58" s="39" t="str">
        <f t="shared" si="133"/>
        <v/>
      </c>
      <c r="S58" s="39" t="str">
        <f t="shared" si="134"/>
        <v/>
      </c>
      <c r="T58" s="74" t="str">
        <f t="shared" si="135"/>
        <v/>
      </c>
      <c r="V58" s="176"/>
      <c r="W58" s="130" t="str">
        <f t="shared" si="136"/>
        <v/>
      </c>
      <c r="X58" s="39" t="str">
        <f t="shared" si="137"/>
        <v/>
      </c>
      <c r="Y58" s="39" t="str">
        <f t="shared" si="138"/>
        <v/>
      </c>
      <c r="Z58" s="74" t="str">
        <f t="shared" si="139"/>
        <v/>
      </c>
      <c r="AB58" s="176"/>
      <c r="AC58" s="130" t="str">
        <f t="shared" si="140"/>
        <v/>
      </c>
      <c r="AD58" s="39" t="str">
        <f t="shared" si="141"/>
        <v/>
      </c>
      <c r="AE58" s="39" t="str">
        <f t="shared" si="142"/>
        <v/>
      </c>
      <c r="AF58" s="39" t="str">
        <f t="shared" si="143"/>
        <v/>
      </c>
      <c r="AG58" s="74" t="str">
        <f t="shared" si="144"/>
        <v/>
      </c>
      <c r="AI58" s="196"/>
      <c r="AJ5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8" s="136" t="str">
        <f>IF(AJ58&lt;&gt;"",IF(AJ58=0,COUNTIF(AJ$2:AJ57,0)+1,COUNTIF(AJ$2:AJ57,AJ58)+AJ58+COUNTIF(AJ:AJ,0)),"")</f>
        <v/>
      </c>
      <c r="AL58" s="136" t="str">
        <f t="shared" si="20"/>
        <v/>
      </c>
      <c r="AM58" s="155" t="str">
        <f>IF(AND(Include_study?="Yes",Sufficient_data="Yes",Input!Study_name&lt;&gt;""),Input!Study_name,"")</f>
        <v/>
      </c>
      <c r="AN58" s="136" t="str">
        <f t="shared" si="21"/>
        <v/>
      </c>
      <c r="AO58" s="19" t="str">
        <f t="shared" si="145"/>
        <v/>
      </c>
      <c r="AP58" s="158" t="str">
        <f t="shared" si="146"/>
        <v/>
      </c>
      <c r="AQ58" s="158" t="str">
        <f t="shared" si="147"/>
        <v/>
      </c>
      <c r="AR58" s="39" t="str">
        <f t="shared" si="148"/>
        <v/>
      </c>
      <c r="AS58" s="158" t="str">
        <f t="shared" si="149"/>
        <v/>
      </c>
      <c r="AT58" s="39" t="str">
        <f t="shared" si="150"/>
        <v/>
      </c>
      <c r="AU58" s="172" t="str">
        <f t="shared" si="151"/>
        <v/>
      </c>
      <c r="AV58" s="45"/>
      <c r="AW58" s="84" t="e">
        <f t="shared" si="152"/>
        <v>#N/A</v>
      </c>
      <c r="AX58" s="69" t="e">
        <f t="shared" si="153"/>
        <v>#N/A</v>
      </c>
      <c r="AY58" s="74" t="e">
        <f t="shared" si="154"/>
        <v>#N/A</v>
      </c>
      <c r="AZ58" s="45"/>
      <c r="BA58" s="45"/>
      <c r="BB58" s="45"/>
      <c r="BC58" s="45"/>
      <c r="BD58" s="196"/>
      <c r="BE58" s="182"/>
      <c r="BF58" s="69" t="str">
        <f t="shared" si="155"/>
        <v/>
      </c>
      <c r="BG58" s="69" t="str">
        <f t="shared" si="156"/>
        <v/>
      </c>
      <c r="BH58" s="69" t="str">
        <f t="shared" si="157"/>
        <v/>
      </c>
      <c r="BI58" s="39" t="str">
        <f t="shared" si="158"/>
        <v/>
      </c>
      <c r="BJ58" s="95" t="str">
        <f t="shared" si="159"/>
        <v/>
      </c>
      <c r="BO58" s="176"/>
      <c r="BP58" s="158" t="str">
        <f t="shared" si="160"/>
        <v/>
      </c>
      <c r="BQ58" s="158" t="str">
        <f t="shared" si="161"/>
        <v/>
      </c>
      <c r="BR58" s="158" t="str">
        <f t="shared" si="162"/>
        <v/>
      </c>
      <c r="BS58" s="158" t="str">
        <f>IF(AND(Sufficient_data="Yes",Include_study?="Yes"),IF(Add_0_5="Yes",(a_+d_+1)*(ab_+0.5)*(c_+0.5)/(Number_of_subjects+2)^2,(a_+d_)*b_*c_/Number_of_subjects^2),"")</f>
        <v/>
      </c>
      <c r="BT58" s="158" t="str">
        <f t="shared" si="163"/>
        <v/>
      </c>
      <c r="BU58" s="158" t="str">
        <f t="shared" si="164"/>
        <v/>
      </c>
      <c r="BV58" s="158" t="str">
        <f t="shared" si="165"/>
        <v/>
      </c>
      <c r="BW58" s="69" t="str">
        <f t="shared" si="166"/>
        <v/>
      </c>
      <c r="BX58" s="137" t="str">
        <f t="shared" si="167"/>
        <v/>
      </c>
      <c r="BY58" s="95" t="str">
        <f t="shared" si="168"/>
        <v/>
      </c>
      <c r="CD58" s="176"/>
      <c r="CE58" s="130" t="str">
        <f t="shared" si="169"/>
        <v/>
      </c>
      <c r="CF58" s="39" t="str">
        <f t="shared" si="170"/>
        <v/>
      </c>
      <c r="CG58" s="39" t="str">
        <f t="shared" si="171"/>
        <v/>
      </c>
      <c r="CH58" s="39" t="str">
        <f t="shared" si="172"/>
        <v/>
      </c>
      <c r="CI58" s="39" t="str">
        <f t="shared" si="173"/>
        <v/>
      </c>
      <c r="CJ58" s="39" t="str">
        <f t="shared" si="50"/>
        <v/>
      </c>
      <c r="CK58" s="95" t="str">
        <f t="shared" si="174"/>
        <v/>
      </c>
      <c r="CP58" s="176"/>
      <c r="CQ58" s="99" t="str">
        <f t="shared" si="175"/>
        <v/>
      </c>
      <c r="CX58" s="196"/>
      <c r="CY58" s="89" t="e">
        <f t="shared" si="176"/>
        <v>#N/A</v>
      </c>
      <c r="CZ58" s="136" t="str">
        <f t="shared" si="177"/>
        <v/>
      </c>
      <c r="DA58" s="140" t="str">
        <f t="shared" si="178"/>
        <v/>
      </c>
      <c r="DB58" s="39" t="str">
        <f t="shared" si="179"/>
        <v/>
      </c>
      <c r="DC58" s="39" t="str">
        <f t="shared" si="180"/>
        <v/>
      </c>
      <c r="DD58" s="39" t="str">
        <f t="shared" si="181"/>
        <v/>
      </c>
      <c r="DE58" s="39" t="str">
        <f t="shared" si="182"/>
        <v/>
      </c>
      <c r="DF58" s="141" t="str">
        <f t="shared" si="183"/>
        <v/>
      </c>
      <c r="DG58" s="39" t="str">
        <f t="shared" si="184"/>
        <v/>
      </c>
      <c r="DH58" s="39" t="str">
        <f t="shared" si="185"/>
        <v/>
      </c>
      <c r="DI58" s="39" t="str">
        <f t="shared" si="186"/>
        <v/>
      </c>
      <c r="DJ58" s="74" t="str">
        <f t="shared" si="187"/>
        <v/>
      </c>
      <c r="DK58" s="45"/>
      <c r="DL58" s="84" t="e">
        <f t="shared" si="222"/>
        <v>#N/A</v>
      </c>
      <c r="DM58" s="39" t="e">
        <f t="shared" si="189"/>
        <v>#N/A</v>
      </c>
      <c r="DN58" s="74" t="e">
        <f t="shared" si="190"/>
        <v>#N/A</v>
      </c>
      <c r="DO58" s="45"/>
      <c r="DP58" s="89" t="str">
        <f t="shared" si="102"/>
        <v/>
      </c>
      <c r="DQ58" s="26" t="str">
        <f>IF(AND(Sufficient_data="Yes",Subgroup&lt;&gt;""),IF(COUNTIFS(Input!J$2:J57,"="&amp;"Yes",Input!C$2:C57,"="&amp;"Yes",Input!K$2:K57,"="&amp;Subgroup)&gt;0,"",Subgroup),"")</f>
        <v/>
      </c>
      <c r="DR58" s="7" t="str">
        <f t="shared" si="103"/>
        <v/>
      </c>
      <c r="DS58" s="7" t="str">
        <f t="shared" si="191"/>
        <v/>
      </c>
      <c r="DT58" s="19" t="str">
        <f t="shared" si="192"/>
        <v/>
      </c>
      <c r="DU58" s="12" t="str">
        <f t="shared" si="223"/>
        <v/>
      </c>
      <c r="DV58" s="11" t="str">
        <f t="shared" si="224"/>
        <v/>
      </c>
      <c r="DW58" s="12" t="str">
        <f t="shared" si="225"/>
        <v/>
      </c>
      <c r="DX58" s="12" t="str">
        <f t="shared" si="194"/>
        <v/>
      </c>
      <c r="DY58" s="19" t="str">
        <f t="shared" si="226"/>
        <v/>
      </c>
      <c r="DZ58" s="12" t="str">
        <f t="shared" si="227"/>
        <v/>
      </c>
      <c r="EA58" s="19" t="str">
        <f t="shared" si="196"/>
        <v/>
      </c>
      <c r="EB58" s="7" t="str">
        <f t="shared" si="197"/>
        <v/>
      </c>
      <c r="EC58" s="19" t="str">
        <f t="shared" si="198"/>
        <v/>
      </c>
      <c r="ED58" s="19" t="str">
        <f t="shared" si="199"/>
        <v/>
      </c>
      <c r="EE58" s="19" t="str">
        <f t="shared" si="228"/>
        <v/>
      </c>
      <c r="EF58" s="19" t="str">
        <f t="shared" si="229"/>
        <v/>
      </c>
      <c r="EG58" s="19" t="str">
        <f t="shared" si="230"/>
        <v/>
      </c>
      <c r="EH58" s="19" t="str">
        <f t="shared" si="231"/>
        <v/>
      </c>
      <c r="EI58" s="19" t="str">
        <f t="shared" si="232"/>
        <v/>
      </c>
      <c r="EJ58" s="19" t="str">
        <f t="shared" si="200"/>
        <v/>
      </c>
      <c r="EK58" s="19" t="str">
        <f t="shared" si="201"/>
        <v/>
      </c>
      <c r="EL58" s="19" t="str">
        <f t="shared" si="233"/>
        <v/>
      </c>
      <c r="EM58" s="19" t="str">
        <f t="shared" si="234"/>
        <v/>
      </c>
      <c r="EN58" s="19" t="str">
        <f t="shared" si="235"/>
        <v/>
      </c>
      <c r="EO58" s="19" t="str">
        <f t="shared" si="236"/>
        <v/>
      </c>
      <c r="EP58" s="19" t="str">
        <f t="shared" si="237"/>
        <v/>
      </c>
      <c r="EQ58" s="19" t="e">
        <f t="shared" si="238"/>
        <v>#N/A</v>
      </c>
      <c r="ER58" s="11" t="str">
        <f t="shared" si="120"/>
        <v/>
      </c>
      <c r="ES58" s="19" t="str">
        <f t="shared" si="121"/>
        <v/>
      </c>
      <c r="ET58" s="156" t="str">
        <f t="shared" si="203"/>
        <v/>
      </c>
      <c r="EU58" s="39" t="str">
        <f t="shared" si="239"/>
        <v/>
      </c>
      <c r="EV58" s="74" t="str">
        <f t="shared" si="205"/>
        <v/>
      </c>
      <c r="FA58" s="196"/>
      <c r="FB58" s="84" t="e">
        <f>IF(AND(Include_study?="Yes",Sufficient_data="Yes",Moderator&lt;&gt;""),'Moderator Analysis'!E58,NA())</f>
        <v>#N/A</v>
      </c>
      <c r="FC58" s="39" t="e">
        <f>IF(AND(Include_study?="Yes",Sufficient_data="Yes",Moderator&lt;&gt;""),'Moderator Analysis'!F58,NA())</f>
        <v>#N/A</v>
      </c>
      <c r="FD58" s="39" t="str">
        <f t="shared" si="206"/>
        <v/>
      </c>
      <c r="FE58" s="39" t="str">
        <f t="shared" si="207"/>
        <v/>
      </c>
      <c r="FF58" s="39" t="str">
        <f>IF(AND(Include_study?="Yes",Sufficient_data="Yes",Moderator&lt;&gt;""),'Moderator Analysis'!F:F-FP$2,"")</f>
        <v/>
      </c>
      <c r="FG58" s="39" t="str">
        <f>IF(AND(Include_study?="Yes",Sufficient_data="Yes",Moderator&lt;&gt;""),'Moderator Analysis'!E:E-FP$3,"")</f>
        <v/>
      </c>
      <c r="FH58" s="74" t="str">
        <f>IF(AND(Include_study?="Yes",Sufficient_data="Yes",Moderator&lt;&gt;""),FE:FE*('Moderator Analysis'!F:F-FP$5-FP$4*'Moderator Analysis'!E:E)^2,"")</f>
        <v/>
      </c>
      <c r="FI58" s="128"/>
      <c r="FJ58" s="92" t="str">
        <f t="shared" si="208"/>
        <v/>
      </c>
      <c r="FK58" s="137" t="str">
        <f>IF(AND(Include_study?="Yes",Sufficient_data="Yes",Moderator&lt;&gt;""),'Moderator Analysis'!F:F-'Moderator Analysis'!J$37,"")</f>
        <v/>
      </c>
      <c r="FL58" s="137" t="str">
        <f>IF(AND(Include_study?="Yes",Sufficient_data="Yes",Moderator&lt;&gt;""),'Moderator Analysis'!E:E-SUMPRODUCT('Moderator Analysis'!E:E,FJ:FJ)/SUM(FJ:FJ),"")</f>
        <v/>
      </c>
      <c r="FM58" s="95" t="str">
        <f>IF(AND(Include_study?="Yes",Sufficient_data="Yes",Moderator&lt;&gt;""),FJ:FJ*('Moderator Analysis'!F:F-'Moderator Analysis'!J$29-'Moderator Analysis'!J$30*'Moderator Analysis'!E:E)^2,"")</f>
        <v/>
      </c>
      <c r="FR58" s="196"/>
      <c r="FS58" s="182"/>
      <c r="FT5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8" s="39" t="str">
        <f>IF(AND(Include_study?="Yes",Sufficient_data="Yes"),1/('Publication Bias Analysis'!F:F^2+IF(Additional_model="Fixed effect",0,Calculations!GH$12)),"")</f>
        <v/>
      </c>
      <c r="FV58" s="39" t="str">
        <f>IF(AND(Include_study?="Yes",Sufficient_data="Yes"),1/('Publication Bias Analysis'!F:F^2+IF(Additional_model="Fixed effect",0,'Publication Bias Analysis'!L$32)),"")</f>
        <v/>
      </c>
      <c r="FW58" s="39" t="str">
        <f>IF(AND(Include_study?="Yes",Sufficient_data="Yes"),'Publication Bias Analysis'!E:E-'Publication Bias Analysis'!I$37,"")</f>
        <v/>
      </c>
      <c r="FX58" s="39" t="str">
        <f>IF(AND(Include_study?="Yes",Sufficient_data="Yes"),IF(Additional_model="Fixed effect",1/'Publication Bias Analysis'!F:F,1/SQRT('Publication Bias Analysis'!F:F^2+GH$12)),"")</f>
        <v/>
      </c>
      <c r="FY5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8" s="136" t="str">
        <f t="shared" si="209"/>
        <v/>
      </c>
      <c r="GA58" s="144" t="str">
        <f>IF(AND(Include_study?="Yes",Sufficient_data="Yes"),FZ:FZ+IF(GL:GL&lt;0,-1,1)*COUNTIF(FZ$2:FZ57,FZ:FZ),"")</f>
        <v/>
      </c>
      <c r="GB58" s="144" t="str">
        <f>IF(AND(Include_study?="Yes",Sufficient_data="Yes"),RANK(GP:GP,GP:GP,1)*IF(GO:GO&lt;0,-1,1)+IF(GO:GO&lt;0,-1,1)*COUNTIF(FZ$2:FZ57,FZ:FZ),"")</f>
        <v/>
      </c>
      <c r="GC58" s="144" t="str">
        <f>IF(AND(Include_study?="Yes",Sufficient_data="Yes"),RANK(GS:GS,GS:GS,1)*IF(GR:GR&lt;0,-1,1)+IF(GR:GR&lt;0,-1,1)*COUNTIF(FZ$2:FZ57,FZ:FZ),"")</f>
        <v/>
      </c>
      <c r="GD58" s="39" t="e">
        <f>IF(AND(Include_study?="Yes",Sufficient_data="Yes"),'Publication Bias Analysis'!E58,NA())</f>
        <v>#N/A</v>
      </c>
      <c r="GE58" s="74" t="e">
        <f>IF(AND(Include_study?="Yes",Sufficient_data="Yes"),'Publication Bias Analysis'!F58,NA())</f>
        <v>#N/A</v>
      </c>
      <c r="GK58" s="176"/>
      <c r="GL5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8" s="39" t="str">
        <f t="shared" si="210"/>
        <v/>
      </c>
      <c r="GN5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8" s="39" t="str">
        <f>IF(AND(Include_study?="Yes",Sufficient_data="Yes"),IF('Publication Bias Analysis'!L$38="Left",'Publication Bias Analysis'!E:E-GW$3,GW$3-'Publication Bias Analysis'!E:E),"")</f>
        <v/>
      </c>
      <c r="GP58" s="39" t="str">
        <f t="shared" si="242"/>
        <v/>
      </c>
      <c r="GQ5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8" s="39" t="str">
        <f>IF(AND(Include_study?="Yes",Sufficient_data="Yes"),IF('Publication Bias Analysis'!L$38="Left",'Publication Bias Analysis'!E:E-GW$10,GW$10-'Publication Bias Analysis'!E:E),"")</f>
        <v/>
      </c>
      <c r="GS58" s="39" t="str">
        <f t="shared" si="243"/>
        <v/>
      </c>
      <c r="GT5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8" s="176"/>
      <c r="HL58" s="69" t="str">
        <f t="shared" si="89"/>
        <v/>
      </c>
      <c r="HM58" s="74" t="str">
        <f>IF(AND(Include_study?="Yes",Sufficient_data="Yes"),Z_score-('Publication Bias Analysis'!P$3+'Publication Bias Analysis'!P$4*Inverse_standard_error),"")</f>
        <v/>
      </c>
      <c r="HO58" s="176"/>
      <c r="HP58" s="69" t="str">
        <f>IF(AND(Include_study?="Yes",Sufficient_data="Yes"),(GD:GD-SUMPRODUCT(Calculations!FT:FT,'Publication Bias Analysis'!E:E)/SUM(Calculations!FT:FT))/SQRT(Calculations!HQ:HQ),"")</f>
        <v/>
      </c>
      <c r="HQ58" s="69" t="str">
        <f>IF(AND(Include_study?="Yes",Sufficient_data="Yes"),GE:GE^2-1/SUM(Calculations!FT:FT),"")</f>
        <v/>
      </c>
      <c r="HR58" s="7" t="str">
        <f t="shared" si="240"/>
        <v/>
      </c>
      <c r="HS58" s="7" t="str">
        <f t="shared" si="241"/>
        <v/>
      </c>
      <c r="HT58" s="7" t="str">
        <f>IF(AND(Include_study?="Yes",Sufficient_data="Yes"),COUNTIFS(HR$2:HR57,"&lt;"&amp;HR58,HS$2:HS57,"&lt;"&amp;HS58)+COUNTIFS(HR59:HR$201,"&lt;"&amp;HR58,HS59:HS$201,"&lt;"&amp;HS58)+COUNTIFS(HR$2:HR57,"&gt;"&amp;HR58,HS$2:HS57,"&gt;"&amp;HS58)+COUNTIFS(HR59:HR$201,"&gt;"&amp;HR58,HS59:HS$201,"&gt;"&amp;HS58),"")</f>
        <v/>
      </c>
      <c r="HU58" s="104" t="str">
        <f>IF(AND(Include_study?="Yes",Sufficient_data="Yes"),COUNTIFS(HR$2:HR57,"&lt;"&amp;HR58,HS$2:HS57,"&gt;"&amp;HS58)+COUNTIFS(HR59:HR$201,"&lt;"&amp;HR58,HS59:HS$201,"&gt;"&amp;HS58)+COUNTIFS(HR$2:HR57,"&gt;"&amp;HR58,HS$2:HS57,"&lt;"&amp;HS58)+COUNTIFS(HR59:HR$201,"&gt;"&amp;HR58,HS59:HS$201,"&lt;"&amp;HS58),"")</f>
        <v/>
      </c>
      <c r="HW58" s="176"/>
      <c r="IB58" s="176"/>
      <c r="IC58" s="146" t="e">
        <f t="shared" si="215"/>
        <v>#N/A</v>
      </c>
      <c r="ID58" s="137" t="e">
        <f t="shared" si="216"/>
        <v>#N/A</v>
      </c>
      <c r="IE58" s="137" t="str">
        <f t="shared" si="217"/>
        <v/>
      </c>
      <c r="IF58" s="95" t="str">
        <f t="shared" si="218"/>
        <v/>
      </c>
      <c r="IK58" s="176"/>
      <c r="IL58" s="69" t="e">
        <f>IF(AND(Include_study?="Yes",Sufficient_data="Yes"),'Publication Bias Analysis'!AV:AV,NA())</f>
        <v>#N/A</v>
      </c>
      <c r="IM58" s="158" t="e">
        <f>IF(AND(Sufficient_data="Yes",Include_study?="Yes"),'Publication Bias Analysis'!AU:AU,NA())</f>
        <v>#N/A</v>
      </c>
      <c r="IN58" s="69" t="str">
        <f t="shared" si="219"/>
        <v/>
      </c>
      <c r="IO58" s="74" t="str">
        <f>IF(AND(Include_study?="Yes",Sufficient_data="Yes"),Z_score-('Publication Bias Analysis'!AY$30+'Publication Bias Analysis'!AY$31*Inverse_standard_error),"")</f>
        <v/>
      </c>
      <c r="IU58" s="176"/>
      <c r="IV58" s="7" t="str">
        <f>IF('Publication Bias Analysis'!BG:BG&lt;&gt;"",RANK('Publication Bias Analysis'!BG:BG,'Publication Bias Analysis'!BG:BG,1)+COUNTIF('Publication Bias Analysis'!BG$2:BG57,'Publication Bias Analysis'!BG58),"")</f>
        <v/>
      </c>
      <c r="IW58" s="124" t="str">
        <f t="shared" si="220"/>
        <v/>
      </c>
      <c r="IX58" s="125" t="e">
        <f>IF('Publication Bias Analysis'!BF58&lt;&gt;"",'Publication Bias Analysis'!BF58,NA())</f>
        <v>#N/A</v>
      </c>
      <c r="IY58" s="125" t="e">
        <f>IF('Publication Bias Analysis'!BG58&lt;&gt;"",'Publication Bias Analysis'!BG58,NA())</f>
        <v>#N/A</v>
      </c>
      <c r="IZ58" s="69" t="str">
        <f>IF(AND(Include_study?="Yes",Sufficient_data="Yes"),'Publication Bias Analysis'!BF:BF-AVERAGE('Publication Bias Analysis'!BF:BF),"")</f>
        <v/>
      </c>
      <c r="JA58" s="74" t="str">
        <f>IF(AND(Include_study?="Yes",Sufficient_data="Yes"),'Publication Bias Analysis'!BG:BG-('Publication Bias Analysis'!BJ$30+'Publication Bias Analysis'!BJ$31*'Publication Bias Analysis'!BF:BF),"")</f>
        <v/>
      </c>
      <c r="JG58" s="176"/>
      <c r="JH58" s="39" t="str">
        <f t="shared" si="221"/>
        <v/>
      </c>
      <c r="JI58" s="148" t="str">
        <f t="shared" si="124"/>
        <v/>
      </c>
      <c r="JJ58" s="74" t="str">
        <f t="shared" si="125"/>
        <v/>
      </c>
    </row>
    <row r="59" spans="1:270" x14ac:dyDescent="0.2">
      <c r="A59" s="56" t="str">
        <f t="shared" si="126"/>
        <v/>
      </c>
      <c r="B59" s="7" t="str">
        <f>IF(AND(Include_study?="Yes",Sufficient_data="Yes"),IF(Input!a_&lt;&gt;"",Input!a_,Input!n1_-Input!b_),"")</f>
        <v/>
      </c>
      <c r="C59" s="7" t="str">
        <f>IF(AND(Include_study?="Yes",Sufficient_data="Yes"),IF(Input!b_&lt;&gt;"",Input!b_,Input!n1_-Input!a_),"")</f>
        <v/>
      </c>
      <c r="D59" s="7" t="str">
        <f>IF(AND(Include_study?="Yes",Sufficient_data="Yes"),IF(Input!c_&lt;&gt;"",Input!c_,Input!n2_-Input!d_),"")</f>
        <v/>
      </c>
      <c r="E59" s="7" t="str">
        <f>IF(AND(Include_study?="Yes",Sufficient_data="Yes"),IF(Input!d_&lt;&gt;"",Input!d_,Input!n2_-Input!c_),"")</f>
        <v/>
      </c>
      <c r="F59" s="74" t="str">
        <f t="shared" si="127"/>
        <v/>
      </c>
      <c r="H59" s="196"/>
      <c r="I59" s="182"/>
      <c r="J59" s="146" t="str">
        <f t="shared" si="2"/>
        <v/>
      </c>
      <c r="K59" s="39" t="str">
        <f t="shared" si="128"/>
        <v/>
      </c>
      <c r="L59" s="39" t="str">
        <f t="shared" si="129"/>
        <v/>
      </c>
      <c r="M59" s="39" t="str">
        <f t="shared" si="130"/>
        <v/>
      </c>
      <c r="N59" s="74" t="str">
        <f t="shared" si="131"/>
        <v/>
      </c>
      <c r="P59" s="176"/>
      <c r="Q59" s="130" t="str">
        <f t="shared" si="132"/>
        <v/>
      </c>
      <c r="R59" s="39" t="str">
        <f t="shared" si="133"/>
        <v/>
      </c>
      <c r="S59" s="39" t="str">
        <f t="shared" si="134"/>
        <v/>
      </c>
      <c r="T59" s="74" t="str">
        <f t="shared" si="135"/>
        <v/>
      </c>
      <c r="V59" s="176"/>
      <c r="W59" s="130" t="str">
        <f t="shared" si="136"/>
        <v/>
      </c>
      <c r="X59" s="39" t="str">
        <f t="shared" si="137"/>
        <v/>
      </c>
      <c r="Y59" s="39" t="str">
        <f t="shared" si="138"/>
        <v/>
      </c>
      <c r="Z59" s="74" t="str">
        <f t="shared" si="139"/>
        <v/>
      </c>
      <c r="AB59" s="176"/>
      <c r="AC59" s="130" t="str">
        <f t="shared" si="140"/>
        <v/>
      </c>
      <c r="AD59" s="39" t="str">
        <f t="shared" si="141"/>
        <v/>
      </c>
      <c r="AE59" s="39" t="str">
        <f t="shared" si="142"/>
        <v/>
      </c>
      <c r="AF59" s="39" t="str">
        <f t="shared" si="143"/>
        <v/>
      </c>
      <c r="AG59" s="74" t="str">
        <f t="shared" si="144"/>
        <v/>
      </c>
      <c r="AI59" s="196"/>
      <c r="AJ5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59" s="136" t="str">
        <f>IF(AJ59&lt;&gt;"",IF(AJ59=0,COUNTIF(AJ$2:AJ58,0)+1,COUNTIF(AJ$2:AJ58,AJ59)+AJ59+COUNTIF(AJ:AJ,0)),"")</f>
        <v/>
      </c>
      <c r="AL59" s="136" t="str">
        <f t="shared" si="20"/>
        <v/>
      </c>
      <c r="AM59" s="155" t="str">
        <f>IF(AND(Include_study?="Yes",Sufficient_data="Yes",Input!Study_name&lt;&gt;""),Input!Study_name,"")</f>
        <v/>
      </c>
      <c r="AN59" s="136" t="str">
        <f t="shared" si="21"/>
        <v/>
      </c>
      <c r="AO59" s="19" t="str">
        <f t="shared" si="145"/>
        <v/>
      </c>
      <c r="AP59" s="158" t="str">
        <f t="shared" si="146"/>
        <v/>
      </c>
      <c r="AQ59" s="158" t="str">
        <f t="shared" si="147"/>
        <v/>
      </c>
      <c r="AR59" s="39" t="str">
        <f t="shared" si="148"/>
        <v/>
      </c>
      <c r="AS59" s="158" t="str">
        <f t="shared" si="149"/>
        <v/>
      </c>
      <c r="AT59" s="39" t="str">
        <f t="shared" si="150"/>
        <v/>
      </c>
      <c r="AU59" s="172" t="str">
        <f t="shared" si="151"/>
        <v/>
      </c>
      <c r="AV59" s="45"/>
      <c r="AW59" s="84" t="e">
        <f t="shared" si="152"/>
        <v>#N/A</v>
      </c>
      <c r="AX59" s="69" t="e">
        <f t="shared" si="153"/>
        <v>#N/A</v>
      </c>
      <c r="AY59" s="74" t="e">
        <f t="shared" si="154"/>
        <v>#N/A</v>
      </c>
      <c r="AZ59" s="45"/>
      <c r="BA59" s="45"/>
      <c r="BB59" s="45"/>
      <c r="BC59" s="45"/>
      <c r="BD59" s="196"/>
      <c r="BE59" s="182"/>
      <c r="BF59" s="69" t="str">
        <f t="shared" si="155"/>
        <v/>
      </c>
      <c r="BG59" s="69" t="str">
        <f t="shared" si="156"/>
        <v/>
      </c>
      <c r="BH59" s="69" t="str">
        <f t="shared" si="157"/>
        <v/>
      </c>
      <c r="BI59" s="39" t="str">
        <f t="shared" si="158"/>
        <v/>
      </c>
      <c r="BJ59" s="95" t="str">
        <f t="shared" si="159"/>
        <v/>
      </c>
      <c r="BO59" s="176"/>
      <c r="BP59" s="158" t="str">
        <f t="shared" si="160"/>
        <v/>
      </c>
      <c r="BQ59" s="158" t="str">
        <f t="shared" si="161"/>
        <v/>
      </c>
      <c r="BR59" s="158" t="str">
        <f t="shared" si="162"/>
        <v/>
      </c>
      <c r="BS59" s="158" t="str">
        <f>IF(AND(Sufficient_data="Yes",Include_study?="Yes"),IF(Add_0_5="Yes",(a_+d_+1)*(ab_+0.5)*(c_+0.5)/(Number_of_subjects+2)^2,(a_+d_)*b_*c_/Number_of_subjects^2),"")</f>
        <v/>
      </c>
      <c r="BT59" s="158" t="str">
        <f t="shared" si="163"/>
        <v/>
      </c>
      <c r="BU59" s="158" t="str">
        <f t="shared" si="164"/>
        <v/>
      </c>
      <c r="BV59" s="158" t="str">
        <f t="shared" si="165"/>
        <v/>
      </c>
      <c r="BW59" s="69" t="str">
        <f t="shared" si="166"/>
        <v/>
      </c>
      <c r="BX59" s="137" t="str">
        <f t="shared" si="167"/>
        <v/>
      </c>
      <c r="BY59" s="95" t="str">
        <f t="shared" si="168"/>
        <v/>
      </c>
      <c r="CD59" s="176"/>
      <c r="CE59" s="130" t="str">
        <f t="shared" si="169"/>
        <v/>
      </c>
      <c r="CF59" s="39" t="str">
        <f t="shared" si="170"/>
        <v/>
      </c>
      <c r="CG59" s="39" t="str">
        <f t="shared" si="171"/>
        <v/>
      </c>
      <c r="CH59" s="39" t="str">
        <f t="shared" si="172"/>
        <v/>
      </c>
      <c r="CI59" s="39" t="str">
        <f t="shared" si="173"/>
        <v/>
      </c>
      <c r="CJ59" s="39" t="str">
        <f t="shared" si="50"/>
        <v/>
      </c>
      <c r="CK59" s="95" t="str">
        <f t="shared" si="174"/>
        <v/>
      </c>
      <c r="CP59" s="176"/>
      <c r="CQ59" s="99" t="str">
        <f t="shared" si="175"/>
        <v/>
      </c>
      <c r="CX59" s="196"/>
      <c r="CY59" s="89" t="e">
        <f t="shared" si="176"/>
        <v>#N/A</v>
      </c>
      <c r="CZ59" s="136" t="str">
        <f t="shared" si="177"/>
        <v/>
      </c>
      <c r="DA59" s="140" t="str">
        <f t="shared" si="178"/>
        <v/>
      </c>
      <c r="DB59" s="39" t="str">
        <f t="shared" si="179"/>
        <v/>
      </c>
      <c r="DC59" s="39" t="str">
        <f t="shared" si="180"/>
        <v/>
      </c>
      <c r="DD59" s="39" t="str">
        <f t="shared" si="181"/>
        <v/>
      </c>
      <c r="DE59" s="39" t="str">
        <f t="shared" si="182"/>
        <v/>
      </c>
      <c r="DF59" s="141" t="str">
        <f t="shared" si="183"/>
        <v/>
      </c>
      <c r="DG59" s="39" t="str">
        <f t="shared" si="184"/>
        <v/>
      </c>
      <c r="DH59" s="39" t="str">
        <f t="shared" si="185"/>
        <v/>
      </c>
      <c r="DI59" s="39" t="str">
        <f t="shared" si="186"/>
        <v/>
      </c>
      <c r="DJ59" s="74" t="str">
        <f t="shared" si="187"/>
        <v/>
      </c>
      <c r="DK59" s="45"/>
      <c r="DL59" s="84" t="e">
        <f t="shared" si="222"/>
        <v>#N/A</v>
      </c>
      <c r="DM59" s="39" t="e">
        <f t="shared" si="189"/>
        <v>#N/A</v>
      </c>
      <c r="DN59" s="74" t="e">
        <f t="shared" si="190"/>
        <v>#N/A</v>
      </c>
      <c r="DO59" s="45"/>
      <c r="DP59" s="89" t="str">
        <f t="shared" si="102"/>
        <v/>
      </c>
      <c r="DQ59" s="26" t="str">
        <f>IF(AND(Sufficient_data="Yes",Subgroup&lt;&gt;""),IF(COUNTIFS(Input!J$2:J58,"="&amp;"Yes",Input!C$2:C58,"="&amp;"Yes",Input!K$2:K58,"="&amp;Subgroup)&gt;0,"",Subgroup),"")</f>
        <v/>
      </c>
      <c r="DR59" s="7" t="str">
        <f t="shared" si="103"/>
        <v/>
      </c>
      <c r="DS59" s="7" t="str">
        <f t="shared" si="191"/>
        <v/>
      </c>
      <c r="DT59" s="19" t="str">
        <f t="shared" si="192"/>
        <v/>
      </c>
      <c r="DU59" s="12" t="str">
        <f t="shared" si="223"/>
        <v/>
      </c>
      <c r="DV59" s="11" t="str">
        <f t="shared" si="224"/>
        <v/>
      </c>
      <c r="DW59" s="12" t="str">
        <f t="shared" si="225"/>
        <v/>
      </c>
      <c r="DX59" s="12" t="str">
        <f t="shared" si="194"/>
        <v/>
      </c>
      <c r="DY59" s="19" t="str">
        <f t="shared" si="226"/>
        <v/>
      </c>
      <c r="DZ59" s="12" t="str">
        <f t="shared" si="227"/>
        <v/>
      </c>
      <c r="EA59" s="19" t="str">
        <f t="shared" si="196"/>
        <v/>
      </c>
      <c r="EB59" s="7" t="str">
        <f t="shared" si="197"/>
        <v/>
      </c>
      <c r="EC59" s="19" t="str">
        <f t="shared" si="198"/>
        <v/>
      </c>
      <c r="ED59" s="19" t="str">
        <f t="shared" si="199"/>
        <v/>
      </c>
      <c r="EE59" s="19" t="str">
        <f t="shared" si="228"/>
        <v/>
      </c>
      <c r="EF59" s="19" t="str">
        <f t="shared" si="229"/>
        <v/>
      </c>
      <c r="EG59" s="19" t="str">
        <f t="shared" si="230"/>
        <v/>
      </c>
      <c r="EH59" s="19" t="str">
        <f t="shared" si="231"/>
        <v/>
      </c>
      <c r="EI59" s="19" t="str">
        <f t="shared" si="232"/>
        <v/>
      </c>
      <c r="EJ59" s="19" t="str">
        <f t="shared" si="200"/>
        <v/>
      </c>
      <c r="EK59" s="19" t="str">
        <f t="shared" si="201"/>
        <v/>
      </c>
      <c r="EL59" s="19" t="str">
        <f t="shared" si="233"/>
        <v/>
      </c>
      <c r="EM59" s="19" t="str">
        <f t="shared" si="234"/>
        <v/>
      </c>
      <c r="EN59" s="19" t="str">
        <f t="shared" si="235"/>
        <v/>
      </c>
      <c r="EO59" s="19" t="str">
        <f t="shared" si="236"/>
        <v/>
      </c>
      <c r="EP59" s="19" t="str">
        <f t="shared" si="237"/>
        <v/>
      </c>
      <c r="EQ59" s="19" t="e">
        <f t="shared" si="238"/>
        <v>#N/A</v>
      </c>
      <c r="ER59" s="11" t="str">
        <f t="shared" si="120"/>
        <v/>
      </c>
      <c r="ES59" s="19" t="str">
        <f t="shared" si="121"/>
        <v/>
      </c>
      <c r="ET59" s="156" t="str">
        <f t="shared" si="203"/>
        <v/>
      </c>
      <c r="EU59" s="39" t="str">
        <f t="shared" si="239"/>
        <v/>
      </c>
      <c r="EV59" s="74" t="str">
        <f t="shared" si="205"/>
        <v/>
      </c>
      <c r="FA59" s="196"/>
      <c r="FB59" s="84" t="e">
        <f>IF(AND(Include_study?="Yes",Sufficient_data="Yes",Moderator&lt;&gt;""),'Moderator Analysis'!E59,NA())</f>
        <v>#N/A</v>
      </c>
      <c r="FC59" s="39" t="e">
        <f>IF(AND(Include_study?="Yes",Sufficient_data="Yes",Moderator&lt;&gt;""),'Moderator Analysis'!F59,NA())</f>
        <v>#N/A</v>
      </c>
      <c r="FD59" s="39" t="str">
        <f t="shared" si="206"/>
        <v/>
      </c>
      <c r="FE59" s="39" t="str">
        <f t="shared" si="207"/>
        <v/>
      </c>
      <c r="FF59" s="39" t="str">
        <f>IF(AND(Include_study?="Yes",Sufficient_data="Yes",Moderator&lt;&gt;""),'Moderator Analysis'!F:F-FP$2,"")</f>
        <v/>
      </c>
      <c r="FG59" s="39" t="str">
        <f>IF(AND(Include_study?="Yes",Sufficient_data="Yes",Moderator&lt;&gt;""),'Moderator Analysis'!E:E-FP$3,"")</f>
        <v/>
      </c>
      <c r="FH59" s="74" t="str">
        <f>IF(AND(Include_study?="Yes",Sufficient_data="Yes",Moderator&lt;&gt;""),FE:FE*('Moderator Analysis'!F:F-FP$5-FP$4*'Moderator Analysis'!E:E)^2,"")</f>
        <v/>
      </c>
      <c r="FI59" s="128"/>
      <c r="FJ59" s="92" t="str">
        <f t="shared" si="208"/>
        <v/>
      </c>
      <c r="FK59" s="137" t="str">
        <f>IF(AND(Include_study?="Yes",Sufficient_data="Yes",Moderator&lt;&gt;""),'Moderator Analysis'!F:F-'Moderator Analysis'!J$37,"")</f>
        <v/>
      </c>
      <c r="FL59" s="137" t="str">
        <f>IF(AND(Include_study?="Yes",Sufficient_data="Yes",Moderator&lt;&gt;""),'Moderator Analysis'!E:E-SUMPRODUCT('Moderator Analysis'!E:E,FJ:FJ)/SUM(FJ:FJ),"")</f>
        <v/>
      </c>
      <c r="FM59" s="95" t="str">
        <f>IF(AND(Include_study?="Yes",Sufficient_data="Yes",Moderator&lt;&gt;""),FJ:FJ*('Moderator Analysis'!F:F-'Moderator Analysis'!J$29-'Moderator Analysis'!J$30*'Moderator Analysis'!E:E)^2,"")</f>
        <v/>
      </c>
      <c r="FR59" s="196"/>
      <c r="FS59" s="182"/>
      <c r="FT5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59" s="39" t="str">
        <f>IF(AND(Include_study?="Yes",Sufficient_data="Yes"),1/('Publication Bias Analysis'!F:F^2+IF(Additional_model="Fixed effect",0,Calculations!GH$12)),"")</f>
        <v/>
      </c>
      <c r="FV59" s="39" t="str">
        <f>IF(AND(Include_study?="Yes",Sufficient_data="Yes"),1/('Publication Bias Analysis'!F:F^2+IF(Additional_model="Fixed effect",0,'Publication Bias Analysis'!L$32)),"")</f>
        <v/>
      </c>
      <c r="FW59" s="39" t="str">
        <f>IF(AND(Include_study?="Yes",Sufficient_data="Yes"),'Publication Bias Analysis'!E:E-'Publication Bias Analysis'!I$37,"")</f>
        <v/>
      </c>
      <c r="FX59" s="39" t="str">
        <f>IF(AND(Include_study?="Yes",Sufficient_data="Yes"),IF(Additional_model="Fixed effect",1/'Publication Bias Analysis'!F:F,1/SQRT('Publication Bias Analysis'!F:F^2+GH$12)),"")</f>
        <v/>
      </c>
      <c r="FY5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59" s="136" t="str">
        <f t="shared" si="209"/>
        <v/>
      </c>
      <c r="GA59" s="144" t="str">
        <f>IF(AND(Include_study?="Yes",Sufficient_data="Yes"),FZ:FZ+IF(GL:GL&lt;0,-1,1)*COUNTIF(FZ$2:FZ58,FZ:FZ),"")</f>
        <v/>
      </c>
      <c r="GB59" s="144" t="str">
        <f>IF(AND(Include_study?="Yes",Sufficient_data="Yes"),RANK(GP:GP,GP:GP,1)*IF(GO:GO&lt;0,-1,1)+IF(GO:GO&lt;0,-1,1)*COUNTIF(FZ$2:FZ58,FZ:FZ),"")</f>
        <v/>
      </c>
      <c r="GC59" s="144" t="str">
        <f>IF(AND(Include_study?="Yes",Sufficient_data="Yes"),RANK(GS:GS,GS:GS,1)*IF(GR:GR&lt;0,-1,1)+IF(GR:GR&lt;0,-1,1)*COUNTIF(FZ$2:FZ58,FZ:FZ),"")</f>
        <v/>
      </c>
      <c r="GD59" s="39" t="e">
        <f>IF(AND(Include_study?="Yes",Sufficient_data="Yes"),'Publication Bias Analysis'!E59,NA())</f>
        <v>#N/A</v>
      </c>
      <c r="GE59" s="74" t="e">
        <f>IF(AND(Include_study?="Yes",Sufficient_data="Yes"),'Publication Bias Analysis'!F59,NA())</f>
        <v>#N/A</v>
      </c>
      <c r="GK59" s="176"/>
      <c r="GL5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59" s="39" t="str">
        <f t="shared" si="210"/>
        <v/>
      </c>
      <c r="GN5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59" s="39" t="str">
        <f>IF(AND(Include_study?="Yes",Sufficient_data="Yes"),IF('Publication Bias Analysis'!L$38="Left",'Publication Bias Analysis'!E:E-GW$3,GW$3-'Publication Bias Analysis'!E:E),"")</f>
        <v/>
      </c>
      <c r="GP59" s="39" t="str">
        <f t="shared" si="242"/>
        <v/>
      </c>
      <c r="GQ5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59" s="39" t="str">
        <f>IF(AND(Include_study?="Yes",Sufficient_data="Yes"),IF('Publication Bias Analysis'!L$38="Left",'Publication Bias Analysis'!E:E-GW$10,GW$10-'Publication Bias Analysis'!E:E),"")</f>
        <v/>
      </c>
      <c r="GS59" s="39" t="str">
        <f t="shared" si="243"/>
        <v/>
      </c>
      <c r="GT5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59" s="176"/>
      <c r="HL59" s="69" t="str">
        <f t="shared" si="89"/>
        <v/>
      </c>
      <c r="HM59" s="74" t="str">
        <f>IF(AND(Include_study?="Yes",Sufficient_data="Yes"),Z_score-('Publication Bias Analysis'!P$3+'Publication Bias Analysis'!P$4*Inverse_standard_error),"")</f>
        <v/>
      </c>
      <c r="HO59" s="176"/>
      <c r="HP59" s="69" t="str">
        <f>IF(AND(Include_study?="Yes",Sufficient_data="Yes"),(GD:GD-SUMPRODUCT(Calculations!FT:FT,'Publication Bias Analysis'!E:E)/SUM(Calculations!FT:FT))/SQRT(Calculations!HQ:HQ),"")</f>
        <v/>
      </c>
      <c r="HQ59" s="69" t="str">
        <f>IF(AND(Include_study?="Yes",Sufficient_data="Yes"),GE:GE^2-1/SUM(Calculations!FT:FT),"")</f>
        <v/>
      </c>
      <c r="HR59" s="7" t="str">
        <f t="shared" si="240"/>
        <v/>
      </c>
      <c r="HS59" s="7" t="str">
        <f t="shared" si="241"/>
        <v/>
      </c>
      <c r="HT59" s="7" t="str">
        <f>IF(AND(Include_study?="Yes",Sufficient_data="Yes"),COUNTIFS(HR$2:HR58,"&lt;"&amp;HR59,HS$2:HS58,"&lt;"&amp;HS59)+COUNTIFS(HR60:HR$201,"&lt;"&amp;HR59,HS60:HS$201,"&lt;"&amp;HS59)+COUNTIFS(HR$2:HR58,"&gt;"&amp;HR59,HS$2:HS58,"&gt;"&amp;HS59)+COUNTIFS(HR60:HR$201,"&gt;"&amp;HR59,HS60:HS$201,"&gt;"&amp;HS59),"")</f>
        <v/>
      </c>
      <c r="HU59" s="104" t="str">
        <f>IF(AND(Include_study?="Yes",Sufficient_data="Yes"),COUNTIFS(HR$2:HR58,"&lt;"&amp;HR59,HS$2:HS58,"&gt;"&amp;HS59)+COUNTIFS(HR60:HR$201,"&lt;"&amp;HR59,HS60:HS$201,"&gt;"&amp;HS59)+COUNTIFS(HR$2:HR58,"&gt;"&amp;HR59,HS$2:HS58,"&lt;"&amp;HS59)+COUNTIFS(HR60:HR$201,"&gt;"&amp;HR59,HS60:HS$201,"&lt;"&amp;HS59),"")</f>
        <v/>
      </c>
      <c r="HW59" s="176"/>
      <c r="IB59" s="176"/>
      <c r="IC59" s="146" t="e">
        <f t="shared" si="215"/>
        <v>#N/A</v>
      </c>
      <c r="ID59" s="137" t="e">
        <f t="shared" si="216"/>
        <v>#N/A</v>
      </c>
      <c r="IE59" s="137" t="str">
        <f t="shared" si="217"/>
        <v/>
      </c>
      <c r="IF59" s="95" t="str">
        <f t="shared" si="218"/>
        <v/>
      </c>
      <c r="IK59" s="176"/>
      <c r="IL59" s="69" t="e">
        <f>IF(AND(Include_study?="Yes",Sufficient_data="Yes"),'Publication Bias Analysis'!AV:AV,NA())</f>
        <v>#N/A</v>
      </c>
      <c r="IM59" s="158" t="e">
        <f>IF(AND(Sufficient_data="Yes",Include_study?="Yes"),'Publication Bias Analysis'!AU:AU,NA())</f>
        <v>#N/A</v>
      </c>
      <c r="IN59" s="69" t="str">
        <f t="shared" si="219"/>
        <v/>
      </c>
      <c r="IO59" s="74" t="str">
        <f>IF(AND(Include_study?="Yes",Sufficient_data="Yes"),Z_score-('Publication Bias Analysis'!AY$30+'Publication Bias Analysis'!AY$31*Inverse_standard_error),"")</f>
        <v/>
      </c>
      <c r="IU59" s="176"/>
      <c r="IV59" s="7" t="str">
        <f>IF('Publication Bias Analysis'!BG:BG&lt;&gt;"",RANK('Publication Bias Analysis'!BG:BG,'Publication Bias Analysis'!BG:BG,1)+COUNTIF('Publication Bias Analysis'!BG$2:BG58,'Publication Bias Analysis'!BG59),"")</f>
        <v/>
      </c>
      <c r="IW59" s="124" t="str">
        <f t="shared" si="220"/>
        <v/>
      </c>
      <c r="IX59" s="125" t="e">
        <f>IF('Publication Bias Analysis'!BF59&lt;&gt;"",'Publication Bias Analysis'!BF59,NA())</f>
        <v>#N/A</v>
      </c>
      <c r="IY59" s="125" t="e">
        <f>IF('Publication Bias Analysis'!BG59&lt;&gt;"",'Publication Bias Analysis'!BG59,NA())</f>
        <v>#N/A</v>
      </c>
      <c r="IZ59" s="69" t="str">
        <f>IF(AND(Include_study?="Yes",Sufficient_data="Yes"),'Publication Bias Analysis'!BF:BF-AVERAGE('Publication Bias Analysis'!BF:BF),"")</f>
        <v/>
      </c>
      <c r="JA59" s="74" t="str">
        <f>IF(AND(Include_study?="Yes",Sufficient_data="Yes"),'Publication Bias Analysis'!BG:BG-('Publication Bias Analysis'!BJ$30+'Publication Bias Analysis'!BJ$31*'Publication Bias Analysis'!BF:BF),"")</f>
        <v/>
      </c>
      <c r="JG59" s="176"/>
      <c r="JH59" s="39" t="str">
        <f t="shared" si="221"/>
        <v/>
      </c>
      <c r="JI59" s="148" t="str">
        <f t="shared" si="124"/>
        <v/>
      </c>
      <c r="JJ59" s="74" t="str">
        <f t="shared" si="125"/>
        <v/>
      </c>
    </row>
    <row r="60" spans="1:270" x14ac:dyDescent="0.2">
      <c r="A60" s="56" t="str">
        <f t="shared" si="126"/>
        <v/>
      </c>
      <c r="B60" s="7" t="str">
        <f>IF(AND(Include_study?="Yes",Sufficient_data="Yes"),IF(Input!a_&lt;&gt;"",Input!a_,Input!n1_-Input!b_),"")</f>
        <v/>
      </c>
      <c r="C60" s="7" t="str">
        <f>IF(AND(Include_study?="Yes",Sufficient_data="Yes"),IF(Input!b_&lt;&gt;"",Input!b_,Input!n1_-Input!a_),"")</f>
        <v/>
      </c>
      <c r="D60" s="7" t="str">
        <f>IF(AND(Include_study?="Yes",Sufficient_data="Yes"),IF(Input!c_&lt;&gt;"",Input!c_,Input!n2_-Input!d_),"")</f>
        <v/>
      </c>
      <c r="E60" s="7" t="str">
        <f>IF(AND(Include_study?="Yes",Sufficient_data="Yes"),IF(Input!d_&lt;&gt;"",Input!d_,Input!n2_-Input!c_),"")</f>
        <v/>
      </c>
      <c r="F60" s="74" t="str">
        <f t="shared" si="127"/>
        <v/>
      </c>
      <c r="H60" s="196"/>
      <c r="I60" s="182"/>
      <c r="J60" s="146" t="str">
        <f t="shared" si="2"/>
        <v/>
      </c>
      <c r="K60" s="39" t="str">
        <f t="shared" si="128"/>
        <v/>
      </c>
      <c r="L60" s="39" t="str">
        <f t="shared" si="129"/>
        <v/>
      </c>
      <c r="M60" s="39" t="str">
        <f t="shared" si="130"/>
        <v/>
      </c>
      <c r="N60" s="74" t="str">
        <f t="shared" si="131"/>
        <v/>
      </c>
      <c r="P60" s="176"/>
      <c r="Q60" s="130" t="str">
        <f t="shared" si="132"/>
        <v/>
      </c>
      <c r="R60" s="39" t="str">
        <f t="shared" si="133"/>
        <v/>
      </c>
      <c r="S60" s="39" t="str">
        <f t="shared" si="134"/>
        <v/>
      </c>
      <c r="T60" s="74" t="str">
        <f t="shared" si="135"/>
        <v/>
      </c>
      <c r="V60" s="176"/>
      <c r="W60" s="130" t="str">
        <f t="shared" si="136"/>
        <v/>
      </c>
      <c r="X60" s="39" t="str">
        <f t="shared" si="137"/>
        <v/>
      </c>
      <c r="Y60" s="39" t="str">
        <f t="shared" si="138"/>
        <v/>
      </c>
      <c r="Z60" s="74" t="str">
        <f t="shared" si="139"/>
        <v/>
      </c>
      <c r="AB60" s="176"/>
      <c r="AC60" s="130" t="str">
        <f t="shared" si="140"/>
        <v/>
      </c>
      <c r="AD60" s="39" t="str">
        <f t="shared" si="141"/>
        <v/>
      </c>
      <c r="AE60" s="39" t="str">
        <f t="shared" si="142"/>
        <v/>
      </c>
      <c r="AF60" s="39" t="str">
        <f t="shared" si="143"/>
        <v/>
      </c>
      <c r="AG60" s="74" t="str">
        <f t="shared" si="144"/>
        <v/>
      </c>
      <c r="AI60" s="196"/>
      <c r="AJ6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0" s="136" t="str">
        <f>IF(AJ60&lt;&gt;"",IF(AJ60=0,COUNTIF(AJ$2:AJ59,0)+1,COUNTIF(AJ$2:AJ59,AJ60)+AJ60+COUNTIF(AJ:AJ,0)),"")</f>
        <v/>
      </c>
      <c r="AL60" s="136" t="str">
        <f t="shared" si="20"/>
        <v/>
      </c>
      <c r="AM60" s="155" t="str">
        <f>IF(AND(Include_study?="Yes",Sufficient_data="Yes",Input!Study_name&lt;&gt;""),Input!Study_name,"")</f>
        <v/>
      </c>
      <c r="AN60" s="136" t="str">
        <f t="shared" si="21"/>
        <v/>
      </c>
      <c r="AO60" s="19" t="str">
        <f t="shared" si="145"/>
        <v/>
      </c>
      <c r="AP60" s="158" t="str">
        <f t="shared" si="146"/>
        <v/>
      </c>
      <c r="AQ60" s="158" t="str">
        <f t="shared" si="147"/>
        <v/>
      </c>
      <c r="AR60" s="39" t="str">
        <f t="shared" si="148"/>
        <v/>
      </c>
      <c r="AS60" s="158" t="str">
        <f t="shared" si="149"/>
        <v/>
      </c>
      <c r="AT60" s="39" t="str">
        <f t="shared" si="150"/>
        <v/>
      </c>
      <c r="AU60" s="172" t="str">
        <f t="shared" si="151"/>
        <v/>
      </c>
      <c r="AV60" s="45"/>
      <c r="AW60" s="84" t="e">
        <f t="shared" si="152"/>
        <v>#N/A</v>
      </c>
      <c r="AX60" s="69" t="e">
        <f t="shared" si="153"/>
        <v>#N/A</v>
      </c>
      <c r="AY60" s="74" t="e">
        <f t="shared" si="154"/>
        <v>#N/A</v>
      </c>
      <c r="AZ60" s="45"/>
      <c r="BA60" s="45"/>
      <c r="BB60" s="45"/>
      <c r="BC60" s="45"/>
      <c r="BD60" s="196"/>
      <c r="BE60" s="182"/>
      <c r="BF60" s="69" t="str">
        <f t="shared" si="155"/>
        <v/>
      </c>
      <c r="BG60" s="69" t="str">
        <f t="shared" si="156"/>
        <v/>
      </c>
      <c r="BH60" s="69" t="str">
        <f t="shared" si="157"/>
        <v/>
      </c>
      <c r="BI60" s="39" t="str">
        <f t="shared" si="158"/>
        <v/>
      </c>
      <c r="BJ60" s="95" t="str">
        <f t="shared" si="159"/>
        <v/>
      </c>
      <c r="BO60" s="176"/>
      <c r="BP60" s="158" t="str">
        <f t="shared" si="160"/>
        <v/>
      </c>
      <c r="BQ60" s="158" t="str">
        <f t="shared" si="161"/>
        <v/>
      </c>
      <c r="BR60" s="158" t="str">
        <f t="shared" si="162"/>
        <v/>
      </c>
      <c r="BS60" s="158" t="str">
        <f>IF(AND(Sufficient_data="Yes",Include_study?="Yes"),IF(Add_0_5="Yes",(a_+d_+1)*(ab_+0.5)*(c_+0.5)/(Number_of_subjects+2)^2,(a_+d_)*b_*c_/Number_of_subjects^2),"")</f>
        <v/>
      </c>
      <c r="BT60" s="158" t="str">
        <f t="shared" si="163"/>
        <v/>
      </c>
      <c r="BU60" s="158" t="str">
        <f t="shared" si="164"/>
        <v/>
      </c>
      <c r="BV60" s="158" t="str">
        <f t="shared" si="165"/>
        <v/>
      </c>
      <c r="BW60" s="69" t="str">
        <f t="shared" si="166"/>
        <v/>
      </c>
      <c r="BX60" s="137" t="str">
        <f t="shared" si="167"/>
        <v/>
      </c>
      <c r="BY60" s="95" t="str">
        <f t="shared" si="168"/>
        <v/>
      </c>
      <c r="CD60" s="176"/>
      <c r="CE60" s="130" t="str">
        <f t="shared" si="169"/>
        <v/>
      </c>
      <c r="CF60" s="39" t="str">
        <f t="shared" si="170"/>
        <v/>
      </c>
      <c r="CG60" s="39" t="str">
        <f t="shared" si="171"/>
        <v/>
      </c>
      <c r="CH60" s="39" t="str">
        <f t="shared" si="172"/>
        <v/>
      </c>
      <c r="CI60" s="39" t="str">
        <f t="shared" si="173"/>
        <v/>
      </c>
      <c r="CJ60" s="39" t="str">
        <f t="shared" si="50"/>
        <v/>
      </c>
      <c r="CK60" s="95" t="str">
        <f t="shared" si="174"/>
        <v/>
      </c>
      <c r="CP60" s="176"/>
      <c r="CQ60" s="99" t="str">
        <f t="shared" si="175"/>
        <v/>
      </c>
      <c r="CX60" s="196"/>
      <c r="CY60" s="89" t="e">
        <f t="shared" si="176"/>
        <v>#N/A</v>
      </c>
      <c r="CZ60" s="136" t="str">
        <f t="shared" si="177"/>
        <v/>
      </c>
      <c r="DA60" s="140" t="str">
        <f t="shared" si="178"/>
        <v/>
      </c>
      <c r="DB60" s="39" t="str">
        <f t="shared" si="179"/>
        <v/>
      </c>
      <c r="DC60" s="39" t="str">
        <f t="shared" si="180"/>
        <v/>
      </c>
      <c r="DD60" s="39" t="str">
        <f t="shared" si="181"/>
        <v/>
      </c>
      <c r="DE60" s="39" t="str">
        <f t="shared" si="182"/>
        <v/>
      </c>
      <c r="DF60" s="141" t="str">
        <f t="shared" si="183"/>
        <v/>
      </c>
      <c r="DG60" s="39" t="str">
        <f t="shared" si="184"/>
        <v/>
      </c>
      <c r="DH60" s="39" t="str">
        <f t="shared" si="185"/>
        <v/>
      </c>
      <c r="DI60" s="39" t="str">
        <f t="shared" si="186"/>
        <v/>
      </c>
      <c r="DJ60" s="74" t="str">
        <f t="shared" si="187"/>
        <v/>
      </c>
      <c r="DK60" s="45"/>
      <c r="DL60" s="84" t="e">
        <f t="shared" si="222"/>
        <v>#N/A</v>
      </c>
      <c r="DM60" s="39" t="e">
        <f t="shared" si="189"/>
        <v>#N/A</v>
      </c>
      <c r="DN60" s="74" t="e">
        <f t="shared" si="190"/>
        <v>#N/A</v>
      </c>
      <c r="DO60" s="45"/>
      <c r="DP60" s="89" t="str">
        <f t="shared" si="102"/>
        <v/>
      </c>
      <c r="DQ60" s="26" t="str">
        <f>IF(AND(Sufficient_data="Yes",Subgroup&lt;&gt;""),IF(COUNTIFS(Input!J$2:J59,"="&amp;"Yes",Input!C$2:C59,"="&amp;"Yes",Input!K$2:K59,"="&amp;Subgroup)&gt;0,"",Subgroup),"")</f>
        <v/>
      </c>
      <c r="DR60" s="7" t="str">
        <f t="shared" si="103"/>
        <v/>
      </c>
      <c r="DS60" s="7" t="str">
        <f t="shared" si="191"/>
        <v/>
      </c>
      <c r="DT60" s="19" t="str">
        <f t="shared" si="192"/>
        <v/>
      </c>
      <c r="DU60" s="12" t="str">
        <f t="shared" si="223"/>
        <v/>
      </c>
      <c r="DV60" s="11" t="str">
        <f t="shared" si="224"/>
        <v/>
      </c>
      <c r="DW60" s="12" t="str">
        <f t="shared" si="225"/>
        <v/>
      </c>
      <c r="DX60" s="12" t="str">
        <f t="shared" si="194"/>
        <v/>
      </c>
      <c r="DY60" s="19" t="str">
        <f t="shared" si="226"/>
        <v/>
      </c>
      <c r="DZ60" s="12" t="str">
        <f t="shared" si="227"/>
        <v/>
      </c>
      <c r="EA60" s="19" t="str">
        <f t="shared" si="196"/>
        <v/>
      </c>
      <c r="EB60" s="7" t="str">
        <f t="shared" si="197"/>
        <v/>
      </c>
      <c r="EC60" s="19" t="str">
        <f t="shared" si="198"/>
        <v/>
      </c>
      <c r="ED60" s="19" t="str">
        <f t="shared" si="199"/>
        <v/>
      </c>
      <c r="EE60" s="19" t="str">
        <f t="shared" si="228"/>
        <v/>
      </c>
      <c r="EF60" s="19" t="str">
        <f t="shared" si="229"/>
        <v/>
      </c>
      <c r="EG60" s="19" t="str">
        <f t="shared" si="230"/>
        <v/>
      </c>
      <c r="EH60" s="19" t="str">
        <f t="shared" si="231"/>
        <v/>
      </c>
      <c r="EI60" s="19" t="str">
        <f t="shared" si="232"/>
        <v/>
      </c>
      <c r="EJ60" s="19" t="str">
        <f t="shared" si="200"/>
        <v/>
      </c>
      <c r="EK60" s="19" t="str">
        <f t="shared" si="201"/>
        <v/>
      </c>
      <c r="EL60" s="19" t="str">
        <f t="shared" si="233"/>
        <v/>
      </c>
      <c r="EM60" s="19" t="str">
        <f t="shared" si="234"/>
        <v/>
      </c>
      <c r="EN60" s="19" t="str">
        <f t="shared" si="235"/>
        <v/>
      </c>
      <c r="EO60" s="19" t="str">
        <f t="shared" si="236"/>
        <v/>
      </c>
      <c r="EP60" s="19" t="str">
        <f t="shared" si="237"/>
        <v/>
      </c>
      <c r="EQ60" s="19" t="e">
        <f t="shared" si="238"/>
        <v>#N/A</v>
      </c>
      <c r="ER60" s="11" t="str">
        <f t="shared" si="120"/>
        <v/>
      </c>
      <c r="ES60" s="19" t="str">
        <f t="shared" si="121"/>
        <v/>
      </c>
      <c r="ET60" s="156" t="str">
        <f t="shared" si="203"/>
        <v/>
      </c>
      <c r="EU60" s="39" t="str">
        <f t="shared" si="239"/>
        <v/>
      </c>
      <c r="EV60" s="74" t="str">
        <f t="shared" si="205"/>
        <v/>
      </c>
      <c r="FA60" s="196"/>
      <c r="FB60" s="84" t="e">
        <f>IF(AND(Include_study?="Yes",Sufficient_data="Yes",Moderator&lt;&gt;""),'Moderator Analysis'!E60,NA())</f>
        <v>#N/A</v>
      </c>
      <c r="FC60" s="39" t="e">
        <f>IF(AND(Include_study?="Yes",Sufficient_data="Yes",Moderator&lt;&gt;""),'Moderator Analysis'!F60,NA())</f>
        <v>#N/A</v>
      </c>
      <c r="FD60" s="39" t="str">
        <f t="shared" si="206"/>
        <v/>
      </c>
      <c r="FE60" s="39" t="str">
        <f t="shared" si="207"/>
        <v/>
      </c>
      <c r="FF60" s="39" t="str">
        <f>IF(AND(Include_study?="Yes",Sufficient_data="Yes",Moderator&lt;&gt;""),'Moderator Analysis'!F:F-FP$2,"")</f>
        <v/>
      </c>
      <c r="FG60" s="39" t="str">
        <f>IF(AND(Include_study?="Yes",Sufficient_data="Yes",Moderator&lt;&gt;""),'Moderator Analysis'!E:E-FP$3,"")</f>
        <v/>
      </c>
      <c r="FH60" s="74" t="str">
        <f>IF(AND(Include_study?="Yes",Sufficient_data="Yes",Moderator&lt;&gt;""),FE:FE*('Moderator Analysis'!F:F-FP$5-FP$4*'Moderator Analysis'!E:E)^2,"")</f>
        <v/>
      </c>
      <c r="FI60" s="128"/>
      <c r="FJ60" s="92" t="str">
        <f t="shared" si="208"/>
        <v/>
      </c>
      <c r="FK60" s="137" t="str">
        <f>IF(AND(Include_study?="Yes",Sufficient_data="Yes",Moderator&lt;&gt;""),'Moderator Analysis'!F:F-'Moderator Analysis'!J$37,"")</f>
        <v/>
      </c>
      <c r="FL60" s="137" t="str">
        <f>IF(AND(Include_study?="Yes",Sufficient_data="Yes",Moderator&lt;&gt;""),'Moderator Analysis'!E:E-SUMPRODUCT('Moderator Analysis'!E:E,FJ:FJ)/SUM(FJ:FJ),"")</f>
        <v/>
      </c>
      <c r="FM60" s="95" t="str">
        <f>IF(AND(Include_study?="Yes",Sufficient_data="Yes",Moderator&lt;&gt;""),FJ:FJ*('Moderator Analysis'!F:F-'Moderator Analysis'!J$29-'Moderator Analysis'!J$30*'Moderator Analysis'!E:E)^2,"")</f>
        <v/>
      </c>
      <c r="FR60" s="196"/>
      <c r="FS60" s="182"/>
      <c r="FT6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0" s="39" t="str">
        <f>IF(AND(Include_study?="Yes",Sufficient_data="Yes"),1/('Publication Bias Analysis'!F:F^2+IF(Additional_model="Fixed effect",0,Calculations!GH$12)),"")</f>
        <v/>
      </c>
      <c r="FV60" s="39" t="str">
        <f>IF(AND(Include_study?="Yes",Sufficient_data="Yes"),1/('Publication Bias Analysis'!F:F^2+IF(Additional_model="Fixed effect",0,'Publication Bias Analysis'!L$32)),"")</f>
        <v/>
      </c>
      <c r="FW60" s="39" t="str">
        <f>IF(AND(Include_study?="Yes",Sufficient_data="Yes"),'Publication Bias Analysis'!E:E-'Publication Bias Analysis'!I$37,"")</f>
        <v/>
      </c>
      <c r="FX60" s="39" t="str">
        <f>IF(AND(Include_study?="Yes",Sufficient_data="Yes"),IF(Additional_model="Fixed effect",1/'Publication Bias Analysis'!F:F,1/SQRT('Publication Bias Analysis'!F:F^2+GH$12)),"")</f>
        <v/>
      </c>
      <c r="FY6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0" s="136" t="str">
        <f t="shared" si="209"/>
        <v/>
      </c>
      <c r="GA60" s="144" t="str">
        <f>IF(AND(Include_study?="Yes",Sufficient_data="Yes"),FZ:FZ+IF(GL:GL&lt;0,-1,1)*COUNTIF(FZ$2:FZ59,FZ:FZ),"")</f>
        <v/>
      </c>
      <c r="GB60" s="144" t="str">
        <f>IF(AND(Include_study?="Yes",Sufficient_data="Yes"),RANK(GP:GP,GP:GP,1)*IF(GO:GO&lt;0,-1,1)+IF(GO:GO&lt;0,-1,1)*COUNTIF(FZ$2:FZ59,FZ:FZ),"")</f>
        <v/>
      </c>
      <c r="GC60" s="144" t="str">
        <f>IF(AND(Include_study?="Yes",Sufficient_data="Yes"),RANK(GS:GS,GS:GS,1)*IF(GR:GR&lt;0,-1,1)+IF(GR:GR&lt;0,-1,1)*COUNTIF(FZ$2:FZ59,FZ:FZ),"")</f>
        <v/>
      </c>
      <c r="GD60" s="39" t="e">
        <f>IF(AND(Include_study?="Yes",Sufficient_data="Yes"),'Publication Bias Analysis'!E60,NA())</f>
        <v>#N/A</v>
      </c>
      <c r="GE60" s="74" t="e">
        <f>IF(AND(Include_study?="Yes",Sufficient_data="Yes"),'Publication Bias Analysis'!F60,NA())</f>
        <v>#N/A</v>
      </c>
      <c r="GK60" s="176"/>
      <c r="GL6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0" s="39" t="str">
        <f t="shared" si="210"/>
        <v/>
      </c>
      <c r="GN6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0" s="39" t="str">
        <f>IF(AND(Include_study?="Yes",Sufficient_data="Yes"),IF('Publication Bias Analysis'!L$38="Left",'Publication Bias Analysis'!E:E-GW$3,GW$3-'Publication Bias Analysis'!E:E),"")</f>
        <v/>
      </c>
      <c r="GP60" s="39" t="str">
        <f t="shared" si="242"/>
        <v/>
      </c>
      <c r="GQ6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0" s="39" t="str">
        <f>IF(AND(Include_study?="Yes",Sufficient_data="Yes"),IF('Publication Bias Analysis'!L$38="Left",'Publication Bias Analysis'!E:E-GW$10,GW$10-'Publication Bias Analysis'!E:E),"")</f>
        <v/>
      </c>
      <c r="GS60" s="39" t="str">
        <f t="shared" si="243"/>
        <v/>
      </c>
      <c r="GT6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0" s="176"/>
      <c r="HL60" s="69" t="str">
        <f t="shared" si="89"/>
        <v/>
      </c>
      <c r="HM60" s="74" t="str">
        <f>IF(AND(Include_study?="Yes",Sufficient_data="Yes"),Z_score-('Publication Bias Analysis'!P$3+'Publication Bias Analysis'!P$4*Inverse_standard_error),"")</f>
        <v/>
      </c>
      <c r="HO60" s="176"/>
      <c r="HP60" s="69" t="str">
        <f>IF(AND(Include_study?="Yes",Sufficient_data="Yes"),(GD:GD-SUMPRODUCT(Calculations!FT:FT,'Publication Bias Analysis'!E:E)/SUM(Calculations!FT:FT))/SQRT(Calculations!HQ:HQ),"")</f>
        <v/>
      </c>
      <c r="HQ60" s="69" t="str">
        <f>IF(AND(Include_study?="Yes",Sufficient_data="Yes"),GE:GE^2-1/SUM(Calculations!FT:FT),"")</f>
        <v/>
      </c>
      <c r="HR60" s="7" t="str">
        <f t="shared" si="240"/>
        <v/>
      </c>
      <c r="HS60" s="7" t="str">
        <f t="shared" si="241"/>
        <v/>
      </c>
      <c r="HT60" s="7" t="str">
        <f>IF(AND(Include_study?="Yes",Sufficient_data="Yes"),COUNTIFS(HR$2:HR59,"&lt;"&amp;HR60,HS$2:HS59,"&lt;"&amp;HS60)+COUNTIFS(HR61:HR$201,"&lt;"&amp;HR60,HS61:HS$201,"&lt;"&amp;HS60)+COUNTIFS(HR$2:HR59,"&gt;"&amp;HR60,HS$2:HS59,"&gt;"&amp;HS60)+COUNTIFS(HR61:HR$201,"&gt;"&amp;HR60,HS61:HS$201,"&gt;"&amp;HS60),"")</f>
        <v/>
      </c>
      <c r="HU60" s="104" t="str">
        <f>IF(AND(Include_study?="Yes",Sufficient_data="Yes"),COUNTIFS(HR$2:HR59,"&lt;"&amp;HR60,HS$2:HS59,"&gt;"&amp;HS60)+COUNTIFS(HR61:HR$201,"&lt;"&amp;HR60,HS61:HS$201,"&gt;"&amp;HS60)+COUNTIFS(HR$2:HR59,"&gt;"&amp;HR60,HS$2:HS59,"&lt;"&amp;HS60)+COUNTIFS(HR61:HR$201,"&gt;"&amp;HR60,HS61:HS$201,"&lt;"&amp;HS60),"")</f>
        <v/>
      </c>
      <c r="HW60" s="176"/>
      <c r="IB60" s="176"/>
      <c r="IC60" s="146" t="e">
        <f t="shared" si="215"/>
        <v>#N/A</v>
      </c>
      <c r="ID60" s="137" t="e">
        <f t="shared" si="216"/>
        <v>#N/A</v>
      </c>
      <c r="IE60" s="137" t="str">
        <f t="shared" si="217"/>
        <v/>
      </c>
      <c r="IF60" s="95" t="str">
        <f t="shared" si="218"/>
        <v/>
      </c>
      <c r="IK60" s="176"/>
      <c r="IL60" s="69" t="e">
        <f>IF(AND(Include_study?="Yes",Sufficient_data="Yes"),'Publication Bias Analysis'!AV:AV,NA())</f>
        <v>#N/A</v>
      </c>
      <c r="IM60" s="158" t="e">
        <f>IF(AND(Sufficient_data="Yes",Include_study?="Yes"),'Publication Bias Analysis'!AU:AU,NA())</f>
        <v>#N/A</v>
      </c>
      <c r="IN60" s="69" t="str">
        <f t="shared" si="219"/>
        <v/>
      </c>
      <c r="IO60" s="74" t="str">
        <f>IF(AND(Include_study?="Yes",Sufficient_data="Yes"),Z_score-('Publication Bias Analysis'!AY$30+'Publication Bias Analysis'!AY$31*Inverse_standard_error),"")</f>
        <v/>
      </c>
      <c r="IU60" s="176"/>
      <c r="IV60" s="7" t="str">
        <f>IF('Publication Bias Analysis'!BG:BG&lt;&gt;"",RANK('Publication Bias Analysis'!BG:BG,'Publication Bias Analysis'!BG:BG,1)+COUNTIF('Publication Bias Analysis'!BG$2:BG59,'Publication Bias Analysis'!BG60),"")</f>
        <v/>
      </c>
      <c r="IW60" s="124" t="str">
        <f t="shared" si="220"/>
        <v/>
      </c>
      <c r="IX60" s="125" t="e">
        <f>IF('Publication Bias Analysis'!BF60&lt;&gt;"",'Publication Bias Analysis'!BF60,NA())</f>
        <v>#N/A</v>
      </c>
      <c r="IY60" s="125" t="e">
        <f>IF('Publication Bias Analysis'!BG60&lt;&gt;"",'Publication Bias Analysis'!BG60,NA())</f>
        <v>#N/A</v>
      </c>
      <c r="IZ60" s="69" t="str">
        <f>IF(AND(Include_study?="Yes",Sufficient_data="Yes"),'Publication Bias Analysis'!BF:BF-AVERAGE('Publication Bias Analysis'!BF:BF),"")</f>
        <v/>
      </c>
      <c r="JA60" s="74" t="str">
        <f>IF(AND(Include_study?="Yes",Sufficient_data="Yes"),'Publication Bias Analysis'!BG:BG-('Publication Bias Analysis'!BJ$30+'Publication Bias Analysis'!BJ$31*'Publication Bias Analysis'!BF:BF),"")</f>
        <v/>
      </c>
      <c r="JG60" s="176"/>
      <c r="JH60" s="39" t="str">
        <f t="shared" si="221"/>
        <v/>
      </c>
      <c r="JI60" s="148" t="str">
        <f t="shared" si="124"/>
        <v/>
      </c>
      <c r="JJ60" s="74" t="str">
        <f t="shared" si="125"/>
        <v/>
      </c>
    </row>
    <row r="61" spans="1:270" x14ac:dyDescent="0.2">
      <c r="A61" s="56" t="str">
        <f t="shared" si="126"/>
        <v/>
      </c>
      <c r="B61" s="7" t="str">
        <f>IF(AND(Include_study?="Yes",Sufficient_data="Yes"),IF(Input!a_&lt;&gt;"",Input!a_,Input!n1_-Input!b_),"")</f>
        <v/>
      </c>
      <c r="C61" s="7" t="str">
        <f>IF(AND(Include_study?="Yes",Sufficient_data="Yes"),IF(Input!b_&lt;&gt;"",Input!b_,Input!n1_-Input!a_),"")</f>
        <v/>
      </c>
      <c r="D61" s="7" t="str">
        <f>IF(AND(Include_study?="Yes",Sufficient_data="Yes"),IF(Input!c_&lt;&gt;"",Input!c_,Input!n2_-Input!d_),"")</f>
        <v/>
      </c>
      <c r="E61" s="7" t="str">
        <f>IF(AND(Include_study?="Yes",Sufficient_data="Yes"),IF(Input!d_&lt;&gt;"",Input!d_,Input!n2_-Input!c_),"")</f>
        <v/>
      </c>
      <c r="F61" s="74" t="str">
        <f t="shared" si="127"/>
        <v/>
      </c>
      <c r="H61" s="196"/>
      <c r="I61" s="182"/>
      <c r="J61" s="146" t="str">
        <f t="shared" si="2"/>
        <v/>
      </c>
      <c r="K61" s="39" t="str">
        <f t="shared" si="128"/>
        <v/>
      </c>
      <c r="L61" s="39" t="str">
        <f t="shared" si="129"/>
        <v/>
      </c>
      <c r="M61" s="39" t="str">
        <f t="shared" si="130"/>
        <v/>
      </c>
      <c r="N61" s="74" t="str">
        <f t="shared" si="131"/>
        <v/>
      </c>
      <c r="P61" s="176"/>
      <c r="Q61" s="130" t="str">
        <f t="shared" si="132"/>
        <v/>
      </c>
      <c r="R61" s="39" t="str">
        <f t="shared" si="133"/>
        <v/>
      </c>
      <c r="S61" s="39" t="str">
        <f t="shared" si="134"/>
        <v/>
      </c>
      <c r="T61" s="74" t="str">
        <f t="shared" si="135"/>
        <v/>
      </c>
      <c r="V61" s="176"/>
      <c r="W61" s="130" t="str">
        <f t="shared" si="136"/>
        <v/>
      </c>
      <c r="X61" s="39" t="str">
        <f t="shared" si="137"/>
        <v/>
      </c>
      <c r="Y61" s="39" t="str">
        <f t="shared" si="138"/>
        <v/>
      </c>
      <c r="Z61" s="74" t="str">
        <f t="shared" si="139"/>
        <v/>
      </c>
      <c r="AB61" s="176"/>
      <c r="AC61" s="130" t="str">
        <f t="shared" si="140"/>
        <v/>
      </c>
      <c r="AD61" s="39" t="str">
        <f t="shared" si="141"/>
        <v/>
      </c>
      <c r="AE61" s="39" t="str">
        <f t="shared" si="142"/>
        <v/>
      </c>
      <c r="AF61" s="39" t="str">
        <f t="shared" si="143"/>
        <v/>
      </c>
      <c r="AG61" s="74" t="str">
        <f t="shared" si="144"/>
        <v/>
      </c>
      <c r="AI61" s="196"/>
      <c r="AJ6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1" s="136" t="str">
        <f>IF(AJ61&lt;&gt;"",IF(AJ61=0,COUNTIF(AJ$2:AJ60,0)+1,COUNTIF(AJ$2:AJ60,AJ61)+AJ61+COUNTIF(AJ:AJ,0)),"")</f>
        <v/>
      </c>
      <c r="AL61" s="136" t="str">
        <f t="shared" si="20"/>
        <v/>
      </c>
      <c r="AM61" s="155" t="str">
        <f>IF(AND(Include_study?="Yes",Sufficient_data="Yes",Input!Study_name&lt;&gt;""),Input!Study_name,"")</f>
        <v/>
      </c>
      <c r="AN61" s="136" t="str">
        <f t="shared" si="21"/>
        <v/>
      </c>
      <c r="AO61" s="19" t="str">
        <f t="shared" si="145"/>
        <v/>
      </c>
      <c r="AP61" s="158" t="str">
        <f t="shared" si="146"/>
        <v/>
      </c>
      <c r="AQ61" s="158" t="str">
        <f t="shared" si="147"/>
        <v/>
      </c>
      <c r="AR61" s="39" t="str">
        <f t="shared" si="148"/>
        <v/>
      </c>
      <c r="AS61" s="158" t="str">
        <f t="shared" si="149"/>
        <v/>
      </c>
      <c r="AT61" s="39" t="str">
        <f t="shared" si="150"/>
        <v/>
      </c>
      <c r="AU61" s="172" t="str">
        <f t="shared" si="151"/>
        <v/>
      </c>
      <c r="AV61" s="45"/>
      <c r="AW61" s="84" t="e">
        <f t="shared" si="152"/>
        <v>#N/A</v>
      </c>
      <c r="AX61" s="69" t="e">
        <f t="shared" si="153"/>
        <v>#N/A</v>
      </c>
      <c r="AY61" s="74" t="e">
        <f t="shared" si="154"/>
        <v>#N/A</v>
      </c>
      <c r="AZ61" s="45"/>
      <c r="BA61" s="45"/>
      <c r="BB61" s="45"/>
      <c r="BC61" s="45"/>
      <c r="BD61" s="196"/>
      <c r="BE61" s="182"/>
      <c r="BF61" s="69" t="str">
        <f t="shared" si="155"/>
        <v/>
      </c>
      <c r="BG61" s="69" t="str">
        <f t="shared" si="156"/>
        <v/>
      </c>
      <c r="BH61" s="69" t="str">
        <f t="shared" si="157"/>
        <v/>
      </c>
      <c r="BI61" s="39" t="str">
        <f t="shared" si="158"/>
        <v/>
      </c>
      <c r="BJ61" s="95" t="str">
        <f t="shared" si="159"/>
        <v/>
      </c>
      <c r="BO61" s="176"/>
      <c r="BP61" s="158" t="str">
        <f t="shared" si="160"/>
        <v/>
      </c>
      <c r="BQ61" s="158" t="str">
        <f t="shared" si="161"/>
        <v/>
      </c>
      <c r="BR61" s="158" t="str">
        <f t="shared" si="162"/>
        <v/>
      </c>
      <c r="BS61" s="158" t="str">
        <f>IF(AND(Sufficient_data="Yes",Include_study?="Yes"),IF(Add_0_5="Yes",(a_+d_+1)*(ab_+0.5)*(c_+0.5)/(Number_of_subjects+2)^2,(a_+d_)*b_*c_/Number_of_subjects^2),"")</f>
        <v/>
      </c>
      <c r="BT61" s="158" t="str">
        <f t="shared" si="163"/>
        <v/>
      </c>
      <c r="BU61" s="158" t="str">
        <f t="shared" si="164"/>
        <v/>
      </c>
      <c r="BV61" s="158" t="str">
        <f t="shared" si="165"/>
        <v/>
      </c>
      <c r="BW61" s="69" t="str">
        <f t="shared" si="166"/>
        <v/>
      </c>
      <c r="BX61" s="137" t="str">
        <f t="shared" si="167"/>
        <v/>
      </c>
      <c r="BY61" s="95" t="str">
        <f t="shared" si="168"/>
        <v/>
      </c>
      <c r="CD61" s="176"/>
      <c r="CE61" s="130" t="str">
        <f t="shared" si="169"/>
        <v/>
      </c>
      <c r="CF61" s="39" t="str">
        <f t="shared" si="170"/>
        <v/>
      </c>
      <c r="CG61" s="39" t="str">
        <f t="shared" si="171"/>
        <v/>
      </c>
      <c r="CH61" s="39" t="str">
        <f t="shared" si="172"/>
        <v/>
      </c>
      <c r="CI61" s="39" t="str">
        <f t="shared" si="173"/>
        <v/>
      </c>
      <c r="CJ61" s="39" t="str">
        <f t="shared" si="50"/>
        <v/>
      </c>
      <c r="CK61" s="95" t="str">
        <f t="shared" si="174"/>
        <v/>
      </c>
      <c r="CP61" s="176"/>
      <c r="CQ61" s="99" t="str">
        <f t="shared" si="175"/>
        <v/>
      </c>
      <c r="CX61" s="196"/>
      <c r="CY61" s="89" t="e">
        <f t="shared" si="176"/>
        <v>#N/A</v>
      </c>
      <c r="CZ61" s="136" t="str">
        <f t="shared" si="177"/>
        <v/>
      </c>
      <c r="DA61" s="140" t="str">
        <f t="shared" si="178"/>
        <v/>
      </c>
      <c r="DB61" s="39" t="str">
        <f t="shared" si="179"/>
        <v/>
      </c>
      <c r="DC61" s="39" t="str">
        <f t="shared" si="180"/>
        <v/>
      </c>
      <c r="DD61" s="39" t="str">
        <f t="shared" si="181"/>
        <v/>
      </c>
      <c r="DE61" s="39" t="str">
        <f t="shared" si="182"/>
        <v/>
      </c>
      <c r="DF61" s="141" t="str">
        <f t="shared" si="183"/>
        <v/>
      </c>
      <c r="DG61" s="39" t="str">
        <f t="shared" si="184"/>
        <v/>
      </c>
      <c r="DH61" s="39" t="str">
        <f t="shared" si="185"/>
        <v/>
      </c>
      <c r="DI61" s="39" t="str">
        <f t="shared" si="186"/>
        <v/>
      </c>
      <c r="DJ61" s="74" t="str">
        <f t="shared" si="187"/>
        <v/>
      </c>
      <c r="DK61" s="45"/>
      <c r="DL61" s="84" t="e">
        <f t="shared" si="222"/>
        <v>#N/A</v>
      </c>
      <c r="DM61" s="39" t="e">
        <f t="shared" si="189"/>
        <v>#N/A</v>
      </c>
      <c r="DN61" s="74" t="e">
        <f t="shared" si="190"/>
        <v>#N/A</v>
      </c>
      <c r="DO61" s="45"/>
      <c r="DP61" s="89" t="str">
        <f t="shared" si="102"/>
        <v/>
      </c>
      <c r="DQ61" s="26" t="str">
        <f>IF(AND(Sufficient_data="Yes",Subgroup&lt;&gt;""),IF(COUNTIFS(Input!J$2:J60,"="&amp;"Yes",Input!C$2:C60,"="&amp;"Yes",Input!K$2:K60,"="&amp;Subgroup)&gt;0,"",Subgroup),"")</f>
        <v/>
      </c>
      <c r="DR61" s="7" t="str">
        <f t="shared" si="103"/>
        <v/>
      </c>
      <c r="DS61" s="7" t="str">
        <f t="shared" si="191"/>
        <v/>
      </c>
      <c r="DT61" s="19" t="str">
        <f t="shared" si="192"/>
        <v/>
      </c>
      <c r="DU61" s="12" t="str">
        <f t="shared" si="223"/>
        <v/>
      </c>
      <c r="DV61" s="11" t="str">
        <f t="shared" si="224"/>
        <v/>
      </c>
      <c r="DW61" s="12" t="str">
        <f t="shared" si="225"/>
        <v/>
      </c>
      <c r="DX61" s="12" t="str">
        <f t="shared" si="194"/>
        <v/>
      </c>
      <c r="DY61" s="19" t="str">
        <f t="shared" si="226"/>
        <v/>
      </c>
      <c r="DZ61" s="12" t="str">
        <f t="shared" si="227"/>
        <v/>
      </c>
      <c r="EA61" s="19" t="str">
        <f t="shared" si="196"/>
        <v/>
      </c>
      <c r="EB61" s="7" t="str">
        <f t="shared" si="197"/>
        <v/>
      </c>
      <c r="EC61" s="19" t="str">
        <f t="shared" si="198"/>
        <v/>
      </c>
      <c r="ED61" s="19" t="str">
        <f t="shared" si="199"/>
        <v/>
      </c>
      <c r="EE61" s="19" t="str">
        <f t="shared" si="228"/>
        <v/>
      </c>
      <c r="EF61" s="19" t="str">
        <f t="shared" si="229"/>
        <v/>
      </c>
      <c r="EG61" s="19" t="str">
        <f t="shared" si="230"/>
        <v/>
      </c>
      <c r="EH61" s="19" t="str">
        <f t="shared" si="231"/>
        <v/>
      </c>
      <c r="EI61" s="19" t="str">
        <f t="shared" si="232"/>
        <v/>
      </c>
      <c r="EJ61" s="19" t="str">
        <f t="shared" si="200"/>
        <v/>
      </c>
      <c r="EK61" s="19" t="str">
        <f t="shared" si="201"/>
        <v/>
      </c>
      <c r="EL61" s="19" t="str">
        <f t="shared" si="233"/>
        <v/>
      </c>
      <c r="EM61" s="19" t="str">
        <f t="shared" si="234"/>
        <v/>
      </c>
      <c r="EN61" s="19" t="str">
        <f t="shared" si="235"/>
        <v/>
      </c>
      <c r="EO61" s="19" t="str">
        <f t="shared" si="236"/>
        <v/>
      </c>
      <c r="EP61" s="19" t="str">
        <f t="shared" si="237"/>
        <v/>
      </c>
      <c r="EQ61" s="19" t="e">
        <f t="shared" si="238"/>
        <v>#N/A</v>
      </c>
      <c r="ER61" s="11" t="str">
        <f t="shared" si="120"/>
        <v/>
      </c>
      <c r="ES61" s="19" t="str">
        <f t="shared" si="121"/>
        <v/>
      </c>
      <c r="ET61" s="156" t="str">
        <f t="shared" si="203"/>
        <v/>
      </c>
      <c r="EU61" s="39" t="str">
        <f t="shared" si="239"/>
        <v/>
      </c>
      <c r="EV61" s="74" t="str">
        <f t="shared" si="205"/>
        <v/>
      </c>
      <c r="FA61" s="196"/>
      <c r="FB61" s="84" t="e">
        <f>IF(AND(Include_study?="Yes",Sufficient_data="Yes",Moderator&lt;&gt;""),'Moderator Analysis'!E61,NA())</f>
        <v>#N/A</v>
      </c>
      <c r="FC61" s="39" t="e">
        <f>IF(AND(Include_study?="Yes",Sufficient_data="Yes",Moderator&lt;&gt;""),'Moderator Analysis'!F61,NA())</f>
        <v>#N/A</v>
      </c>
      <c r="FD61" s="39" t="str">
        <f t="shared" si="206"/>
        <v/>
      </c>
      <c r="FE61" s="39" t="str">
        <f t="shared" si="207"/>
        <v/>
      </c>
      <c r="FF61" s="39" t="str">
        <f>IF(AND(Include_study?="Yes",Sufficient_data="Yes",Moderator&lt;&gt;""),'Moderator Analysis'!F:F-FP$2,"")</f>
        <v/>
      </c>
      <c r="FG61" s="39" t="str">
        <f>IF(AND(Include_study?="Yes",Sufficient_data="Yes",Moderator&lt;&gt;""),'Moderator Analysis'!E:E-FP$3,"")</f>
        <v/>
      </c>
      <c r="FH61" s="74" t="str">
        <f>IF(AND(Include_study?="Yes",Sufficient_data="Yes",Moderator&lt;&gt;""),FE:FE*('Moderator Analysis'!F:F-FP$5-FP$4*'Moderator Analysis'!E:E)^2,"")</f>
        <v/>
      </c>
      <c r="FI61" s="128"/>
      <c r="FJ61" s="92" t="str">
        <f t="shared" si="208"/>
        <v/>
      </c>
      <c r="FK61" s="137" t="str">
        <f>IF(AND(Include_study?="Yes",Sufficient_data="Yes",Moderator&lt;&gt;""),'Moderator Analysis'!F:F-'Moderator Analysis'!J$37,"")</f>
        <v/>
      </c>
      <c r="FL61" s="137" t="str">
        <f>IF(AND(Include_study?="Yes",Sufficient_data="Yes",Moderator&lt;&gt;""),'Moderator Analysis'!E:E-SUMPRODUCT('Moderator Analysis'!E:E,FJ:FJ)/SUM(FJ:FJ),"")</f>
        <v/>
      </c>
      <c r="FM61" s="95" t="str">
        <f>IF(AND(Include_study?="Yes",Sufficient_data="Yes",Moderator&lt;&gt;""),FJ:FJ*('Moderator Analysis'!F:F-'Moderator Analysis'!J$29-'Moderator Analysis'!J$30*'Moderator Analysis'!E:E)^2,"")</f>
        <v/>
      </c>
      <c r="FR61" s="196"/>
      <c r="FS61" s="182"/>
      <c r="FT6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1" s="39" t="str">
        <f>IF(AND(Include_study?="Yes",Sufficient_data="Yes"),1/('Publication Bias Analysis'!F:F^2+IF(Additional_model="Fixed effect",0,Calculations!GH$12)),"")</f>
        <v/>
      </c>
      <c r="FV61" s="39" t="str">
        <f>IF(AND(Include_study?="Yes",Sufficient_data="Yes"),1/('Publication Bias Analysis'!F:F^2+IF(Additional_model="Fixed effect",0,'Publication Bias Analysis'!L$32)),"")</f>
        <v/>
      </c>
      <c r="FW61" s="39" t="str">
        <f>IF(AND(Include_study?="Yes",Sufficient_data="Yes"),'Publication Bias Analysis'!E:E-'Publication Bias Analysis'!I$37,"")</f>
        <v/>
      </c>
      <c r="FX61" s="39" t="str">
        <f>IF(AND(Include_study?="Yes",Sufficient_data="Yes"),IF(Additional_model="Fixed effect",1/'Publication Bias Analysis'!F:F,1/SQRT('Publication Bias Analysis'!F:F^2+GH$12)),"")</f>
        <v/>
      </c>
      <c r="FY6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1" s="136" t="str">
        <f t="shared" si="209"/>
        <v/>
      </c>
      <c r="GA61" s="144" t="str">
        <f>IF(AND(Include_study?="Yes",Sufficient_data="Yes"),FZ:FZ+IF(GL:GL&lt;0,-1,1)*COUNTIF(FZ$2:FZ60,FZ:FZ),"")</f>
        <v/>
      </c>
      <c r="GB61" s="144" t="str">
        <f>IF(AND(Include_study?="Yes",Sufficient_data="Yes"),RANK(GP:GP,GP:GP,1)*IF(GO:GO&lt;0,-1,1)+IF(GO:GO&lt;0,-1,1)*COUNTIF(FZ$2:FZ60,FZ:FZ),"")</f>
        <v/>
      </c>
      <c r="GC61" s="144" t="str">
        <f>IF(AND(Include_study?="Yes",Sufficient_data="Yes"),RANK(GS:GS,GS:GS,1)*IF(GR:GR&lt;0,-1,1)+IF(GR:GR&lt;0,-1,1)*COUNTIF(FZ$2:FZ60,FZ:FZ),"")</f>
        <v/>
      </c>
      <c r="GD61" s="39" t="e">
        <f>IF(AND(Include_study?="Yes",Sufficient_data="Yes"),'Publication Bias Analysis'!E61,NA())</f>
        <v>#N/A</v>
      </c>
      <c r="GE61" s="74" t="e">
        <f>IF(AND(Include_study?="Yes",Sufficient_data="Yes"),'Publication Bias Analysis'!F61,NA())</f>
        <v>#N/A</v>
      </c>
      <c r="GK61" s="176"/>
      <c r="GL6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1" s="39" t="str">
        <f t="shared" si="210"/>
        <v/>
      </c>
      <c r="GN6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1" s="39" t="str">
        <f>IF(AND(Include_study?="Yes",Sufficient_data="Yes"),IF('Publication Bias Analysis'!L$38="Left",'Publication Bias Analysis'!E:E-GW$3,GW$3-'Publication Bias Analysis'!E:E),"")</f>
        <v/>
      </c>
      <c r="GP61" s="39" t="str">
        <f t="shared" si="242"/>
        <v/>
      </c>
      <c r="GQ6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1" s="39" t="str">
        <f>IF(AND(Include_study?="Yes",Sufficient_data="Yes"),IF('Publication Bias Analysis'!L$38="Left",'Publication Bias Analysis'!E:E-GW$10,GW$10-'Publication Bias Analysis'!E:E),"")</f>
        <v/>
      </c>
      <c r="GS61" s="39" t="str">
        <f t="shared" si="243"/>
        <v/>
      </c>
      <c r="GT6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1" s="176"/>
      <c r="HL61" s="69" t="str">
        <f t="shared" si="89"/>
        <v/>
      </c>
      <c r="HM61" s="74" t="str">
        <f>IF(AND(Include_study?="Yes",Sufficient_data="Yes"),Z_score-('Publication Bias Analysis'!P$3+'Publication Bias Analysis'!P$4*Inverse_standard_error),"")</f>
        <v/>
      </c>
      <c r="HO61" s="176"/>
      <c r="HP61" s="69" t="str">
        <f>IF(AND(Include_study?="Yes",Sufficient_data="Yes"),(GD:GD-SUMPRODUCT(Calculations!FT:FT,'Publication Bias Analysis'!E:E)/SUM(Calculations!FT:FT))/SQRT(Calculations!HQ:HQ),"")</f>
        <v/>
      </c>
      <c r="HQ61" s="69" t="str">
        <f>IF(AND(Include_study?="Yes",Sufficient_data="Yes"),GE:GE^2-1/SUM(Calculations!FT:FT),"")</f>
        <v/>
      </c>
      <c r="HR61" s="7" t="str">
        <f t="shared" si="240"/>
        <v/>
      </c>
      <c r="HS61" s="7" t="str">
        <f t="shared" si="241"/>
        <v/>
      </c>
      <c r="HT61" s="7" t="str">
        <f>IF(AND(Include_study?="Yes",Sufficient_data="Yes"),COUNTIFS(HR$2:HR60,"&lt;"&amp;HR61,HS$2:HS60,"&lt;"&amp;HS61)+COUNTIFS(HR62:HR$201,"&lt;"&amp;HR61,HS62:HS$201,"&lt;"&amp;HS61)+COUNTIFS(HR$2:HR60,"&gt;"&amp;HR61,HS$2:HS60,"&gt;"&amp;HS61)+COUNTIFS(HR62:HR$201,"&gt;"&amp;HR61,HS62:HS$201,"&gt;"&amp;HS61),"")</f>
        <v/>
      </c>
      <c r="HU61" s="104" t="str">
        <f>IF(AND(Include_study?="Yes",Sufficient_data="Yes"),COUNTIFS(HR$2:HR60,"&lt;"&amp;HR61,HS$2:HS60,"&gt;"&amp;HS61)+COUNTIFS(HR62:HR$201,"&lt;"&amp;HR61,HS62:HS$201,"&gt;"&amp;HS61)+COUNTIFS(HR$2:HR60,"&gt;"&amp;HR61,HS$2:HS60,"&lt;"&amp;HS61)+COUNTIFS(HR62:HR$201,"&gt;"&amp;HR61,HS62:HS$201,"&lt;"&amp;HS61),"")</f>
        <v/>
      </c>
      <c r="HW61" s="176"/>
      <c r="IB61" s="176"/>
      <c r="IC61" s="146" t="e">
        <f t="shared" si="215"/>
        <v>#N/A</v>
      </c>
      <c r="ID61" s="137" t="e">
        <f t="shared" si="216"/>
        <v>#N/A</v>
      </c>
      <c r="IE61" s="137" t="str">
        <f t="shared" si="217"/>
        <v/>
      </c>
      <c r="IF61" s="95" t="str">
        <f t="shared" si="218"/>
        <v/>
      </c>
      <c r="IK61" s="176"/>
      <c r="IL61" s="69" t="e">
        <f>IF(AND(Include_study?="Yes",Sufficient_data="Yes"),'Publication Bias Analysis'!AV:AV,NA())</f>
        <v>#N/A</v>
      </c>
      <c r="IM61" s="158" t="e">
        <f>IF(AND(Sufficient_data="Yes",Include_study?="Yes"),'Publication Bias Analysis'!AU:AU,NA())</f>
        <v>#N/A</v>
      </c>
      <c r="IN61" s="69" t="str">
        <f t="shared" si="219"/>
        <v/>
      </c>
      <c r="IO61" s="74" t="str">
        <f>IF(AND(Include_study?="Yes",Sufficient_data="Yes"),Z_score-('Publication Bias Analysis'!AY$30+'Publication Bias Analysis'!AY$31*Inverse_standard_error),"")</f>
        <v/>
      </c>
      <c r="IU61" s="176"/>
      <c r="IV61" s="7" t="str">
        <f>IF('Publication Bias Analysis'!BG:BG&lt;&gt;"",RANK('Publication Bias Analysis'!BG:BG,'Publication Bias Analysis'!BG:BG,1)+COUNTIF('Publication Bias Analysis'!BG$2:BG60,'Publication Bias Analysis'!BG61),"")</f>
        <v/>
      </c>
      <c r="IW61" s="124" t="str">
        <f t="shared" si="220"/>
        <v/>
      </c>
      <c r="IX61" s="125" t="e">
        <f>IF('Publication Bias Analysis'!BF61&lt;&gt;"",'Publication Bias Analysis'!BF61,NA())</f>
        <v>#N/A</v>
      </c>
      <c r="IY61" s="125" t="e">
        <f>IF('Publication Bias Analysis'!BG61&lt;&gt;"",'Publication Bias Analysis'!BG61,NA())</f>
        <v>#N/A</v>
      </c>
      <c r="IZ61" s="69" t="str">
        <f>IF(AND(Include_study?="Yes",Sufficient_data="Yes"),'Publication Bias Analysis'!BF:BF-AVERAGE('Publication Bias Analysis'!BF:BF),"")</f>
        <v/>
      </c>
      <c r="JA61" s="74" t="str">
        <f>IF(AND(Include_study?="Yes",Sufficient_data="Yes"),'Publication Bias Analysis'!BG:BG-('Publication Bias Analysis'!BJ$30+'Publication Bias Analysis'!BJ$31*'Publication Bias Analysis'!BF:BF),"")</f>
        <v/>
      </c>
      <c r="JG61" s="176"/>
      <c r="JH61" s="39" t="str">
        <f t="shared" si="221"/>
        <v/>
      </c>
      <c r="JI61" s="148" t="str">
        <f t="shared" si="124"/>
        <v/>
      </c>
      <c r="JJ61" s="74" t="str">
        <f t="shared" si="125"/>
        <v/>
      </c>
    </row>
    <row r="62" spans="1:270" x14ac:dyDescent="0.2">
      <c r="A62" s="56" t="str">
        <f t="shared" si="126"/>
        <v/>
      </c>
      <c r="B62" s="7" t="str">
        <f>IF(AND(Include_study?="Yes",Sufficient_data="Yes"),IF(Input!a_&lt;&gt;"",Input!a_,Input!n1_-Input!b_),"")</f>
        <v/>
      </c>
      <c r="C62" s="7" t="str">
        <f>IF(AND(Include_study?="Yes",Sufficient_data="Yes"),IF(Input!b_&lt;&gt;"",Input!b_,Input!n1_-Input!a_),"")</f>
        <v/>
      </c>
      <c r="D62" s="7" t="str">
        <f>IF(AND(Include_study?="Yes",Sufficient_data="Yes"),IF(Input!c_&lt;&gt;"",Input!c_,Input!n2_-Input!d_),"")</f>
        <v/>
      </c>
      <c r="E62" s="7" t="str">
        <f>IF(AND(Include_study?="Yes",Sufficient_data="Yes"),IF(Input!d_&lt;&gt;"",Input!d_,Input!n2_-Input!c_),"")</f>
        <v/>
      </c>
      <c r="F62" s="74" t="str">
        <f t="shared" si="127"/>
        <v/>
      </c>
      <c r="H62" s="196"/>
      <c r="I62" s="182"/>
      <c r="J62" s="146" t="str">
        <f t="shared" si="2"/>
        <v/>
      </c>
      <c r="K62" s="39" t="str">
        <f t="shared" si="128"/>
        <v/>
      </c>
      <c r="L62" s="39" t="str">
        <f t="shared" si="129"/>
        <v/>
      </c>
      <c r="M62" s="39" t="str">
        <f t="shared" si="130"/>
        <v/>
      </c>
      <c r="N62" s="74" t="str">
        <f t="shared" si="131"/>
        <v/>
      </c>
      <c r="P62" s="176"/>
      <c r="Q62" s="130" t="str">
        <f t="shared" si="132"/>
        <v/>
      </c>
      <c r="R62" s="39" t="str">
        <f t="shared" si="133"/>
        <v/>
      </c>
      <c r="S62" s="39" t="str">
        <f t="shared" si="134"/>
        <v/>
      </c>
      <c r="T62" s="74" t="str">
        <f t="shared" si="135"/>
        <v/>
      </c>
      <c r="V62" s="176"/>
      <c r="W62" s="130" t="str">
        <f t="shared" si="136"/>
        <v/>
      </c>
      <c r="X62" s="39" t="str">
        <f t="shared" si="137"/>
        <v/>
      </c>
      <c r="Y62" s="39" t="str">
        <f t="shared" si="138"/>
        <v/>
      </c>
      <c r="Z62" s="74" t="str">
        <f t="shared" si="139"/>
        <v/>
      </c>
      <c r="AB62" s="176"/>
      <c r="AC62" s="130" t="str">
        <f t="shared" si="140"/>
        <v/>
      </c>
      <c r="AD62" s="39" t="str">
        <f t="shared" si="141"/>
        <v/>
      </c>
      <c r="AE62" s="39" t="str">
        <f t="shared" si="142"/>
        <v/>
      </c>
      <c r="AF62" s="39" t="str">
        <f t="shared" si="143"/>
        <v/>
      </c>
      <c r="AG62" s="74" t="str">
        <f t="shared" si="144"/>
        <v/>
      </c>
      <c r="AI62" s="196"/>
      <c r="AJ6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2" s="136" t="str">
        <f>IF(AJ62&lt;&gt;"",IF(AJ62=0,COUNTIF(AJ$2:AJ61,0)+1,COUNTIF(AJ$2:AJ61,AJ62)+AJ62+COUNTIF(AJ:AJ,0)),"")</f>
        <v/>
      </c>
      <c r="AL62" s="136" t="str">
        <f t="shared" si="20"/>
        <v/>
      </c>
      <c r="AM62" s="155" t="str">
        <f>IF(AND(Include_study?="Yes",Sufficient_data="Yes",Input!Study_name&lt;&gt;""),Input!Study_name,"")</f>
        <v/>
      </c>
      <c r="AN62" s="136" t="str">
        <f t="shared" si="21"/>
        <v/>
      </c>
      <c r="AO62" s="19" t="str">
        <f t="shared" si="145"/>
        <v/>
      </c>
      <c r="AP62" s="158" t="str">
        <f t="shared" si="146"/>
        <v/>
      </c>
      <c r="AQ62" s="158" t="str">
        <f t="shared" si="147"/>
        <v/>
      </c>
      <c r="AR62" s="39" t="str">
        <f t="shared" si="148"/>
        <v/>
      </c>
      <c r="AS62" s="158" t="str">
        <f t="shared" si="149"/>
        <v/>
      </c>
      <c r="AT62" s="39" t="str">
        <f t="shared" si="150"/>
        <v/>
      </c>
      <c r="AU62" s="172" t="str">
        <f t="shared" si="151"/>
        <v/>
      </c>
      <c r="AV62" s="45"/>
      <c r="AW62" s="84" t="e">
        <f t="shared" si="152"/>
        <v>#N/A</v>
      </c>
      <c r="AX62" s="69" t="e">
        <f t="shared" si="153"/>
        <v>#N/A</v>
      </c>
      <c r="AY62" s="74" t="e">
        <f t="shared" si="154"/>
        <v>#N/A</v>
      </c>
      <c r="AZ62" s="45"/>
      <c r="BA62" s="45"/>
      <c r="BB62" s="45"/>
      <c r="BC62" s="45"/>
      <c r="BD62" s="196"/>
      <c r="BE62" s="182"/>
      <c r="BF62" s="69" t="str">
        <f t="shared" si="155"/>
        <v/>
      </c>
      <c r="BG62" s="69" t="str">
        <f t="shared" si="156"/>
        <v/>
      </c>
      <c r="BH62" s="69" t="str">
        <f t="shared" si="157"/>
        <v/>
      </c>
      <c r="BI62" s="39" t="str">
        <f t="shared" si="158"/>
        <v/>
      </c>
      <c r="BJ62" s="95" t="str">
        <f t="shared" si="159"/>
        <v/>
      </c>
      <c r="BO62" s="176"/>
      <c r="BP62" s="158" t="str">
        <f t="shared" si="160"/>
        <v/>
      </c>
      <c r="BQ62" s="158" t="str">
        <f t="shared" si="161"/>
        <v/>
      </c>
      <c r="BR62" s="158" t="str">
        <f t="shared" si="162"/>
        <v/>
      </c>
      <c r="BS62" s="158" t="str">
        <f>IF(AND(Sufficient_data="Yes",Include_study?="Yes"),IF(Add_0_5="Yes",(a_+d_+1)*(ab_+0.5)*(c_+0.5)/(Number_of_subjects+2)^2,(a_+d_)*b_*c_/Number_of_subjects^2),"")</f>
        <v/>
      </c>
      <c r="BT62" s="158" t="str">
        <f t="shared" si="163"/>
        <v/>
      </c>
      <c r="BU62" s="158" t="str">
        <f t="shared" si="164"/>
        <v/>
      </c>
      <c r="BV62" s="158" t="str">
        <f t="shared" si="165"/>
        <v/>
      </c>
      <c r="BW62" s="69" t="str">
        <f t="shared" si="166"/>
        <v/>
      </c>
      <c r="BX62" s="137" t="str">
        <f t="shared" si="167"/>
        <v/>
      </c>
      <c r="BY62" s="95" t="str">
        <f t="shared" si="168"/>
        <v/>
      </c>
      <c r="CD62" s="176"/>
      <c r="CE62" s="130" t="str">
        <f t="shared" si="169"/>
        <v/>
      </c>
      <c r="CF62" s="39" t="str">
        <f t="shared" si="170"/>
        <v/>
      </c>
      <c r="CG62" s="39" t="str">
        <f t="shared" si="171"/>
        <v/>
      </c>
      <c r="CH62" s="39" t="str">
        <f t="shared" si="172"/>
        <v/>
      </c>
      <c r="CI62" s="39" t="str">
        <f t="shared" si="173"/>
        <v/>
      </c>
      <c r="CJ62" s="39" t="str">
        <f t="shared" si="50"/>
        <v/>
      </c>
      <c r="CK62" s="95" t="str">
        <f t="shared" si="174"/>
        <v/>
      </c>
      <c r="CP62" s="176"/>
      <c r="CQ62" s="99" t="str">
        <f t="shared" si="175"/>
        <v/>
      </c>
      <c r="CX62" s="196"/>
      <c r="CY62" s="89" t="e">
        <f t="shared" si="176"/>
        <v>#N/A</v>
      </c>
      <c r="CZ62" s="136" t="str">
        <f t="shared" si="177"/>
        <v/>
      </c>
      <c r="DA62" s="140" t="str">
        <f t="shared" si="178"/>
        <v/>
      </c>
      <c r="DB62" s="39" t="str">
        <f t="shared" si="179"/>
        <v/>
      </c>
      <c r="DC62" s="39" t="str">
        <f t="shared" si="180"/>
        <v/>
      </c>
      <c r="DD62" s="39" t="str">
        <f t="shared" si="181"/>
        <v/>
      </c>
      <c r="DE62" s="39" t="str">
        <f t="shared" si="182"/>
        <v/>
      </c>
      <c r="DF62" s="141" t="str">
        <f t="shared" si="183"/>
        <v/>
      </c>
      <c r="DG62" s="39" t="str">
        <f t="shared" si="184"/>
        <v/>
      </c>
      <c r="DH62" s="39" t="str">
        <f t="shared" si="185"/>
        <v/>
      </c>
      <c r="DI62" s="39" t="str">
        <f t="shared" si="186"/>
        <v/>
      </c>
      <c r="DJ62" s="74" t="str">
        <f t="shared" si="187"/>
        <v/>
      </c>
      <c r="DK62" s="45"/>
      <c r="DL62" s="84" t="e">
        <f t="shared" si="222"/>
        <v>#N/A</v>
      </c>
      <c r="DM62" s="39" t="e">
        <f t="shared" si="189"/>
        <v>#N/A</v>
      </c>
      <c r="DN62" s="74" t="e">
        <f t="shared" si="190"/>
        <v>#N/A</v>
      </c>
      <c r="DO62" s="45"/>
      <c r="DP62" s="89" t="str">
        <f t="shared" si="102"/>
        <v/>
      </c>
      <c r="DQ62" s="26" t="str">
        <f>IF(AND(Sufficient_data="Yes",Subgroup&lt;&gt;""),IF(COUNTIFS(Input!J$2:J61,"="&amp;"Yes",Input!C$2:C61,"="&amp;"Yes",Input!K$2:K61,"="&amp;Subgroup)&gt;0,"",Subgroup),"")</f>
        <v/>
      </c>
      <c r="DR62" s="7" t="str">
        <f t="shared" si="103"/>
        <v/>
      </c>
      <c r="DS62" s="7" t="str">
        <f t="shared" si="191"/>
        <v/>
      </c>
      <c r="DT62" s="19" t="str">
        <f t="shared" si="192"/>
        <v/>
      </c>
      <c r="DU62" s="12" t="str">
        <f t="shared" si="223"/>
        <v/>
      </c>
      <c r="DV62" s="11" t="str">
        <f t="shared" si="224"/>
        <v/>
      </c>
      <c r="DW62" s="12" t="str">
        <f t="shared" si="225"/>
        <v/>
      </c>
      <c r="DX62" s="12" t="str">
        <f t="shared" si="194"/>
        <v/>
      </c>
      <c r="DY62" s="19" t="str">
        <f t="shared" si="226"/>
        <v/>
      </c>
      <c r="DZ62" s="12" t="str">
        <f t="shared" si="227"/>
        <v/>
      </c>
      <c r="EA62" s="19" t="str">
        <f t="shared" si="196"/>
        <v/>
      </c>
      <c r="EB62" s="7" t="str">
        <f t="shared" si="197"/>
        <v/>
      </c>
      <c r="EC62" s="19" t="str">
        <f t="shared" si="198"/>
        <v/>
      </c>
      <c r="ED62" s="19" t="str">
        <f t="shared" si="199"/>
        <v/>
      </c>
      <c r="EE62" s="19" t="str">
        <f t="shared" si="228"/>
        <v/>
      </c>
      <c r="EF62" s="19" t="str">
        <f t="shared" si="229"/>
        <v/>
      </c>
      <c r="EG62" s="19" t="str">
        <f t="shared" si="230"/>
        <v/>
      </c>
      <c r="EH62" s="19" t="str">
        <f t="shared" si="231"/>
        <v/>
      </c>
      <c r="EI62" s="19" t="str">
        <f t="shared" si="232"/>
        <v/>
      </c>
      <c r="EJ62" s="19" t="str">
        <f t="shared" si="200"/>
        <v/>
      </c>
      <c r="EK62" s="19" t="str">
        <f t="shared" si="201"/>
        <v/>
      </c>
      <c r="EL62" s="19" t="str">
        <f t="shared" si="233"/>
        <v/>
      </c>
      <c r="EM62" s="19" t="str">
        <f t="shared" si="234"/>
        <v/>
      </c>
      <c r="EN62" s="19" t="str">
        <f t="shared" si="235"/>
        <v/>
      </c>
      <c r="EO62" s="19" t="str">
        <f t="shared" si="236"/>
        <v/>
      </c>
      <c r="EP62" s="19" t="str">
        <f t="shared" si="237"/>
        <v/>
      </c>
      <c r="EQ62" s="19" t="e">
        <f t="shared" si="238"/>
        <v>#N/A</v>
      </c>
      <c r="ER62" s="11" t="str">
        <f t="shared" si="120"/>
        <v/>
      </c>
      <c r="ES62" s="19" t="str">
        <f t="shared" si="121"/>
        <v/>
      </c>
      <c r="ET62" s="156" t="str">
        <f t="shared" si="203"/>
        <v/>
      </c>
      <c r="EU62" s="39" t="str">
        <f t="shared" si="239"/>
        <v/>
      </c>
      <c r="EV62" s="74" t="str">
        <f t="shared" si="205"/>
        <v/>
      </c>
      <c r="FA62" s="196"/>
      <c r="FB62" s="84" t="e">
        <f>IF(AND(Include_study?="Yes",Sufficient_data="Yes",Moderator&lt;&gt;""),'Moderator Analysis'!E62,NA())</f>
        <v>#N/A</v>
      </c>
      <c r="FC62" s="39" t="e">
        <f>IF(AND(Include_study?="Yes",Sufficient_data="Yes",Moderator&lt;&gt;""),'Moderator Analysis'!F62,NA())</f>
        <v>#N/A</v>
      </c>
      <c r="FD62" s="39" t="str">
        <f t="shared" si="206"/>
        <v/>
      </c>
      <c r="FE62" s="39" t="str">
        <f t="shared" si="207"/>
        <v/>
      </c>
      <c r="FF62" s="39" t="str">
        <f>IF(AND(Include_study?="Yes",Sufficient_data="Yes",Moderator&lt;&gt;""),'Moderator Analysis'!F:F-FP$2,"")</f>
        <v/>
      </c>
      <c r="FG62" s="39" t="str">
        <f>IF(AND(Include_study?="Yes",Sufficient_data="Yes",Moderator&lt;&gt;""),'Moderator Analysis'!E:E-FP$3,"")</f>
        <v/>
      </c>
      <c r="FH62" s="74" t="str">
        <f>IF(AND(Include_study?="Yes",Sufficient_data="Yes",Moderator&lt;&gt;""),FE:FE*('Moderator Analysis'!F:F-FP$5-FP$4*'Moderator Analysis'!E:E)^2,"")</f>
        <v/>
      </c>
      <c r="FI62" s="128"/>
      <c r="FJ62" s="92" t="str">
        <f t="shared" si="208"/>
        <v/>
      </c>
      <c r="FK62" s="137" t="str">
        <f>IF(AND(Include_study?="Yes",Sufficient_data="Yes",Moderator&lt;&gt;""),'Moderator Analysis'!F:F-'Moderator Analysis'!J$37,"")</f>
        <v/>
      </c>
      <c r="FL62" s="137" t="str">
        <f>IF(AND(Include_study?="Yes",Sufficient_data="Yes",Moderator&lt;&gt;""),'Moderator Analysis'!E:E-SUMPRODUCT('Moderator Analysis'!E:E,FJ:FJ)/SUM(FJ:FJ),"")</f>
        <v/>
      </c>
      <c r="FM62" s="95" t="str">
        <f>IF(AND(Include_study?="Yes",Sufficient_data="Yes",Moderator&lt;&gt;""),FJ:FJ*('Moderator Analysis'!F:F-'Moderator Analysis'!J$29-'Moderator Analysis'!J$30*'Moderator Analysis'!E:E)^2,"")</f>
        <v/>
      </c>
      <c r="FR62" s="196"/>
      <c r="FS62" s="182"/>
      <c r="FT6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2" s="39" t="str">
        <f>IF(AND(Include_study?="Yes",Sufficient_data="Yes"),1/('Publication Bias Analysis'!F:F^2+IF(Additional_model="Fixed effect",0,Calculations!GH$12)),"")</f>
        <v/>
      </c>
      <c r="FV62" s="39" t="str">
        <f>IF(AND(Include_study?="Yes",Sufficient_data="Yes"),1/('Publication Bias Analysis'!F:F^2+IF(Additional_model="Fixed effect",0,'Publication Bias Analysis'!L$32)),"")</f>
        <v/>
      </c>
      <c r="FW62" s="39" t="str">
        <f>IF(AND(Include_study?="Yes",Sufficient_data="Yes"),'Publication Bias Analysis'!E:E-'Publication Bias Analysis'!I$37,"")</f>
        <v/>
      </c>
      <c r="FX62" s="39" t="str">
        <f>IF(AND(Include_study?="Yes",Sufficient_data="Yes"),IF(Additional_model="Fixed effect",1/'Publication Bias Analysis'!F:F,1/SQRT('Publication Bias Analysis'!F:F^2+GH$12)),"")</f>
        <v/>
      </c>
      <c r="FY6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2" s="136" t="str">
        <f t="shared" si="209"/>
        <v/>
      </c>
      <c r="GA62" s="144" t="str">
        <f>IF(AND(Include_study?="Yes",Sufficient_data="Yes"),FZ:FZ+IF(GL:GL&lt;0,-1,1)*COUNTIF(FZ$2:FZ61,FZ:FZ),"")</f>
        <v/>
      </c>
      <c r="GB62" s="144" t="str">
        <f>IF(AND(Include_study?="Yes",Sufficient_data="Yes"),RANK(GP:GP,GP:GP,1)*IF(GO:GO&lt;0,-1,1)+IF(GO:GO&lt;0,-1,1)*COUNTIF(FZ$2:FZ61,FZ:FZ),"")</f>
        <v/>
      </c>
      <c r="GC62" s="144" t="str">
        <f>IF(AND(Include_study?="Yes",Sufficient_data="Yes"),RANK(GS:GS,GS:GS,1)*IF(GR:GR&lt;0,-1,1)+IF(GR:GR&lt;0,-1,1)*COUNTIF(FZ$2:FZ61,FZ:FZ),"")</f>
        <v/>
      </c>
      <c r="GD62" s="39" t="e">
        <f>IF(AND(Include_study?="Yes",Sufficient_data="Yes"),'Publication Bias Analysis'!E62,NA())</f>
        <v>#N/A</v>
      </c>
      <c r="GE62" s="74" t="e">
        <f>IF(AND(Include_study?="Yes",Sufficient_data="Yes"),'Publication Bias Analysis'!F62,NA())</f>
        <v>#N/A</v>
      </c>
      <c r="GK62" s="176"/>
      <c r="GL6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2" s="39" t="str">
        <f t="shared" si="210"/>
        <v/>
      </c>
      <c r="GN6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2" s="39" t="str">
        <f>IF(AND(Include_study?="Yes",Sufficient_data="Yes"),IF('Publication Bias Analysis'!L$38="Left",'Publication Bias Analysis'!E:E-GW$3,GW$3-'Publication Bias Analysis'!E:E),"")</f>
        <v/>
      </c>
      <c r="GP62" s="39" t="str">
        <f t="shared" si="242"/>
        <v/>
      </c>
      <c r="GQ6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2" s="39" t="str">
        <f>IF(AND(Include_study?="Yes",Sufficient_data="Yes"),IF('Publication Bias Analysis'!L$38="Left",'Publication Bias Analysis'!E:E-GW$10,GW$10-'Publication Bias Analysis'!E:E),"")</f>
        <v/>
      </c>
      <c r="GS62" s="39" t="str">
        <f t="shared" si="243"/>
        <v/>
      </c>
      <c r="GT6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2" s="176"/>
      <c r="HL62" s="69" t="str">
        <f t="shared" si="89"/>
        <v/>
      </c>
      <c r="HM62" s="74" t="str">
        <f>IF(AND(Include_study?="Yes",Sufficient_data="Yes"),Z_score-('Publication Bias Analysis'!P$3+'Publication Bias Analysis'!P$4*Inverse_standard_error),"")</f>
        <v/>
      </c>
      <c r="HO62" s="176"/>
      <c r="HP62" s="69" t="str">
        <f>IF(AND(Include_study?="Yes",Sufficient_data="Yes"),(GD:GD-SUMPRODUCT(Calculations!FT:FT,'Publication Bias Analysis'!E:E)/SUM(Calculations!FT:FT))/SQRT(Calculations!HQ:HQ),"")</f>
        <v/>
      </c>
      <c r="HQ62" s="69" t="str">
        <f>IF(AND(Include_study?="Yes",Sufficient_data="Yes"),GE:GE^2-1/SUM(Calculations!FT:FT),"")</f>
        <v/>
      </c>
      <c r="HR62" s="7" t="str">
        <f t="shared" si="240"/>
        <v/>
      </c>
      <c r="HS62" s="7" t="str">
        <f t="shared" si="241"/>
        <v/>
      </c>
      <c r="HT62" s="7" t="str">
        <f>IF(AND(Include_study?="Yes",Sufficient_data="Yes"),COUNTIFS(HR$2:HR61,"&lt;"&amp;HR62,HS$2:HS61,"&lt;"&amp;HS62)+COUNTIFS(HR63:HR$201,"&lt;"&amp;HR62,HS63:HS$201,"&lt;"&amp;HS62)+COUNTIFS(HR$2:HR61,"&gt;"&amp;HR62,HS$2:HS61,"&gt;"&amp;HS62)+COUNTIFS(HR63:HR$201,"&gt;"&amp;HR62,HS63:HS$201,"&gt;"&amp;HS62),"")</f>
        <v/>
      </c>
      <c r="HU62" s="104" t="str">
        <f>IF(AND(Include_study?="Yes",Sufficient_data="Yes"),COUNTIFS(HR$2:HR61,"&lt;"&amp;HR62,HS$2:HS61,"&gt;"&amp;HS62)+COUNTIFS(HR63:HR$201,"&lt;"&amp;HR62,HS63:HS$201,"&gt;"&amp;HS62)+COUNTIFS(HR$2:HR61,"&gt;"&amp;HR62,HS$2:HS61,"&lt;"&amp;HS62)+COUNTIFS(HR63:HR$201,"&gt;"&amp;HR62,HS63:HS$201,"&lt;"&amp;HS62),"")</f>
        <v/>
      </c>
      <c r="HW62" s="176"/>
      <c r="IB62" s="176"/>
      <c r="IC62" s="146" t="e">
        <f t="shared" si="215"/>
        <v>#N/A</v>
      </c>
      <c r="ID62" s="137" t="e">
        <f t="shared" si="216"/>
        <v>#N/A</v>
      </c>
      <c r="IE62" s="137" t="str">
        <f t="shared" si="217"/>
        <v/>
      </c>
      <c r="IF62" s="95" t="str">
        <f t="shared" si="218"/>
        <v/>
      </c>
      <c r="IK62" s="176"/>
      <c r="IL62" s="69" t="e">
        <f>IF(AND(Include_study?="Yes",Sufficient_data="Yes"),'Publication Bias Analysis'!AV:AV,NA())</f>
        <v>#N/A</v>
      </c>
      <c r="IM62" s="158" t="e">
        <f>IF(AND(Sufficient_data="Yes",Include_study?="Yes"),'Publication Bias Analysis'!AU:AU,NA())</f>
        <v>#N/A</v>
      </c>
      <c r="IN62" s="69" t="str">
        <f t="shared" si="219"/>
        <v/>
      </c>
      <c r="IO62" s="74" t="str">
        <f>IF(AND(Include_study?="Yes",Sufficient_data="Yes"),Z_score-('Publication Bias Analysis'!AY$30+'Publication Bias Analysis'!AY$31*Inverse_standard_error),"")</f>
        <v/>
      </c>
      <c r="IU62" s="176"/>
      <c r="IV62" s="7" t="str">
        <f>IF('Publication Bias Analysis'!BG:BG&lt;&gt;"",RANK('Publication Bias Analysis'!BG:BG,'Publication Bias Analysis'!BG:BG,1)+COUNTIF('Publication Bias Analysis'!BG$2:BG61,'Publication Bias Analysis'!BG62),"")</f>
        <v/>
      </c>
      <c r="IW62" s="124" t="str">
        <f t="shared" si="220"/>
        <v/>
      </c>
      <c r="IX62" s="125" t="e">
        <f>IF('Publication Bias Analysis'!BF62&lt;&gt;"",'Publication Bias Analysis'!BF62,NA())</f>
        <v>#N/A</v>
      </c>
      <c r="IY62" s="125" t="e">
        <f>IF('Publication Bias Analysis'!BG62&lt;&gt;"",'Publication Bias Analysis'!BG62,NA())</f>
        <v>#N/A</v>
      </c>
      <c r="IZ62" s="69" t="str">
        <f>IF(AND(Include_study?="Yes",Sufficient_data="Yes"),'Publication Bias Analysis'!BF:BF-AVERAGE('Publication Bias Analysis'!BF:BF),"")</f>
        <v/>
      </c>
      <c r="JA62" s="74" t="str">
        <f>IF(AND(Include_study?="Yes",Sufficient_data="Yes"),'Publication Bias Analysis'!BG:BG-('Publication Bias Analysis'!BJ$30+'Publication Bias Analysis'!BJ$31*'Publication Bias Analysis'!BF:BF),"")</f>
        <v/>
      </c>
      <c r="JG62" s="176"/>
      <c r="JH62" s="39" t="str">
        <f t="shared" si="221"/>
        <v/>
      </c>
      <c r="JI62" s="148" t="str">
        <f t="shared" si="124"/>
        <v/>
      </c>
      <c r="JJ62" s="74" t="str">
        <f t="shared" si="125"/>
        <v/>
      </c>
    </row>
    <row r="63" spans="1:270" x14ac:dyDescent="0.2">
      <c r="A63" s="56" t="str">
        <f t="shared" si="126"/>
        <v/>
      </c>
      <c r="B63" s="7" t="str">
        <f>IF(AND(Include_study?="Yes",Sufficient_data="Yes"),IF(Input!a_&lt;&gt;"",Input!a_,Input!n1_-Input!b_),"")</f>
        <v/>
      </c>
      <c r="C63" s="7" t="str">
        <f>IF(AND(Include_study?="Yes",Sufficient_data="Yes"),IF(Input!b_&lt;&gt;"",Input!b_,Input!n1_-Input!a_),"")</f>
        <v/>
      </c>
      <c r="D63" s="7" t="str">
        <f>IF(AND(Include_study?="Yes",Sufficient_data="Yes"),IF(Input!c_&lt;&gt;"",Input!c_,Input!n2_-Input!d_),"")</f>
        <v/>
      </c>
      <c r="E63" s="7" t="str">
        <f>IF(AND(Include_study?="Yes",Sufficient_data="Yes"),IF(Input!d_&lt;&gt;"",Input!d_,Input!n2_-Input!c_),"")</f>
        <v/>
      </c>
      <c r="F63" s="74" t="str">
        <f t="shared" si="127"/>
        <v/>
      </c>
      <c r="H63" s="196"/>
      <c r="I63" s="182"/>
      <c r="J63" s="146" t="str">
        <f t="shared" si="2"/>
        <v/>
      </c>
      <c r="K63" s="39" t="str">
        <f t="shared" si="128"/>
        <v/>
      </c>
      <c r="L63" s="39" t="str">
        <f t="shared" si="129"/>
        <v/>
      </c>
      <c r="M63" s="39" t="str">
        <f t="shared" si="130"/>
        <v/>
      </c>
      <c r="N63" s="74" t="str">
        <f t="shared" si="131"/>
        <v/>
      </c>
      <c r="P63" s="176"/>
      <c r="Q63" s="130" t="str">
        <f t="shared" si="132"/>
        <v/>
      </c>
      <c r="R63" s="39" t="str">
        <f t="shared" si="133"/>
        <v/>
      </c>
      <c r="S63" s="39" t="str">
        <f t="shared" si="134"/>
        <v/>
      </c>
      <c r="T63" s="74" t="str">
        <f t="shared" si="135"/>
        <v/>
      </c>
      <c r="V63" s="176"/>
      <c r="W63" s="130" t="str">
        <f t="shared" si="136"/>
        <v/>
      </c>
      <c r="X63" s="39" t="str">
        <f t="shared" si="137"/>
        <v/>
      </c>
      <c r="Y63" s="39" t="str">
        <f t="shared" si="138"/>
        <v/>
      </c>
      <c r="Z63" s="74" t="str">
        <f t="shared" si="139"/>
        <v/>
      </c>
      <c r="AB63" s="176"/>
      <c r="AC63" s="130" t="str">
        <f t="shared" si="140"/>
        <v/>
      </c>
      <c r="AD63" s="39" t="str">
        <f t="shared" si="141"/>
        <v/>
      </c>
      <c r="AE63" s="39" t="str">
        <f t="shared" si="142"/>
        <v/>
      </c>
      <c r="AF63" s="39" t="str">
        <f t="shared" si="143"/>
        <v/>
      </c>
      <c r="AG63" s="74" t="str">
        <f t="shared" si="144"/>
        <v/>
      </c>
      <c r="AI63" s="196"/>
      <c r="AJ6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3" s="136" t="str">
        <f>IF(AJ63&lt;&gt;"",IF(AJ63=0,COUNTIF(AJ$2:AJ62,0)+1,COUNTIF(AJ$2:AJ62,AJ63)+AJ63+COUNTIF(AJ:AJ,0)),"")</f>
        <v/>
      </c>
      <c r="AL63" s="136" t="str">
        <f t="shared" si="20"/>
        <v/>
      </c>
      <c r="AM63" s="155" t="str">
        <f>IF(AND(Include_study?="Yes",Sufficient_data="Yes",Input!Study_name&lt;&gt;""),Input!Study_name,"")</f>
        <v/>
      </c>
      <c r="AN63" s="136" t="str">
        <f t="shared" si="21"/>
        <v/>
      </c>
      <c r="AO63" s="19" t="str">
        <f t="shared" si="145"/>
        <v/>
      </c>
      <c r="AP63" s="158" t="str">
        <f t="shared" si="146"/>
        <v/>
      </c>
      <c r="AQ63" s="158" t="str">
        <f t="shared" si="147"/>
        <v/>
      </c>
      <c r="AR63" s="39" t="str">
        <f t="shared" si="148"/>
        <v/>
      </c>
      <c r="AS63" s="158" t="str">
        <f t="shared" si="149"/>
        <v/>
      </c>
      <c r="AT63" s="39" t="str">
        <f t="shared" si="150"/>
        <v/>
      </c>
      <c r="AU63" s="172" t="str">
        <f t="shared" si="151"/>
        <v/>
      </c>
      <c r="AV63" s="45"/>
      <c r="AW63" s="84" t="e">
        <f t="shared" si="152"/>
        <v>#N/A</v>
      </c>
      <c r="AX63" s="69" t="e">
        <f t="shared" si="153"/>
        <v>#N/A</v>
      </c>
      <c r="AY63" s="74" t="e">
        <f t="shared" si="154"/>
        <v>#N/A</v>
      </c>
      <c r="AZ63" s="45"/>
      <c r="BA63" s="45"/>
      <c r="BB63" s="45"/>
      <c r="BC63" s="45"/>
      <c r="BD63" s="196"/>
      <c r="BE63" s="182"/>
      <c r="BF63" s="69" t="str">
        <f t="shared" si="155"/>
        <v/>
      </c>
      <c r="BG63" s="69" t="str">
        <f t="shared" si="156"/>
        <v/>
      </c>
      <c r="BH63" s="69" t="str">
        <f t="shared" si="157"/>
        <v/>
      </c>
      <c r="BI63" s="39" t="str">
        <f t="shared" si="158"/>
        <v/>
      </c>
      <c r="BJ63" s="95" t="str">
        <f t="shared" si="159"/>
        <v/>
      </c>
      <c r="BO63" s="176"/>
      <c r="BP63" s="158" t="str">
        <f t="shared" si="160"/>
        <v/>
      </c>
      <c r="BQ63" s="158" t="str">
        <f t="shared" si="161"/>
        <v/>
      </c>
      <c r="BR63" s="158" t="str">
        <f t="shared" si="162"/>
        <v/>
      </c>
      <c r="BS63" s="158" t="str">
        <f>IF(AND(Sufficient_data="Yes",Include_study?="Yes"),IF(Add_0_5="Yes",(a_+d_+1)*(ab_+0.5)*(c_+0.5)/(Number_of_subjects+2)^2,(a_+d_)*b_*c_/Number_of_subjects^2),"")</f>
        <v/>
      </c>
      <c r="BT63" s="158" t="str">
        <f t="shared" si="163"/>
        <v/>
      </c>
      <c r="BU63" s="158" t="str">
        <f t="shared" si="164"/>
        <v/>
      </c>
      <c r="BV63" s="158" t="str">
        <f t="shared" si="165"/>
        <v/>
      </c>
      <c r="BW63" s="69" t="str">
        <f t="shared" si="166"/>
        <v/>
      </c>
      <c r="BX63" s="137" t="str">
        <f t="shared" si="167"/>
        <v/>
      </c>
      <c r="BY63" s="95" t="str">
        <f t="shared" si="168"/>
        <v/>
      </c>
      <c r="CD63" s="176"/>
      <c r="CE63" s="130" t="str">
        <f t="shared" si="169"/>
        <v/>
      </c>
      <c r="CF63" s="39" t="str">
        <f t="shared" si="170"/>
        <v/>
      </c>
      <c r="CG63" s="39" t="str">
        <f t="shared" si="171"/>
        <v/>
      </c>
      <c r="CH63" s="39" t="str">
        <f t="shared" si="172"/>
        <v/>
      </c>
      <c r="CI63" s="39" t="str">
        <f t="shared" si="173"/>
        <v/>
      </c>
      <c r="CJ63" s="39" t="str">
        <f t="shared" si="50"/>
        <v/>
      </c>
      <c r="CK63" s="95" t="str">
        <f t="shared" si="174"/>
        <v/>
      </c>
      <c r="CP63" s="176"/>
      <c r="CQ63" s="99" t="str">
        <f t="shared" si="175"/>
        <v/>
      </c>
      <c r="CX63" s="196"/>
      <c r="CY63" s="89" t="e">
        <f t="shared" si="176"/>
        <v>#N/A</v>
      </c>
      <c r="CZ63" s="136" t="str">
        <f t="shared" si="177"/>
        <v/>
      </c>
      <c r="DA63" s="140" t="str">
        <f t="shared" si="178"/>
        <v/>
      </c>
      <c r="DB63" s="39" t="str">
        <f t="shared" si="179"/>
        <v/>
      </c>
      <c r="DC63" s="39" t="str">
        <f t="shared" si="180"/>
        <v/>
      </c>
      <c r="DD63" s="39" t="str">
        <f t="shared" si="181"/>
        <v/>
      </c>
      <c r="DE63" s="39" t="str">
        <f t="shared" si="182"/>
        <v/>
      </c>
      <c r="DF63" s="141" t="str">
        <f t="shared" si="183"/>
        <v/>
      </c>
      <c r="DG63" s="39" t="str">
        <f t="shared" si="184"/>
        <v/>
      </c>
      <c r="DH63" s="39" t="str">
        <f t="shared" si="185"/>
        <v/>
      </c>
      <c r="DI63" s="39" t="str">
        <f t="shared" si="186"/>
        <v/>
      </c>
      <c r="DJ63" s="74" t="str">
        <f t="shared" si="187"/>
        <v/>
      </c>
      <c r="DK63" s="45"/>
      <c r="DL63" s="84" t="e">
        <f t="shared" si="222"/>
        <v>#N/A</v>
      </c>
      <c r="DM63" s="39" t="e">
        <f t="shared" si="189"/>
        <v>#N/A</v>
      </c>
      <c r="DN63" s="74" t="e">
        <f t="shared" si="190"/>
        <v>#N/A</v>
      </c>
      <c r="DO63" s="45"/>
      <c r="DP63" s="89" t="str">
        <f t="shared" si="102"/>
        <v/>
      </c>
      <c r="DQ63" s="26" t="str">
        <f>IF(AND(Sufficient_data="Yes",Subgroup&lt;&gt;""),IF(COUNTIFS(Input!J$2:J62,"="&amp;"Yes",Input!C$2:C62,"="&amp;"Yes",Input!K$2:K62,"="&amp;Subgroup)&gt;0,"",Subgroup),"")</f>
        <v/>
      </c>
      <c r="DR63" s="7" t="str">
        <f t="shared" si="103"/>
        <v/>
      </c>
      <c r="DS63" s="7" t="str">
        <f t="shared" si="191"/>
        <v/>
      </c>
      <c r="DT63" s="19" t="str">
        <f t="shared" si="192"/>
        <v/>
      </c>
      <c r="DU63" s="12" t="str">
        <f t="shared" si="223"/>
        <v/>
      </c>
      <c r="DV63" s="11" t="str">
        <f t="shared" si="224"/>
        <v/>
      </c>
      <c r="DW63" s="12" t="str">
        <f t="shared" si="225"/>
        <v/>
      </c>
      <c r="DX63" s="12" t="str">
        <f t="shared" si="194"/>
        <v/>
      </c>
      <c r="DY63" s="19" t="str">
        <f t="shared" si="226"/>
        <v/>
      </c>
      <c r="DZ63" s="12" t="str">
        <f t="shared" si="227"/>
        <v/>
      </c>
      <c r="EA63" s="19" t="str">
        <f t="shared" si="196"/>
        <v/>
      </c>
      <c r="EB63" s="7" t="str">
        <f t="shared" si="197"/>
        <v/>
      </c>
      <c r="EC63" s="19" t="str">
        <f t="shared" si="198"/>
        <v/>
      </c>
      <c r="ED63" s="19" t="str">
        <f t="shared" si="199"/>
        <v/>
      </c>
      <c r="EE63" s="19" t="str">
        <f t="shared" si="228"/>
        <v/>
      </c>
      <c r="EF63" s="19" t="str">
        <f t="shared" si="229"/>
        <v/>
      </c>
      <c r="EG63" s="19" t="str">
        <f t="shared" si="230"/>
        <v/>
      </c>
      <c r="EH63" s="19" t="str">
        <f t="shared" si="231"/>
        <v/>
      </c>
      <c r="EI63" s="19" t="str">
        <f t="shared" si="232"/>
        <v/>
      </c>
      <c r="EJ63" s="19" t="str">
        <f t="shared" si="200"/>
        <v/>
      </c>
      <c r="EK63" s="19" t="str">
        <f t="shared" si="201"/>
        <v/>
      </c>
      <c r="EL63" s="19" t="str">
        <f t="shared" si="233"/>
        <v/>
      </c>
      <c r="EM63" s="19" t="str">
        <f t="shared" si="234"/>
        <v/>
      </c>
      <c r="EN63" s="19" t="str">
        <f t="shared" si="235"/>
        <v/>
      </c>
      <c r="EO63" s="19" t="str">
        <f t="shared" si="236"/>
        <v/>
      </c>
      <c r="EP63" s="19" t="str">
        <f t="shared" si="237"/>
        <v/>
      </c>
      <c r="EQ63" s="19" t="e">
        <f t="shared" si="238"/>
        <v>#N/A</v>
      </c>
      <c r="ER63" s="11" t="str">
        <f t="shared" si="120"/>
        <v/>
      </c>
      <c r="ES63" s="19" t="str">
        <f t="shared" si="121"/>
        <v/>
      </c>
      <c r="ET63" s="156" t="str">
        <f t="shared" si="203"/>
        <v/>
      </c>
      <c r="EU63" s="39" t="str">
        <f t="shared" si="239"/>
        <v/>
      </c>
      <c r="EV63" s="74" t="str">
        <f t="shared" si="205"/>
        <v/>
      </c>
      <c r="FA63" s="196"/>
      <c r="FB63" s="84" t="e">
        <f>IF(AND(Include_study?="Yes",Sufficient_data="Yes",Moderator&lt;&gt;""),'Moderator Analysis'!E63,NA())</f>
        <v>#N/A</v>
      </c>
      <c r="FC63" s="39" t="e">
        <f>IF(AND(Include_study?="Yes",Sufficient_data="Yes",Moderator&lt;&gt;""),'Moderator Analysis'!F63,NA())</f>
        <v>#N/A</v>
      </c>
      <c r="FD63" s="39" t="str">
        <f t="shared" si="206"/>
        <v/>
      </c>
      <c r="FE63" s="39" t="str">
        <f t="shared" si="207"/>
        <v/>
      </c>
      <c r="FF63" s="39" t="str">
        <f>IF(AND(Include_study?="Yes",Sufficient_data="Yes",Moderator&lt;&gt;""),'Moderator Analysis'!F:F-FP$2,"")</f>
        <v/>
      </c>
      <c r="FG63" s="39" t="str">
        <f>IF(AND(Include_study?="Yes",Sufficient_data="Yes",Moderator&lt;&gt;""),'Moderator Analysis'!E:E-FP$3,"")</f>
        <v/>
      </c>
      <c r="FH63" s="74" t="str">
        <f>IF(AND(Include_study?="Yes",Sufficient_data="Yes",Moderator&lt;&gt;""),FE:FE*('Moderator Analysis'!F:F-FP$5-FP$4*'Moderator Analysis'!E:E)^2,"")</f>
        <v/>
      </c>
      <c r="FI63" s="128"/>
      <c r="FJ63" s="92" t="str">
        <f t="shared" si="208"/>
        <v/>
      </c>
      <c r="FK63" s="137" t="str">
        <f>IF(AND(Include_study?="Yes",Sufficient_data="Yes",Moderator&lt;&gt;""),'Moderator Analysis'!F:F-'Moderator Analysis'!J$37,"")</f>
        <v/>
      </c>
      <c r="FL63" s="137" t="str">
        <f>IF(AND(Include_study?="Yes",Sufficient_data="Yes",Moderator&lt;&gt;""),'Moderator Analysis'!E:E-SUMPRODUCT('Moderator Analysis'!E:E,FJ:FJ)/SUM(FJ:FJ),"")</f>
        <v/>
      </c>
      <c r="FM63" s="95" t="str">
        <f>IF(AND(Include_study?="Yes",Sufficient_data="Yes",Moderator&lt;&gt;""),FJ:FJ*('Moderator Analysis'!F:F-'Moderator Analysis'!J$29-'Moderator Analysis'!J$30*'Moderator Analysis'!E:E)^2,"")</f>
        <v/>
      </c>
      <c r="FR63" s="196"/>
      <c r="FS63" s="182"/>
      <c r="FT6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3" s="39" t="str">
        <f>IF(AND(Include_study?="Yes",Sufficient_data="Yes"),1/('Publication Bias Analysis'!F:F^2+IF(Additional_model="Fixed effect",0,Calculations!GH$12)),"")</f>
        <v/>
      </c>
      <c r="FV63" s="39" t="str">
        <f>IF(AND(Include_study?="Yes",Sufficient_data="Yes"),1/('Publication Bias Analysis'!F:F^2+IF(Additional_model="Fixed effect",0,'Publication Bias Analysis'!L$32)),"")</f>
        <v/>
      </c>
      <c r="FW63" s="39" t="str">
        <f>IF(AND(Include_study?="Yes",Sufficient_data="Yes"),'Publication Bias Analysis'!E:E-'Publication Bias Analysis'!I$37,"")</f>
        <v/>
      </c>
      <c r="FX63" s="39" t="str">
        <f>IF(AND(Include_study?="Yes",Sufficient_data="Yes"),IF(Additional_model="Fixed effect",1/'Publication Bias Analysis'!F:F,1/SQRT('Publication Bias Analysis'!F:F^2+GH$12)),"")</f>
        <v/>
      </c>
      <c r="FY6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3" s="136" t="str">
        <f t="shared" si="209"/>
        <v/>
      </c>
      <c r="GA63" s="144" t="str">
        <f>IF(AND(Include_study?="Yes",Sufficient_data="Yes"),FZ:FZ+IF(GL:GL&lt;0,-1,1)*COUNTIF(FZ$2:FZ62,FZ:FZ),"")</f>
        <v/>
      </c>
      <c r="GB63" s="144" t="str">
        <f>IF(AND(Include_study?="Yes",Sufficient_data="Yes"),RANK(GP:GP,GP:GP,1)*IF(GO:GO&lt;0,-1,1)+IF(GO:GO&lt;0,-1,1)*COUNTIF(FZ$2:FZ62,FZ:FZ),"")</f>
        <v/>
      </c>
      <c r="GC63" s="144" t="str">
        <f>IF(AND(Include_study?="Yes",Sufficient_data="Yes"),RANK(GS:GS,GS:GS,1)*IF(GR:GR&lt;0,-1,1)+IF(GR:GR&lt;0,-1,1)*COUNTIF(FZ$2:FZ62,FZ:FZ),"")</f>
        <v/>
      </c>
      <c r="GD63" s="39" t="e">
        <f>IF(AND(Include_study?="Yes",Sufficient_data="Yes"),'Publication Bias Analysis'!E63,NA())</f>
        <v>#N/A</v>
      </c>
      <c r="GE63" s="74" t="e">
        <f>IF(AND(Include_study?="Yes",Sufficient_data="Yes"),'Publication Bias Analysis'!F63,NA())</f>
        <v>#N/A</v>
      </c>
      <c r="GK63" s="176"/>
      <c r="GL6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3" s="39" t="str">
        <f t="shared" si="210"/>
        <v/>
      </c>
      <c r="GN6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3" s="39" t="str">
        <f>IF(AND(Include_study?="Yes",Sufficient_data="Yes"),IF('Publication Bias Analysis'!L$38="Left",'Publication Bias Analysis'!E:E-GW$3,GW$3-'Publication Bias Analysis'!E:E),"")</f>
        <v/>
      </c>
      <c r="GP63" s="39" t="str">
        <f t="shared" si="242"/>
        <v/>
      </c>
      <c r="GQ6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3" s="39" t="str">
        <f>IF(AND(Include_study?="Yes",Sufficient_data="Yes"),IF('Publication Bias Analysis'!L$38="Left",'Publication Bias Analysis'!E:E-GW$10,GW$10-'Publication Bias Analysis'!E:E),"")</f>
        <v/>
      </c>
      <c r="GS63" s="39" t="str">
        <f t="shared" si="243"/>
        <v/>
      </c>
      <c r="GT6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3" s="176"/>
      <c r="HL63" s="69" t="str">
        <f t="shared" si="89"/>
        <v/>
      </c>
      <c r="HM63" s="74" t="str">
        <f>IF(AND(Include_study?="Yes",Sufficient_data="Yes"),Z_score-('Publication Bias Analysis'!P$3+'Publication Bias Analysis'!P$4*Inverse_standard_error),"")</f>
        <v/>
      </c>
      <c r="HO63" s="176"/>
      <c r="HP63" s="69" t="str">
        <f>IF(AND(Include_study?="Yes",Sufficient_data="Yes"),(GD:GD-SUMPRODUCT(Calculations!FT:FT,'Publication Bias Analysis'!E:E)/SUM(Calculations!FT:FT))/SQRT(Calculations!HQ:HQ),"")</f>
        <v/>
      </c>
      <c r="HQ63" s="69" t="str">
        <f>IF(AND(Include_study?="Yes",Sufficient_data="Yes"),GE:GE^2-1/SUM(Calculations!FT:FT),"")</f>
        <v/>
      </c>
      <c r="HR63" s="7" t="str">
        <f t="shared" si="240"/>
        <v/>
      </c>
      <c r="HS63" s="7" t="str">
        <f t="shared" si="241"/>
        <v/>
      </c>
      <c r="HT63" s="7" t="str">
        <f>IF(AND(Include_study?="Yes",Sufficient_data="Yes"),COUNTIFS(HR$2:HR62,"&lt;"&amp;HR63,HS$2:HS62,"&lt;"&amp;HS63)+COUNTIFS(HR64:HR$201,"&lt;"&amp;HR63,HS64:HS$201,"&lt;"&amp;HS63)+COUNTIFS(HR$2:HR62,"&gt;"&amp;HR63,HS$2:HS62,"&gt;"&amp;HS63)+COUNTIFS(HR64:HR$201,"&gt;"&amp;HR63,HS64:HS$201,"&gt;"&amp;HS63),"")</f>
        <v/>
      </c>
      <c r="HU63" s="104" t="str">
        <f>IF(AND(Include_study?="Yes",Sufficient_data="Yes"),COUNTIFS(HR$2:HR62,"&lt;"&amp;HR63,HS$2:HS62,"&gt;"&amp;HS63)+COUNTIFS(HR64:HR$201,"&lt;"&amp;HR63,HS64:HS$201,"&gt;"&amp;HS63)+COUNTIFS(HR$2:HR62,"&gt;"&amp;HR63,HS$2:HS62,"&lt;"&amp;HS63)+COUNTIFS(HR64:HR$201,"&gt;"&amp;HR63,HS64:HS$201,"&lt;"&amp;HS63),"")</f>
        <v/>
      </c>
      <c r="HW63" s="176"/>
      <c r="IB63" s="176"/>
      <c r="IC63" s="146" t="e">
        <f t="shared" si="215"/>
        <v>#N/A</v>
      </c>
      <c r="ID63" s="137" t="e">
        <f t="shared" si="216"/>
        <v>#N/A</v>
      </c>
      <c r="IE63" s="137" t="str">
        <f t="shared" si="217"/>
        <v/>
      </c>
      <c r="IF63" s="95" t="str">
        <f t="shared" si="218"/>
        <v/>
      </c>
      <c r="IK63" s="176"/>
      <c r="IL63" s="69" t="e">
        <f>IF(AND(Include_study?="Yes",Sufficient_data="Yes"),'Publication Bias Analysis'!AV:AV,NA())</f>
        <v>#N/A</v>
      </c>
      <c r="IM63" s="158" t="e">
        <f>IF(AND(Sufficient_data="Yes",Include_study?="Yes"),'Publication Bias Analysis'!AU:AU,NA())</f>
        <v>#N/A</v>
      </c>
      <c r="IN63" s="69" t="str">
        <f t="shared" si="219"/>
        <v/>
      </c>
      <c r="IO63" s="74" t="str">
        <f>IF(AND(Include_study?="Yes",Sufficient_data="Yes"),Z_score-('Publication Bias Analysis'!AY$30+'Publication Bias Analysis'!AY$31*Inverse_standard_error),"")</f>
        <v/>
      </c>
      <c r="IU63" s="176"/>
      <c r="IV63" s="7" t="str">
        <f>IF('Publication Bias Analysis'!BG:BG&lt;&gt;"",RANK('Publication Bias Analysis'!BG:BG,'Publication Bias Analysis'!BG:BG,1)+COUNTIF('Publication Bias Analysis'!BG$2:BG62,'Publication Bias Analysis'!BG63),"")</f>
        <v/>
      </c>
      <c r="IW63" s="124" t="str">
        <f t="shared" si="220"/>
        <v/>
      </c>
      <c r="IX63" s="125" t="e">
        <f>IF('Publication Bias Analysis'!BF63&lt;&gt;"",'Publication Bias Analysis'!BF63,NA())</f>
        <v>#N/A</v>
      </c>
      <c r="IY63" s="125" t="e">
        <f>IF('Publication Bias Analysis'!BG63&lt;&gt;"",'Publication Bias Analysis'!BG63,NA())</f>
        <v>#N/A</v>
      </c>
      <c r="IZ63" s="69" t="str">
        <f>IF(AND(Include_study?="Yes",Sufficient_data="Yes"),'Publication Bias Analysis'!BF:BF-AVERAGE('Publication Bias Analysis'!BF:BF),"")</f>
        <v/>
      </c>
      <c r="JA63" s="74" t="str">
        <f>IF(AND(Include_study?="Yes",Sufficient_data="Yes"),'Publication Bias Analysis'!BG:BG-('Publication Bias Analysis'!BJ$30+'Publication Bias Analysis'!BJ$31*'Publication Bias Analysis'!BF:BF),"")</f>
        <v/>
      </c>
      <c r="JG63" s="176"/>
      <c r="JH63" s="39" t="str">
        <f t="shared" si="221"/>
        <v/>
      </c>
      <c r="JI63" s="148" t="str">
        <f t="shared" si="124"/>
        <v/>
      </c>
      <c r="JJ63" s="74" t="str">
        <f t="shared" si="125"/>
        <v/>
      </c>
    </row>
    <row r="64" spans="1:270" x14ac:dyDescent="0.2">
      <c r="A64" s="56" t="str">
        <f t="shared" si="126"/>
        <v/>
      </c>
      <c r="B64" s="7" t="str">
        <f>IF(AND(Include_study?="Yes",Sufficient_data="Yes"),IF(Input!a_&lt;&gt;"",Input!a_,Input!n1_-Input!b_),"")</f>
        <v/>
      </c>
      <c r="C64" s="7" t="str">
        <f>IF(AND(Include_study?="Yes",Sufficient_data="Yes"),IF(Input!b_&lt;&gt;"",Input!b_,Input!n1_-Input!a_),"")</f>
        <v/>
      </c>
      <c r="D64" s="7" t="str">
        <f>IF(AND(Include_study?="Yes",Sufficient_data="Yes"),IF(Input!c_&lt;&gt;"",Input!c_,Input!n2_-Input!d_),"")</f>
        <v/>
      </c>
      <c r="E64" s="7" t="str">
        <f>IF(AND(Include_study?="Yes",Sufficient_data="Yes"),IF(Input!d_&lt;&gt;"",Input!d_,Input!n2_-Input!c_),"")</f>
        <v/>
      </c>
      <c r="F64" s="74" t="str">
        <f t="shared" si="127"/>
        <v/>
      </c>
      <c r="H64" s="196"/>
      <c r="I64" s="182"/>
      <c r="J64" s="146" t="str">
        <f t="shared" si="2"/>
        <v/>
      </c>
      <c r="K64" s="39" t="str">
        <f t="shared" si="128"/>
        <v/>
      </c>
      <c r="L64" s="39" t="str">
        <f t="shared" si="129"/>
        <v/>
      </c>
      <c r="M64" s="39" t="str">
        <f t="shared" si="130"/>
        <v/>
      </c>
      <c r="N64" s="74" t="str">
        <f t="shared" si="131"/>
        <v/>
      </c>
      <c r="P64" s="176"/>
      <c r="Q64" s="130" t="str">
        <f t="shared" si="132"/>
        <v/>
      </c>
      <c r="R64" s="39" t="str">
        <f t="shared" si="133"/>
        <v/>
      </c>
      <c r="S64" s="39" t="str">
        <f t="shared" si="134"/>
        <v/>
      </c>
      <c r="T64" s="74" t="str">
        <f t="shared" si="135"/>
        <v/>
      </c>
      <c r="V64" s="176"/>
      <c r="W64" s="130" t="str">
        <f t="shared" si="136"/>
        <v/>
      </c>
      <c r="X64" s="39" t="str">
        <f t="shared" si="137"/>
        <v/>
      </c>
      <c r="Y64" s="39" t="str">
        <f t="shared" si="138"/>
        <v/>
      </c>
      <c r="Z64" s="74" t="str">
        <f t="shared" si="139"/>
        <v/>
      </c>
      <c r="AB64" s="176"/>
      <c r="AC64" s="130" t="str">
        <f t="shared" si="140"/>
        <v/>
      </c>
      <c r="AD64" s="39" t="str">
        <f t="shared" si="141"/>
        <v/>
      </c>
      <c r="AE64" s="39" t="str">
        <f t="shared" si="142"/>
        <v/>
      </c>
      <c r="AF64" s="39" t="str">
        <f t="shared" si="143"/>
        <v/>
      </c>
      <c r="AG64" s="74" t="str">
        <f t="shared" si="144"/>
        <v/>
      </c>
      <c r="AI64" s="196"/>
      <c r="AJ6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4" s="136" t="str">
        <f>IF(AJ64&lt;&gt;"",IF(AJ64=0,COUNTIF(AJ$2:AJ63,0)+1,COUNTIF(AJ$2:AJ63,AJ64)+AJ64+COUNTIF(AJ:AJ,0)),"")</f>
        <v/>
      </c>
      <c r="AL64" s="136" t="str">
        <f t="shared" si="20"/>
        <v/>
      </c>
      <c r="AM64" s="155" t="str">
        <f>IF(AND(Include_study?="Yes",Sufficient_data="Yes",Input!Study_name&lt;&gt;""),Input!Study_name,"")</f>
        <v/>
      </c>
      <c r="AN64" s="136" t="str">
        <f t="shared" si="21"/>
        <v/>
      </c>
      <c r="AO64" s="19" t="str">
        <f t="shared" si="145"/>
        <v/>
      </c>
      <c r="AP64" s="158" t="str">
        <f t="shared" si="146"/>
        <v/>
      </c>
      <c r="AQ64" s="158" t="str">
        <f t="shared" si="147"/>
        <v/>
      </c>
      <c r="AR64" s="39" t="str">
        <f t="shared" si="148"/>
        <v/>
      </c>
      <c r="AS64" s="158" t="str">
        <f t="shared" si="149"/>
        <v/>
      </c>
      <c r="AT64" s="39" t="str">
        <f t="shared" si="150"/>
        <v/>
      </c>
      <c r="AU64" s="172" t="str">
        <f t="shared" si="151"/>
        <v/>
      </c>
      <c r="AV64" s="45"/>
      <c r="AW64" s="84" t="e">
        <f t="shared" si="152"/>
        <v>#N/A</v>
      </c>
      <c r="AX64" s="69" t="e">
        <f t="shared" si="153"/>
        <v>#N/A</v>
      </c>
      <c r="AY64" s="74" t="e">
        <f t="shared" si="154"/>
        <v>#N/A</v>
      </c>
      <c r="AZ64" s="45"/>
      <c r="BA64" s="45"/>
      <c r="BB64" s="45"/>
      <c r="BC64" s="45"/>
      <c r="BD64" s="196"/>
      <c r="BE64" s="182"/>
      <c r="BF64" s="69" t="str">
        <f t="shared" si="155"/>
        <v/>
      </c>
      <c r="BG64" s="69" t="str">
        <f t="shared" si="156"/>
        <v/>
      </c>
      <c r="BH64" s="69" t="str">
        <f t="shared" si="157"/>
        <v/>
      </c>
      <c r="BI64" s="39" t="str">
        <f t="shared" si="158"/>
        <v/>
      </c>
      <c r="BJ64" s="95" t="str">
        <f t="shared" si="159"/>
        <v/>
      </c>
      <c r="BO64" s="176"/>
      <c r="BP64" s="158" t="str">
        <f t="shared" si="160"/>
        <v/>
      </c>
      <c r="BQ64" s="158" t="str">
        <f t="shared" si="161"/>
        <v/>
      </c>
      <c r="BR64" s="158" t="str">
        <f t="shared" si="162"/>
        <v/>
      </c>
      <c r="BS64" s="158" t="str">
        <f>IF(AND(Sufficient_data="Yes",Include_study?="Yes"),IF(Add_0_5="Yes",(a_+d_+1)*(ab_+0.5)*(c_+0.5)/(Number_of_subjects+2)^2,(a_+d_)*b_*c_/Number_of_subjects^2),"")</f>
        <v/>
      </c>
      <c r="BT64" s="158" t="str">
        <f t="shared" si="163"/>
        <v/>
      </c>
      <c r="BU64" s="158" t="str">
        <f t="shared" si="164"/>
        <v/>
      </c>
      <c r="BV64" s="158" t="str">
        <f t="shared" si="165"/>
        <v/>
      </c>
      <c r="BW64" s="69" t="str">
        <f t="shared" si="166"/>
        <v/>
      </c>
      <c r="BX64" s="137" t="str">
        <f t="shared" si="167"/>
        <v/>
      </c>
      <c r="BY64" s="95" t="str">
        <f t="shared" si="168"/>
        <v/>
      </c>
      <c r="CD64" s="176"/>
      <c r="CE64" s="130" t="str">
        <f t="shared" si="169"/>
        <v/>
      </c>
      <c r="CF64" s="39" t="str">
        <f t="shared" si="170"/>
        <v/>
      </c>
      <c r="CG64" s="39" t="str">
        <f t="shared" si="171"/>
        <v/>
      </c>
      <c r="CH64" s="39" t="str">
        <f t="shared" si="172"/>
        <v/>
      </c>
      <c r="CI64" s="39" t="str">
        <f t="shared" si="173"/>
        <v/>
      </c>
      <c r="CJ64" s="39" t="str">
        <f t="shared" si="50"/>
        <v/>
      </c>
      <c r="CK64" s="95" t="str">
        <f t="shared" si="174"/>
        <v/>
      </c>
      <c r="CP64" s="176"/>
      <c r="CQ64" s="99" t="str">
        <f t="shared" si="175"/>
        <v/>
      </c>
      <c r="CX64" s="196"/>
      <c r="CY64" s="89" t="e">
        <f t="shared" si="176"/>
        <v>#N/A</v>
      </c>
      <c r="CZ64" s="136" t="str">
        <f t="shared" si="177"/>
        <v/>
      </c>
      <c r="DA64" s="140" t="str">
        <f t="shared" si="178"/>
        <v/>
      </c>
      <c r="DB64" s="39" t="str">
        <f t="shared" si="179"/>
        <v/>
      </c>
      <c r="DC64" s="39" t="str">
        <f t="shared" si="180"/>
        <v/>
      </c>
      <c r="DD64" s="39" t="str">
        <f t="shared" si="181"/>
        <v/>
      </c>
      <c r="DE64" s="39" t="str">
        <f t="shared" si="182"/>
        <v/>
      </c>
      <c r="DF64" s="141" t="str">
        <f t="shared" si="183"/>
        <v/>
      </c>
      <c r="DG64" s="39" t="str">
        <f t="shared" si="184"/>
        <v/>
      </c>
      <c r="DH64" s="39" t="str">
        <f t="shared" si="185"/>
        <v/>
      </c>
      <c r="DI64" s="39" t="str">
        <f t="shared" si="186"/>
        <v/>
      </c>
      <c r="DJ64" s="74" t="str">
        <f t="shared" si="187"/>
        <v/>
      </c>
      <c r="DK64" s="45"/>
      <c r="DL64" s="84" t="e">
        <f t="shared" si="222"/>
        <v>#N/A</v>
      </c>
      <c r="DM64" s="39" t="e">
        <f t="shared" si="189"/>
        <v>#N/A</v>
      </c>
      <c r="DN64" s="74" t="e">
        <f t="shared" si="190"/>
        <v>#N/A</v>
      </c>
      <c r="DO64" s="45"/>
      <c r="DP64" s="89" t="str">
        <f t="shared" si="102"/>
        <v/>
      </c>
      <c r="DQ64" s="26" t="str">
        <f>IF(AND(Sufficient_data="Yes",Subgroup&lt;&gt;""),IF(COUNTIFS(Input!J$2:J63,"="&amp;"Yes",Input!C$2:C63,"="&amp;"Yes",Input!K$2:K63,"="&amp;Subgroup)&gt;0,"",Subgroup),"")</f>
        <v/>
      </c>
      <c r="DR64" s="7" t="str">
        <f t="shared" si="103"/>
        <v/>
      </c>
      <c r="DS64" s="7" t="str">
        <f t="shared" si="191"/>
        <v/>
      </c>
      <c r="DT64" s="19" t="str">
        <f t="shared" si="192"/>
        <v/>
      </c>
      <c r="DU64" s="12" t="str">
        <f t="shared" si="223"/>
        <v/>
      </c>
      <c r="DV64" s="11" t="str">
        <f t="shared" si="224"/>
        <v/>
      </c>
      <c r="DW64" s="12" t="str">
        <f t="shared" si="225"/>
        <v/>
      </c>
      <c r="DX64" s="12" t="str">
        <f t="shared" si="194"/>
        <v/>
      </c>
      <c r="DY64" s="19" t="str">
        <f t="shared" si="226"/>
        <v/>
      </c>
      <c r="DZ64" s="12" t="str">
        <f t="shared" si="227"/>
        <v/>
      </c>
      <c r="EA64" s="19" t="str">
        <f t="shared" si="196"/>
        <v/>
      </c>
      <c r="EB64" s="7" t="str">
        <f t="shared" si="197"/>
        <v/>
      </c>
      <c r="EC64" s="19" t="str">
        <f t="shared" si="198"/>
        <v/>
      </c>
      <c r="ED64" s="19" t="str">
        <f t="shared" si="199"/>
        <v/>
      </c>
      <c r="EE64" s="19" t="str">
        <f t="shared" si="228"/>
        <v/>
      </c>
      <c r="EF64" s="19" t="str">
        <f t="shared" si="229"/>
        <v/>
      </c>
      <c r="EG64" s="19" t="str">
        <f t="shared" si="230"/>
        <v/>
      </c>
      <c r="EH64" s="19" t="str">
        <f t="shared" si="231"/>
        <v/>
      </c>
      <c r="EI64" s="19" t="str">
        <f t="shared" si="232"/>
        <v/>
      </c>
      <c r="EJ64" s="19" t="str">
        <f t="shared" si="200"/>
        <v/>
      </c>
      <c r="EK64" s="19" t="str">
        <f t="shared" si="201"/>
        <v/>
      </c>
      <c r="EL64" s="19" t="str">
        <f t="shared" si="233"/>
        <v/>
      </c>
      <c r="EM64" s="19" t="str">
        <f t="shared" si="234"/>
        <v/>
      </c>
      <c r="EN64" s="19" t="str">
        <f t="shared" si="235"/>
        <v/>
      </c>
      <c r="EO64" s="19" t="str">
        <f t="shared" si="236"/>
        <v/>
      </c>
      <c r="EP64" s="19" t="str">
        <f t="shared" si="237"/>
        <v/>
      </c>
      <c r="EQ64" s="19" t="e">
        <f t="shared" si="238"/>
        <v>#N/A</v>
      </c>
      <c r="ER64" s="11" t="str">
        <f t="shared" si="120"/>
        <v/>
      </c>
      <c r="ES64" s="19" t="str">
        <f t="shared" si="121"/>
        <v/>
      </c>
      <c r="ET64" s="156" t="str">
        <f t="shared" si="203"/>
        <v/>
      </c>
      <c r="EU64" s="39" t="str">
        <f t="shared" si="239"/>
        <v/>
      </c>
      <c r="EV64" s="74" t="str">
        <f t="shared" si="205"/>
        <v/>
      </c>
      <c r="FA64" s="196"/>
      <c r="FB64" s="84" t="e">
        <f>IF(AND(Include_study?="Yes",Sufficient_data="Yes",Moderator&lt;&gt;""),'Moderator Analysis'!E64,NA())</f>
        <v>#N/A</v>
      </c>
      <c r="FC64" s="39" t="e">
        <f>IF(AND(Include_study?="Yes",Sufficient_data="Yes",Moderator&lt;&gt;""),'Moderator Analysis'!F64,NA())</f>
        <v>#N/A</v>
      </c>
      <c r="FD64" s="39" t="str">
        <f t="shared" si="206"/>
        <v/>
      </c>
      <c r="FE64" s="39" t="str">
        <f t="shared" si="207"/>
        <v/>
      </c>
      <c r="FF64" s="39" t="str">
        <f>IF(AND(Include_study?="Yes",Sufficient_data="Yes",Moderator&lt;&gt;""),'Moderator Analysis'!F:F-FP$2,"")</f>
        <v/>
      </c>
      <c r="FG64" s="39" t="str">
        <f>IF(AND(Include_study?="Yes",Sufficient_data="Yes",Moderator&lt;&gt;""),'Moderator Analysis'!E:E-FP$3,"")</f>
        <v/>
      </c>
      <c r="FH64" s="74" t="str">
        <f>IF(AND(Include_study?="Yes",Sufficient_data="Yes",Moderator&lt;&gt;""),FE:FE*('Moderator Analysis'!F:F-FP$5-FP$4*'Moderator Analysis'!E:E)^2,"")</f>
        <v/>
      </c>
      <c r="FI64" s="128"/>
      <c r="FJ64" s="92" t="str">
        <f t="shared" si="208"/>
        <v/>
      </c>
      <c r="FK64" s="137" t="str">
        <f>IF(AND(Include_study?="Yes",Sufficient_data="Yes",Moderator&lt;&gt;""),'Moderator Analysis'!F:F-'Moderator Analysis'!J$37,"")</f>
        <v/>
      </c>
      <c r="FL64" s="137" t="str">
        <f>IF(AND(Include_study?="Yes",Sufficient_data="Yes",Moderator&lt;&gt;""),'Moderator Analysis'!E:E-SUMPRODUCT('Moderator Analysis'!E:E,FJ:FJ)/SUM(FJ:FJ),"")</f>
        <v/>
      </c>
      <c r="FM64" s="95" t="str">
        <f>IF(AND(Include_study?="Yes",Sufficient_data="Yes",Moderator&lt;&gt;""),FJ:FJ*('Moderator Analysis'!F:F-'Moderator Analysis'!J$29-'Moderator Analysis'!J$30*'Moderator Analysis'!E:E)^2,"")</f>
        <v/>
      </c>
      <c r="FR64" s="196"/>
      <c r="FS64" s="182"/>
      <c r="FT6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4" s="39" t="str">
        <f>IF(AND(Include_study?="Yes",Sufficient_data="Yes"),1/('Publication Bias Analysis'!F:F^2+IF(Additional_model="Fixed effect",0,Calculations!GH$12)),"")</f>
        <v/>
      </c>
      <c r="FV64" s="39" t="str">
        <f>IF(AND(Include_study?="Yes",Sufficient_data="Yes"),1/('Publication Bias Analysis'!F:F^2+IF(Additional_model="Fixed effect",0,'Publication Bias Analysis'!L$32)),"")</f>
        <v/>
      </c>
      <c r="FW64" s="39" t="str">
        <f>IF(AND(Include_study?="Yes",Sufficient_data="Yes"),'Publication Bias Analysis'!E:E-'Publication Bias Analysis'!I$37,"")</f>
        <v/>
      </c>
      <c r="FX64" s="39" t="str">
        <f>IF(AND(Include_study?="Yes",Sufficient_data="Yes"),IF(Additional_model="Fixed effect",1/'Publication Bias Analysis'!F:F,1/SQRT('Publication Bias Analysis'!F:F^2+GH$12)),"")</f>
        <v/>
      </c>
      <c r="FY6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4" s="136" t="str">
        <f t="shared" si="209"/>
        <v/>
      </c>
      <c r="GA64" s="144" t="str">
        <f>IF(AND(Include_study?="Yes",Sufficient_data="Yes"),FZ:FZ+IF(GL:GL&lt;0,-1,1)*COUNTIF(FZ$2:FZ63,FZ:FZ),"")</f>
        <v/>
      </c>
      <c r="GB64" s="144" t="str">
        <f>IF(AND(Include_study?="Yes",Sufficient_data="Yes"),RANK(GP:GP,GP:GP,1)*IF(GO:GO&lt;0,-1,1)+IF(GO:GO&lt;0,-1,1)*COUNTIF(FZ$2:FZ63,FZ:FZ),"")</f>
        <v/>
      </c>
      <c r="GC64" s="144" t="str">
        <f>IF(AND(Include_study?="Yes",Sufficient_data="Yes"),RANK(GS:GS,GS:GS,1)*IF(GR:GR&lt;0,-1,1)+IF(GR:GR&lt;0,-1,1)*COUNTIF(FZ$2:FZ63,FZ:FZ),"")</f>
        <v/>
      </c>
      <c r="GD64" s="39" t="e">
        <f>IF(AND(Include_study?="Yes",Sufficient_data="Yes"),'Publication Bias Analysis'!E64,NA())</f>
        <v>#N/A</v>
      </c>
      <c r="GE64" s="74" t="e">
        <f>IF(AND(Include_study?="Yes",Sufficient_data="Yes"),'Publication Bias Analysis'!F64,NA())</f>
        <v>#N/A</v>
      </c>
      <c r="GK64" s="176"/>
      <c r="GL6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4" s="39" t="str">
        <f t="shared" si="210"/>
        <v/>
      </c>
      <c r="GN6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4" s="39" t="str">
        <f>IF(AND(Include_study?="Yes",Sufficient_data="Yes"),IF('Publication Bias Analysis'!L$38="Left",'Publication Bias Analysis'!E:E-GW$3,GW$3-'Publication Bias Analysis'!E:E),"")</f>
        <v/>
      </c>
      <c r="GP64" s="39" t="str">
        <f t="shared" si="242"/>
        <v/>
      </c>
      <c r="GQ6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4" s="39" t="str">
        <f>IF(AND(Include_study?="Yes",Sufficient_data="Yes"),IF('Publication Bias Analysis'!L$38="Left",'Publication Bias Analysis'!E:E-GW$10,GW$10-'Publication Bias Analysis'!E:E),"")</f>
        <v/>
      </c>
      <c r="GS64" s="39" t="str">
        <f t="shared" si="243"/>
        <v/>
      </c>
      <c r="GT6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4" s="176"/>
      <c r="HL64" s="69" t="str">
        <f t="shared" si="89"/>
        <v/>
      </c>
      <c r="HM64" s="74" t="str">
        <f>IF(AND(Include_study?="Yes",Sufficient_data="Yes"),Z_score-('Publication Bias Analysis'!P$3+'Publication Bias Analysis'!P$4*Inverse_standard_error),"")</f>
        <v/>
      </c>
      <c r="HO64" s="176"/>
      <c r="HP64" s="69" t="str">
        <f>IF(AND(Include_study?="Yes",Sufficient_data="Yes"),(GD:GD-SUMPRODUCT(Calculations!FT:FT,'Publication Bias Analysis'!E:E)/SUM(Calculations!FT:FT))/SQRT(Calculations!HQ:HQ),"")</f>
        <v/>
      </c>
      <c r="HQ64" s="69" t="str">
        <f>IF(AND(Include_study?="Yes",Sufficient_data="Yes"),GE:GE^2-1/SUM(Calculations!FT:FT),"")</f>
        <v/>
      </c>
      <c r="HR64" s="7" t="str">
        <f t="shared" si="240"/>
        <v/>
      </c>
      <c r="HS64" s="7" t="str">
        <f t="shared" si="241"/>
        <v/>
      </c>
      <c r="HT64" s="7" t="str">
        <f>IF(AND(Include_study?="Yes",Sufficient_data="Yes"),COUNTIFS(HR$2:HR63,"&lt;"&amp;HR64,HS$2:HS63,"&lt;"&amp;HS64)+COUNTIFS(HR65:HR$201,"&lt;"&amp;HR64,HS65:HS$201,"&lt;"&amp;HS64)+COUNTIFS(HR$2:HR63,"&gt;"&amp;HR64,HS$2:HS63,"&gt;"&amp;HS64)+COUNTIFS(HR65:HR$201,"&gt;"&amp;HR64,HS65:HS$201,"&gt;"&amp;HS64),"")</f>
        <v/>
      </c>
      <c r="HU64" s="104" t="str">
        <f>IF(AND(Include_study?="Yes",Sufficient_data="Yes"),COUNTIFS(HR$2:HR63,"&lt;"&amp;HR64,HS$2:HS63,"&gt;"&amp;HS64)+COUNTIFS(HR65:HR$201,"&lt;"&amp;HR64,HS65:HS$201,"&gt;"&amp;HS64)+COUNTIFS(HR$2:HR63,"&gt;"&amp;HR64,HS$2:HS63,"&lt;"&amp;HS64)+COUNTIFS(HR65:HR$201,"&gt;"&amp;HR64,HS65:HS$201,"&lt;"&amp;HS64),"")</f>
        <v/>
      </c>
      <c r="HW64" s="176"/>
      <c r="IB64" s="176"/>
      <c r="IC64" s="146" t="e">
        <f t="shared" si="215"/>
        <v>#N/A</v>
      </c>
      <c r="ID64" s="137" t="e">
        <f t="shared" si="216"/>
        <v>#N/A</v>
      </c>
      <c r="IE64" s="137" t="str">
        <f t="shared" si="217"/>
        <v/>
      </c>
      <c r="IF64" s="95" t="str">
        <f t="shared" si="218"/>
        <v/>
      </c>
      <c r="IK64" s="176"/>
      <c r="IL64" s="69" t="e">
        <f>IF(AND(Include_study?="Yes",Sufficient_data="Yes"),'Publication Bias Analysis'!AV:AV,NA())</f>
        <v>#N/A</v>
      </c>
      <c r="IM64" s="158" t="e">
        <f>IF(AND(Sufficient_data="Yes",Include_study?="Yes"),'Publication Bias Analysis'!AU:AU,NA())</f>
        <v>#N/A</v>
      </c>
      <c r="IN64" s="69" t="str">
        <f t="shared" si="219"/>
        <v/>
      </c>
      <c r="IO64" s="74" t="str">
        <f>IF(AND(Include_study?="Yes",Sufficient_data="Yes"),Z_score-('Publication Bias Analysis'!AY$30+'Publication Bias Analysis'!AY$31*Inverse_standard_error),"")</f>
        <v/>
      </c>
      <c r="IU64" s="176"/>
      <c r="IV64" s="7" t="str">
        <f>IF('Publication Bias Analysis'!BG:BG&lt;&gt;"",RANK('Publication Bias Analysis'!BG:BG,'Publication Bias Analysis'!BG:BG,1)+COUNTIF('Publication Bias Analysis'!BG$2:BG63,'Publication Bias Analysis'!BG64),"")</f>
        <v/>
      </c>
      <c r="IW64" s="124" t="str">
        <f t="shared" si="220"/>
        <v/>
      </c>
      <c r="IX64" s="125" t="e">
        <f>IF('Publication Bias Analysis'!BF64&lt;&gt;"",'Publication Bias Analysis'!BF64,NA())</f>
        <v>#N/A</v>
      </c>
      <c r="IY64" s="125" t="e">
        <f>IF('Publication Bias Analysis'!BG64&lt;&gt;"",'Publication Bias Analysis'!BG64,NA())</f>
        <v>#N/A</v>
      </c>
      <c r="IZ64" s="69" t="str">
        <f>IF(AND(Include_study?="Yes",Sufficient_data="Yes"),'Publication Bias Analysis'!BF:BF-AVERAGE('Publication Bias Analysis'!BF:BF),"")</f>
        <v/>
      </c>
      <c r="JA64" s="74" t="str">
        <f>IF(AND(Include_study?="Yes",Sufficient_data="Yes"),'Publication Bias Analysis'!BG:BG-('Publication Bias Analysis'!BJ$30+'Publication Bias Analysis'!BJ$31*'Publication Bias Analysis'!BF:BF),"")</f>
        <v/>
      </c>
      <c r="JG64" s="176"/>
      <c r="JH64" s="39" t="str">
        <f t="shared" si="221"/>
        <v/>
      </c>
      <c r="JI64" s="148" t="str">
        <f t="shared" si="124"/>
        <v/>
      </c>
      <c r="JJ64" s="74" t="str">
        <f t="shared" si="125"/>
        <v/>
      </c>
    </row>
    <row r="65" spans="1:270" x14ac:dyDescent="0.2">
      <c r="A65" s="56" t="str">
        <f t="shared" si="126"/>
        <v/>
      </c>
      <c r="B65" s="7" t="str">
        <f>IF(AND(Include_study?="Yes",Sufficient_data="Yes"),IF(Input!a_&lt;&gt;"",Input!a_,Input!n1_-Input!b_),"")</f>
        <v/>
      </c>
      <c r="C65" s="7" t="str">
        <f>IF(AND(Include_study?="Yes",Sufficient_data="Yes"),IF(Input!b_&lt;&gt;"",Input!b_,Input!n1_-Input!a_),"")</f>
        <v/>
      </c>
      <c r="D65" s="7" t="str">
        <f>IF(AND(Include_study?="Yes",Sufficient_data="Yes"),IF(Input!c_&lt;&gt;"",Input!c_,Input!n2_-Input!d_),"")</f>
        <v/>
      </c>
      <c r="E65" s="7" t="str">
        <f>IF(AND(Include_study?="Yes",Sufficient_data="Yes"),IF(Input!d_&lt;&gt;"",Input!d_,Input!n2_-Input!c_),"")</f>
        <v/>
      </c>
      <c r="F65" s="74" t="str">
        <f t="shared" si="127"/>
        <v/>
      </c>
      <c r="H65" s="196"/>
      <c r="I65" s="182"/>
      <c r="J65" s="146" t="str">
        <f t="shared" si="2"/>
        <v/>
      </c>
      <c r="K65" s="39" t="str">
        <f t="shared" si="128"/>
        <v/>
      </c>
      <c r="L65" s="39" t="str">
        <f t="shared" si="129"/>
        <v/>
      </c>
      <c r="M65" s="39" t="str">
        <f t="shared" si="130"/>
        <v/>
      </c>
      <c r="N65" s="74" t="str">
        <f t="shared" si="131"/>
        <v/>
      </c>
      <c r="P65" s="176"/>
      <c r="Q65" s="130" t="str">
        <f t="shared" si="132"/>
        <v/>
      </c>
      <c r="R65" s="39" t="str">
        <f t="shared" si="133"/>
        <v/>
      </c>
      <c r="S65" s="39" t="str">
        <f t="shared" si="134"/>
        <v/>
      </c>
      <c r="T65" s="74" t="str">
        <f t="shared" si="135"/>
        <v/>
      </c>
      <c r="V65" s="176"/>
      <c r="W65" s="130" t="str">
        <f t="shared" si="136"/>
        <v/>
      </c>
      <c r="X65" s="39" t="str">
        <f t="shared" si="137"/>
        <v/>
      </c>
      <c r="Y65" s="39" t="str">
        <f t="shared" si="138"/>
        <v/>
      </c>
      <c r="Z65" s="74" t="str">
        <f t="shared" si="139"/>
        <v/>
      </c>
      <c r="AB65" s="176"/>
      <c r="AC65" s="130" t="str">
        <f t="shared" si="140"/>
        <v/>
      </c>
      <c r="AD65" s="39" t="str">
        <f t="shared" si="141"/>
        <v/>
      </c>
      <c r="AE65" s="39" t="str">
        <f t="shared" si="142"/>
        <v/>
      </c>
      <c r="AF65" s="39" t="str">
        <f t="shared" si="143"/>
        <v/>
      </c>
      <c r="AG65" s="74" t="str">
        <f t="shared" si="144"/>
        <v/>
      </c>
      <c r="AI65" s="196"/>
      <c r="AJ6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5" s="136" t="str">
        <f>IF(AJ65&lt;&gt;"",IF(AJ65=0,COUNTIF(AJ$2:AJ64,0)+1,COUNTIF(AJ$2:AJ64,AJ65)+AJ65+COUNTIF(AJ:AJ,0)),"")</f>
        <v/>
      </c>
      <c r="AL65" s="136" t="str">
        <f t="shared" si="20"/>
        <v/>
      </c>
      <c r="AM65" s="155" t="str">
        <f>IF(AND(Include_study?="Yes",Sufficient_data="Yes",Input!Study_name&lt;&gt;""),Input!Study_name,"")</f>
        <v/>
      </c>
      <c r="AN65" s="136" t="str">
        <f t="shared" si="21"/>
        <v/>
      </c>
      <c r="AO65" s="19" t="str">
        <f t="shared" si="145"/>
        <v/>
      </c>
      <c r="AP65" s="158" t="str">
        <f t="shared" si="146"/>
        <v/>
      </c>
      <c r="AQ65" s="158" t="str">
        <f t="shared" si="147"/>
        <v/>
      </c>
      <c r="AR65" s="39" t="str">
        <f t="shared" si="148"/>
        <v/>
      </c>
      <c r="AS65" s="158" t="str">
        <f t="shared" si="149"/>
        <v/>
      </c>
      <c r="AT65" s="39" t="str">
        <f t="shared" si="150"/>
        <v/>
      </c>
      <c r="AU65" s="172" t="str">
        <f t="shared" si="151"/>
        <v/>
      </c>
      <c r="AV65" s="45"/>
      <c r="AW65" s="84" t="e">
        <f t="shared" si="152"/>
        <v>#N/A</v>
      </c>
      <c r="AX65" s="69" t="e">
        <f t="shared" si="153"/>
        <v>#N/A</v>
      </c>
      <c r="AY65" s="74" t="e">
        <f t="shared" si="154"/>
        <v>#N/A</v>
      </c>
      <c r="AZ65" s="45"/>
      <c r="BA65" s="45"/>
      <c r="BB65" s="45"/>
      <c r="BC65" s="45"/>
      <c r="BD65" s="196"/>
      <c r="BE65" s="182"/>
      <c r="BF65" s="69" t="str">
        <f t="shared" si="155"/>
        <v/>
      </c>
      <c r="BG65" s="69" t="str">
        <f t="shared" si="156"/>
        <v/>
      </c>
      <c r="BH65" s="69" t="str">
        <f t="shared" si="157"/>
        <v/>
      </c>
      <c r="BI65" s="39" t="str">
        <f t="shared" si="158"/>
        <v/>
      </c>
      <c r="BJ65" s="95" t="str">
        <f t="shared" si="159"/>
        <v/>
      </c>
      <c r="BO65" s="176"/>
      <c r="BP65" s="158" t="str">
        <f t="shared" si="160"/>
        <v/>
      </c>
      <c r="BQ65" s="158" t="str">
        <f t="shared" si="161"/>
        <v/>
      </c>
      <c r="BR65" s="158" t="str">
        <f t="shared" si="162"/>
        <v/>
      </c>
      <c r="BS65" s="158" t="str">
        <f>IF(AND(Sufficient_data="Yes",Include_study?="Yes"),IF(Add_0_5="Yes",(a_+d_+1)*(ab_+0.5)*(c_+0.5)/(Number_of_subjects+2)^2,(a_+d_)*b_*c_/Number_of_subjects^2),"")</f>
        <v/>
      </c>
      <c r="BT65" s="158" t="str">
        <f t="shared" si="163"/>
        <v/>
      </c>
      <c r="BU65" s="158" t="str">
        <f t="shared" si="164"/>
        <v/>
      </c>
      <c r="BV65" s="158" t="str">
        <f t="shared" si="165"/>
        <v/>
      </c>
      <c r="BW65" s="69" t="str">
        <f t="shared" si="166"/>
        <v/>
      </c>
      <c r="BX65" s="137" t="str">
        <f t="shared" si="167"/>
        <v/>
      </c>
      <c r="BY65" s="95" t="str">
        <f t="shared" si="168"/>
        <v/>
      </c>
      <c r="CD65" s="176"/>
      <c r="CE65" s="130" t="str">
        <f t="shared" si="169"/>
        <v/>
      </c>
      <c r="CF65" s="39" t="str">
        <f t="shared" si="170"/>
        <v/>
      </c>
      <c r="CG65" s="39" t="str">
        <f t="shared" si="171"/>
        <v/>
      </c>
      <c r="CH65" s="39" t="str">
        <f t="shared" si="172"/>
        <v/>
      </c>
      <c r="CI65" s="39" t="str">
        <f t="shared" si="173"/>
        <v/>
      </c>
      <c r="CJ65" s="39" t="str">
        <f t="shared" si="50"/>
        <v/>
      </c>
      <c r="CK65" s="95" t="str">
        <f t="shared" si="174"/>
        <v/>
      </c>
      <c r="CP65" s="176"/>
      <c r="CQ65" s="99" t="str">
        <f t="shared" si="175"/>
        <v/>
      </c>
      <c r="CX65" s="196"/>
      <c r="CY65" s="89" t="e">
        <f t="shared" si="176"/>
        <v>#N/A</v>
      </c>
      <c r="CZ65" s="136" t="str">
        <f t="shared" si="177"/>
        <v/>
      </c>
      <c r="DA65" s="140" t="str">
        <f t="shared" si="178"/>
        <v/>
      </c>
      <c r="DB65" s="39" t="str">
        <f t="shared" si="179"/>
        <v/>
      </c>
      <c r="DC65" s="39" t="str">
        <f t="shared" si="180"/>
        <v/>
      </c>
      <c r="DD65" s="39" t="str">
        <f t="shared" si="181"/>
        <v/>
      </c>
      <c r="DE65" s="39" t="str">
        <f t="shared" si="182"/>
        <v/>
      </c>
      <c r="DF65" s="141" t="str">
        <f t="shared" si="183"/>
        <v/>
      </c>
      <c r="DG65" s="39" t="str">
        <f t="shared" si="184"/>
        <v/>
      </c>
      <c r="DH65" s="39" t="str">
        <f t="shared" si="185"/>
        <v/>
      </c>
      <c r="DI65" s="39" t="str">
        <f t="shared" si="186"/>
        <v/>
      </c>
      <c r="DJ65" s="74" t="str">
        <f t="shared" si="187"/>
        <v/>
      </c>
      <c r="DK65" s="45"/>
      <c r="DL65" s="84" t="e">
        <f t="shared" si="222"/>
        <v>#N/A</v>
      </c>
      <c r="DM65" s="39" t="e">
        <f t="shared" si="189"/>
        <v>#N/A</v>
      </c>
      <c r="DN65" s="74" t="e">
        <f t="shared" si="190"/>
        <v>#N/A</v>
      </c>
      <c r="DO65" s="45"/>
      <c r="DP65" s="89" t="str">
        <f t="shared" si="102"/>
        <v/>
      </c>
      <c r="DQ65" s="26" t="str">
        <f>IF(AND(Sufficient_data="Yes",Subgroup&lt;&gt;""),IF(COUNTIFS(Input!J$2:J64,"="&amp;"Yes",Input!C$2:C64,"="&amp;"Yes",Input!K$2:K64,"="&amp;Subgroup)&gt;0,"",Subgroup),"")</f>
        <v/>
      </c>
      <c r="DR65" s="7" t="str">
        <f t="shared" si="103"/>
        <v/>
      </c>
      <c r="DS65" s="7" t="str">
        <f t="shared" si="191"/>
        <v/>
      </c>
      <c r="DT65" s="19" t="str">
        <f t="shared" si="192"/>
        <v/>
      </c>
      <c r="DU65" s="12" t="str">
        <f t="shared" si="223"/>
        <v/>
      </c>
      <c r="DV65" s="11" t="str">
        <f t="shared" si="224"/>
        <v/>
      </c>
      <c r="DW65" s="12" t="str">
        <f t="shared" si="225"/>
        <v/>
      </c>
      <c r="DX65" s="12" t="str">
        <f t="shared" si="194"/>
        <v/>
      </c>
      <c r="DY65" s="19" t="str">
        <f t="shared" si="226"/>
        <v/>
      </c>
      <c r="DZ65" s="12" t="str">
        <f t="shared" si="227"/>
        <v/>
      </c>
      <c r="EA65" s="19" t="str">
        <f t="shared" si="196"/>
        <v/>
      </c>
      <c r="EB65" s="7" t="str">
        <f t="shared" si="197"/>
        <v/>
      </c>
      <c r="EC65" s="19" t="str">
        <f t="shared" si="198"/>
        <v/>
      </c>
      <c r="ED65" s="19" t="str">
        <f t="shared" si="199"/>
        <v/>
      </c>
      <c r="EE65" s="19" t="str">
        <f t="shared" si="228"/>
        <v/>
      </c>
      <c r="EF65" s="19" t="str">
        <f t="shared" si="229"/>
        <v/>
      </c>
      <c r="EG65" s="19" t="str">
        <f t="shared" si="230"/>
        <v/>
      </c>
      <c r="EH65" s="19" t="str">
        <f t="shared" si="231"/>
        <v/>
      </c>
      <c r="EI65" s="19" t="str">
        <f t="shared" si="232"/>
        <v/>
      </c>
      <c r="EJ65" s="19" t="str">
        <f t="shared" si="200"/>
        <v/>
      </c>
      <c r="EK65" s="19" t="str">
        <f t="shared" si="201"/>
        <v/>
      </c>
      <c r="EL65" s="19" t="str">
        <f t="shared" si="233"/>
        <v/>
      </c>
      <c r="EM65" s="19" t="str">
        <f t="shared" si="234"/>
        <v/>
      </c>
      <c r="EN65" s="19" t="str">
        <f t="shared" si="235"/>
        <v/>
      </c>
      <c r="EO65" s="19" t="str">
        <f t="shared" si="236"/>
        <v/>
      </c>
      <c r="EP65" s="19" t="str">
        <f t="shared" si="237"/>
        <v/>
      </c>
      <c r="EQ65" s="19" t="e">
        <f t="shared" si="238"/>
        <v>#N/A</v>
      </c>
      <c r="ER65" s="11" t="str">
        <f t="shared" si="120"/>
        <v/>
      </c>
      <c r="ES65" s="19" t="str">
        <f t="shared" si="121"/>
        <v/>
      </c>
      <c r="ET65" s="156" t="str">
        <f t="shared" si="203"/>
        <v/>
      </c>
      <c r="EU65" s="39" t="str">
        <f t="shared" si="239"/>
        <v/>
      </c>
      <c r="EV65" s="74" t="str">
        <f t="shared" si="205"/>
        <v/>
      </c>
      <c r="FA65" s="196"/>
      <c r="FB65" s="84" t="e">
        <f>IF(AND(Include_study?="Yes",Sufficient_data="Yes",Moderator&lt;&gt;""),'Moderator Analysis'!E65,NA())</f>
        <v>#N/A</v>
      </c>
      <c r="FC65" s="39" t="e">
        <f>IF(AND(Include_study?="Yes",Sufficient_data="Yes",Moderator&lt;&gt;""),'Moderator Analysis'!F65,NA())</f>
        <v>#N/A</v>
      </c>
      <c r="FD65" s="39" t="str">
        <f t="shared" si="206"/>
        <v/>
      </c>
      <c r="FE65" s="39" t="str">
        <f t="shared" si="207"/>
        <v/>
      </c>
      <c r="FF65" s="39" t="str">
        <f>IF(AND(Include_study?="Yes",Sufficient_data="Yes",Moderator&lt;&gt;""),'Moderator Analysis'!F:F-FP$2,"")</f>
        <v/>
      </c>
      <c r="FG65" s="39" t="str">
        <f>IF(AND(Include_study?="Yes",Sufficient_data="Yes",Moderator&lt;&gt;""),'Moderator Analysis'!E:E-FP$3,"")</f>
        <v/>
      </c>
      <c r="FH65" s="74" t="str">
        <f>IF(AND(Include_study?="Yes",Sufficient_data="Yes",Moderator&lt;&gt;""),FE:FE*('Moderator Analysis'!F:F-FP$5-FP$4*'Moderator Analysis'!E:E)^2,"")</f>
        <v/>
      </c>
      <c r="FI65" s="128"/>
      <c r="FJ65" s="92" t="str">
        <f t="shared" si="208"/>
        <v/>
      </c>
      <c r="FK65" s="137" t="str">
        <f>IF(AND(Include_study?="Yes",Sufficient_data="Yes",Moderator&lt;&gt;""),'Moderator Analysis'!F:F-'Moderator Analysis'!J$37,"")</f>
        <v/>
      </c>
      <c r="FL65" s="137" t="str">
        <f>IF(AND(Include_study?="Yes",Sufficient_data="Yes",Moderator&lt;&gt;""),'Moderator Analysis'!E:E-SUMPRODUCT('Moderator Analysis'!E:E,FJ:FJ)/SUM(FJ:FJ),"")</f>
        <v/>
      </c>
      <c r="FM65" s="95" t="str">
        <f>IF(AND(Include_study?="Yes",Sufficient_data="Yes",Moderator&lt;&gt;""),FJ:FJ*('Moderator Analysis'!F:F-'Moderator Analysis'!J$29-'Moderator Analysis'!J$30*'Moderator Analysis'!E:E)^2,"")</f>
        <v/>
      </c>
      <c r="FR65" s="196"/>
      <c r="FS65" s="182"/>
      <c r="FT6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5" s="39" t="str">
        <f>IF(AND(Include_study?="Yes",Sufficient_data="Yes"),1/('Publication Bias Analysis'!F:F^2+IF(Additional_model="Fixed effect",0,Calculations!GH$12)),"")</f>
        <v/>
      </c>
      <c r="FV65" s="39" t="str">
        <f>IF(AND(Include_study?="Yes",Sufficient_data="Yes"),1/('Publication Bias Analysis'!F:F^2+IF(Additional_model="Fixed effect",0,'Publication Bias Analysis'!L$32)),"")</f>
        <v/>
      </c>
      <c r="FW65" s="39" t="str">
        <f>IF(AND(Include_study?="Yes",Sufficient_data="Yes"),'Publication Bias Analysis'!E:E-'Publication Bias Analysis'!I$37,"")</f>
        <v/>
      </c>
      <c r="FX65" s="39" t="str">
        <f>IF(AND(Include_study?="Yes",Sufficient_data="Yes"),IF(Additional_model="Fixed effect",1/'Publication Bias Analysis'!F:F,1/SQRT('Publication Bias Analysis'!F:F^2+GH$12)),"")</f>
        <v/>
      </c>
      <c r="FY6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5" s="136" t="str">
        <f t="shared" si="209"/>
        <v/>
      </c>
      <c r="GA65" s="144" t="str">
        <f>IF(AND(Include_study?="Yes",Sufficient_data="Yes"),FZ:FZ+IF(GL:GL&lt;0,-1,1)*COUNTIF(FZ$2:FZ64,FZ:FZ),"")</f>
        <v/>
      </c>
      <c r="GB65" s="144" t="str">
        <f>IF(AND(Include_study?="Yes",Sufficient_data="Yes"),RANK(GP:GP,GP:GP,1)*IF(GO:GO&lt;0,-1,1)+IF(GO:GO&lt;0,-1,1)*COUNTIF(FZ$2:FZ64,FZ:FZ),"")</f>
        <v/>
      </c>
      <c r="GC65" s="144" t="str">
        <f>IF(AND(Include_study?="Yes",Sufficient_data="Yes"),RANK(GS:GS,GS:GS,1)*IF(GR:GR&lt;0,-1,1)+IF(GR:GR&lt;0,-1,1)*COUNTIF(FZ$2:FZ64,FZ:FZ),"")</f>
        <v/>
      </c>
      <c r="GD65" s="39" t="e">
        <f>IF(AND(Include_study?="Yes",Sufficient_data="Yes"),'Publication Bias Analysis'!E65,NA())</f>
        <v>#N/A</v>
      </c>
      <c r="GE65" s="74" t="e">
        <f>IF(AND(Include_study?="Yes",Sufficient_data="Yes"),'Publication Bias Analysis'!F65,NA())</f>
        <v>#N/A</v>
      </c>
      <c r="GK65" s="176"/>
      <c r="GL6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5" s="39" t="str">
        <f t="shared" si="210"/>
        <v/>
      </c>
      <c r="GN6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5" s="39" t="str">
        <f>IF(AND(Include_study?="Yes",Sufficient_data="Yes"),IF('Publication Bias Analysis'!L$38="Left",'Publication Bias Analysis'!E:E-GW$3,GW$3-'Publication Bias Analysis'!E:E),"")</f>
        <v/>
      </c>
      <c r="GP65" s="39" t="str">
        <f t="shared" si="242"/>
        <v/>
      </c>
      <c r="GQ6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5" s="39" t="str">
        <f>IF(AND(Include_study?="Yes",Sufficient_data="Yes"),IF('Publication Bias Analysis'!L$38="Left",'Publication Bias Analysis'!E:E-GW$10,GW$10-'Publication Bias Analysis'!E:E),"")</f>
        <v/>
      </c>
      <c r="GS65" s="39" t="str">
        <f t="shared" si="243"/>
        <v/>
      </c>
      <c r="GT6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5" s="176"/>
      <c r="HL65" s="69" t="str">
        <f t="shared" si="89"/>
        <v/>
      </c>
      <c r="HM65" s="74" t="str">
        <f>IF(AND(Include_study?="Yes",Sufficient_data="Yes"),Z_score-('Publication Bias Analysis'!P$3+'Publication Bias Analysis'!P$4*Inverse_standard_error),"")</f>
        <v/>
      </c>
      <c r="HO65" s="176"/>
      <c r="HP65" s="69" t="str">
        <f>IF(AND(Include_study?="Yes",Sufficient_data="Yes"),(GD:GD-SUMPRODUCT(Calculations!FT:FT,'Publication Bias Analysis'!E:E)/SUM(Calculations!FT:FT))/SQRT(Calculations!HQ:HQ),"")</f>
        <v/>
      </c>
      <c r="HQ65" s="69" t="str">
        <f>IF(AND(Include_study?="Yes",Sufficient_data="Yes"),GE:GE^2-1/SUM(Calculations!FT:FT),"")</f>
        <v/>
      </c>
      <c r="HR65" s="7" t="str">
        <f t="shared" si="240"/>
        <v/>
      </c>
      <c r="HS65" s="7" t="str">
        <f t="shared" si="241"/>
        <v/>
      </c>
      <c r="HT65" s="7" t="str">
        <f>IF(AND(Include_study?="Yes",Sufficient_data="Yes"),COUNTIFS(HR$2:HR64,"&lt;"&amp;HR65,HS$2:HS64,"&lt;"&amp;HS65)+COUNTIFS(HR66:HR$201,"&lt;"&amp;HR65,HS66:HS$201,"&lt;"&amp;HS65)+COUNTIFS(HR$2:HR64,"&gt;"&amp;HR65,HS$2:HS64,"&gt;"&amp;HS65)+COUNTIFS(HR66:HR$201,"&gt;"&amp;HR65,HS66:HS$201,"&gt;"&amp;HS65),"")</f>
        <v/>
      </c>
      <c r="HU65" s="104" t="str">
        <f>IF(AND(Include_study?="Yes",Sufficient_data="Yes"),COUNTIFS(HR$2:HR64,"&lt;"&amp;HR65,HS$2:HS64,"&gt;"&amp;HS65)+COUNTIFS(HR66:HR$201,"&lt;"&amp;HR65,HS66:HS$201,"&gt;"&amp;HS65)+COUNTIFS(HR$2:HR64,"&gt;"&amp;HR65,HS$2:HS64,"&lt;"&amp;HS65)+COUNTIFS(HR66:HR$201,"&gt;"&amp;HR65,HS66:HS$201,"&lt;"&amp;HS65),"")</f>
        <v/>
      </c>
      <c r="HW65" s="176"/>
      <c r="IB65" s="176"/>
      <c r="IC65" s="146" t="e">
        <f t="shared" si="215"/>
        <v>#N/A</v>
      </c>
      <c r="ID65" s="137" t="e">
        <f t="shared" si="216"/>
        <v>#N/A</v>
      </c>
      <c r="IE65" s="137" t="str">
        <f t="shared" si="217"/>
        <v/>
      </c>
      <c r="IF65" s="95" t="str">
        <f t="shared" si="218"/>
        <v/>
      </c>
      <c r="IK65" s="176"/>
      <c r="IL65" s="69" t="e">
        <f>IF(AND(Include_study?="Yes",Sufficient_data="Yes"),'Publication Bias Analysis'!AV:AV,NA())</f>
        <v>#N/A</v>
      </c>
      <c r="IM65" s="158" t="e">
        <f>IF(AND(Sufficient_data="Yes",Include_study?="Yes"),'Publication Bias Analysis'!AU:AU,NA())</f>
        <v>#N/A</v>
      </c>
      <c r="IN65" s="69" t="str">
        <f t="shared" si="219"/>
        <v/>
      </c>
      <c r="IO65" s="74" t="str">
        <f>IF(AND(Include_study?="Yes",Sufficient_data="Yes"),Z_score-('Publication Bias Analysis'!AY$30+'Publication Bias Analysis'!AY$31*Inverse_standard_error),"")</f>
        <v/>
      </c>
      <c r="IU65" s="176"/>
      <c r="IV65" s="7" t="str">
        <f>IF('Publication Bias Analysis'!BG:BG&lt;&gt;"",RANK('Publication Bias Analysis'!BG:BG,'Publication Bias Analysis'!BG:BG,1)+COUNTIF('Publication Bias Analysis'!BG$2:BG64,'Publication Bias Analysis'!BG65),"")</f>
        <v/>
      </c>
      <c r="IW65" s="124" t="str">
        <f t="shared" si="220"/>
        <v/>
      </c>
      <c r="IX65" s="125" t="e">
        <f>IF('Publication Bias Analysis'!BF65&lt;&gt;"",'Publication Bias Analysis'!BF65,NA())</f>
        <v>#N/A</v>
      </c>
      <c r="IY65" s="125" t="e">
        <f>IF('Publication Bias Analysis'!BG65&lt;&gt;"",'Publication Bias Analysis'!BG65,NA())</f>
        <v>#N/A</v>
      </c>
      <c r="IZ65" s="69" t="str">
        <f>IF(AND(Include_study?="Yes",Sufficient_data="Yes"),'Publication Bias Analysis'!BF:BF-AVERAGE('Publication Bias Analysis'!BF:BF),"")</f>
        <v/>
      </c>
      <c r="JA65" s="74" t="str">
        <f>IF(AND(Include_study?="Yes",Sufficient_data="Yes"),'Publication Bias Analysis'!BG:BG-('Publication Bias Analysis'!BJ$30+'Publication Bias Analysis'!BJ$31*'Publication Bias Analysis'!BF:BF),"")</f>
        <v/>
      </c>
      <c r="JG65" s="176"/>
      <c r="JH65" s="39" t="str">
        <f t="shared" si="221"/>
        <v/>
      </c>
      <c r="JI65" s="148" t="str">
        <f t="shared" si="124"/>
        <v/>
      </c>
      <c r="JJ65" s="74" t="str">
        <f t="shared" si="125"/>
        <v/>
      </c>
    </row>
    <row r="66" spans="1:270" x14ac:dyDescent="0.2">
      <c r="A66" s="56" t="str">
        <f t="shared" si="126"/>
        <v/>
      </c>
      <c r="B66" s="7" t="str">
        <f>IF(AND(Include_study?="Yes",Sufficient_data="Yes"),IF(Input!a_&lt;&gt;"",Input!a_,Input!n1_-Input!b_),"")</f>
        <v/>
      </c>
      <c r="C66" s="7" t="str">
        <f>IF(AND(Include_study?="Yes",Sufficient_data="Yes"),IF(Input!b_&lt;&gt;"",Input!b_,Input!n1_-Input!a_),"")</f>
        <v/>
      </c>
      <c r="D66" s="7" t="str">
        <f>IF(AND(Include_study?="Yes",Sufficient_data="Yes"),IF(Input!c_&lt;&gt;"",Input!c_,Input!n2_-Input!d_),"")</f>
        <v/>
      </c>
      <c r="E66" s="7" t="str">
        <f>IF(AND(Include_study?="Yes",Sufficient_data="Yes"),IF(Input!d_&lt;&gt;"",Input!d_,Input!n2_-Input!c_),"")</f>
        <v/>
      </c>
      <c r="F66" s="74" t="str">
        <f t="shared" ref="F66:F97" si="244">IF(AND(Include_study?="Yes",Sufficient_data="Yes"),IF(OR(a_=0,b_=0,c_=0,d_=0),"Yes","No"),"")</f>
        <v/>
      </c>
      <c r="H66" s="196"/>
      <c r="I66" s="182"/>
      <c r="J66" s="146" t="str">
        <f t="shared" ref="J66:J129" si="245">IF(AND(Include_study?="Yes",Sufficient_data="Yes"),IF(Add_0_5="Yes",((a_+0.5)*(d_+0.5))/((b_+0.5)*(c_+0.5)),(a_*d_)/(b_*c_)),"")</f>
        <v/>
      </c>
      <c r="K66" s="39" t="str">
        <f t="shared" ref="K66:K97" si="246">IF(AND(Include_study?="Yes",Sufficient_data="Yes"),LN(OddsRatio),"")</f>
        <v/>
      </c>
      <c r="L66" s="39" t="str">
        <f t="shared" ref="L66:L97" si="247">IF(AND(Include_study?="Yes",Sufficient_data="Yes"),SQRT(IF(Add_0_5="Yes",1/(a_+0.5)+1/(b_+0.5)+1/(c_+0.5)+1/(d_+0.5),1/a_+1/b_+1/c_+1/d_)),"")</f>
        <v/>
      </c>
      <c r="M66" s="39" t="str">
        <f t="shared" ref="M66:M97" si="248">IF(AND(Include_study?="Yes",Sufficient_data="Yes"),EXP(LogOddsRatio-ABS(TINV((1-Confidence_level),Number_of_subjects-2))*SELogOddsRatio),"")</f>
        <v/>
      </c>
      <c r="N66" s="74" t="str">
        <f t="shared" ref="N66:N97" si="249">IF(AND(Include_study?="Yes",Sufficient_data="Yes"),EXP(LogOddsRatio+ABS(TINV((1-Confidence_level),Number_of_subjects-2))*SELogOddsRatio),"")</f>
        <v/>
      </c>
      <c r="P66" s="176"/>
      <c r="Q66" s="130" t="str">
        <f t="shared" ref="Q66:Q97" si="250">IF(AND(Include_study?="Yes",Sufficient_data="Yes"),EXP(LogPetoOddsRatio),"")</f>
        <v/>
      </c>
      <c r="R66" s="39" t="str">
        <f t="shared" ref="R66:R97" si="251">IF(AND(Include_study?="Yes",Sufficient_data="Yes"),SQRT(VarLogPetoOddsRatio),"")</f>
        <v/>
      </c>
      <c r="S66" s="39" t="str">
        <f t="shared" ref="S66:S97" si="252">IF(AND(Include_study?="Yes",Sufficient_data="Yes"),EXP(LogPetoOddsRatio-ABS(TINV((1-Confidence_level),Number_of_subjects-2))*SELogPetoOddsRatio),"")</f>
        <v/>
      </c>
      <c r="T66" s="74" t="str">
        <f t="shared" ref="T66:T97" si="253">IF(AND(Include_study?="Yes",Sufficient_data="Yes"),EXP(LogPetoOddsRatio+ABS(TINV((1-Confidence_level),Number_of_subjects-2))*SELogPetoOddsRatio),"")</f>
        <v/>
      </c>
      <c r="V66" s="176"/>
      <c r="W66" s="130" t="str">
        <f t="shared" ref="W66:W97" si="254">IF(AND(Include_study?="Yes",Sufficient_data="Yes"),a_/(a_+b_)-c_/(c_+d_),"")</f>
        <v/>
      </c>
      <c r="X66" s="39" t="str">
        <f t="shared" ref="X66:X97" si="255">IF(AND(Include_study?="Yes",Sufficient_data="Yes"),SQRT(a_*b_/(a_+b_)^3+c_*d_/(c_+d_)^3),"")</f>
        <v/>
      </c>
      <c r="Y66" s="39" t="str">
        <f t="shared" ref="Y66:Y97" si="256">IF(AND(Include_study?="Yes",Sufficient_data="Yes"),Risk_Difference-SERiskDifference*ABS(TINV((1-Confidence_level),Number_of_subjects-2)),"")</f>
        <v/>
      </c>
      <c r="Z66" s="74" t="str">
        <f t="shared" ref="Z66:Z97" si="257">IF(AND(Include_study?="Yes",Sufficient_data="Yes"),Risk_Difference+SERiskDifference*ABS(TINV((1-Confidence_level),Number_of_subjects-2)),"")</f>
        <v/>
      </c>
      <c r="AB66" s="176"/>
      <c r="AC66" s="130" t="str">
        <f t="shared" ref="AC66:AC97" si="258">IF(AND(Include_study?="Yes",Sufficient_data="Yes"),IF(Add_0_5="Yes",((a_+0.5)/(a_+0.5+b_+0.5))/((c_+0.5)/(c_+0.5+d_+0.5)),(a_/(a_+b_))/(c_/(c_+d_))),"")</f>
        <v/>
      </c>
      <c r="AD66" s="39" t="str">
        <f t="shared" ref="AD66:AD97" si="259">IF(AND(Include_study?="Yes",Sufficient_data="Yes"),LN(Risk_Ratio),"")</f>
        <v/>
      </c>
      <c r="AE66" s="39" t="str">
        <f t="shared" ref="AE66:AE97" si="260">IF(AND(Include_study?="Yes",Sufficient_data="Yes"),IF(Add_0_5="Yes",SQRT(1/(a_+0.5)-1/(a_+0.5+b_+0.5)+1/(c_+0.5)-1/(c_+0.5+d_+0.5)),SQRT(1/a_-1/(a_+b_)+1/c_-1/(c_+d_))),"")</f>
        <v/>
      </c>
      <c r="AF66" s="39" t="str">
        <f t="shared" ref="AF66:AF97" si="261">IF(AND(Include_study?="Yes",Sufficient_data="Yes"),EXP(LN(Risk_Ratio)-ABS(TINV((1-Confidence_level),Number_of_subjects-2))*SELogRiskRatio),"")</f>
        <v/>
      </c>
      <c r="AG66" s="74" t="str">
        <f t="shared" ref="AG66:AG97" si="262">IF(AND(Include_study?="Yes",Sufficient_data="Yes"),EXP(LN(Risk_Ratio)+ABS(TINV((1-Confidence_level),Number_of_subjects-2))*SELogRiskRatio),"")</f>
        <v/>
      </c>
      <c r="AI66" s="196"/>
      <c r="AJ6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6" s="136" t="str">
        <f>IF(AJ66&lt;&gt;"",IF(AJ66=0,COUNTIF(AJ$2:AJ65,0)+1,COUNTIF(AJ$2:AJ65,AJ66)+AJ66+COUNTIF(AJ:AJ,0)),"")</f>
        <v/>
      </c>
      <c r="AL66" s="136" t="str">
        <f t="shared" ref="AL66:AL129" si="263">Entry_number</f>
        <v/>
      </c>
      <c r="AM66" s="155" t="str">
        <f>IF(AND(Include_study?="Yes",Sufficient_data="Yes",Input!Study_name&lt;&gt;""),Input!Study_name,"")</f>
        <v/>
      </c>
      <c r="AN66" s="136" t="str">
        <f t="shared" ref="AN66:AN129" si="264">IF(AND(Sufficient_data="Yes",Include_study?="Yes"),(a_+b_+c_+d_),"")</f>
        <v/>
      </c>
      <c r="AO66" s="19" t="str">
        <f t="shared" ref="AO66:AO97" si="265">IF(AND(Include_study?="Yes",Sufficient_data="Yes"),IF(Present_Effect_size_measure="Risk difference",Risk_Difference,IF(Present_Effect_size_measure="Risk ratio",Risk_Ratio,IF(Present_Effect_size_measure="Odds Ratio",OddsRatio,IF(Present_Effect_size_measure="Peto Odds Ratio",PetoOddsRatio,"")))),"")</f>
        <v/>
      </c>
      <c r="AP66" s="158" t="str">
        <f t="shared" ref="AP66:AP97" si="266">IF(AND(Include_study?="Yes",Sufficient_data="Yes"),IF(Weighting_method="Inverse variance",Weightf,IF(Weighting_method="Mantel-Haenszel",Weightf_MH,Weightf_Peto)),"")</f>
        <v/>
      </c>
      <c r="AQ66" s="158" t="str">
        <f t="shared" ref="AQ66:AQ97" si="267">IF(AND(Include_study?="Yes",Sufficient_data="Yes"),IF(Weighting_method="Inverse variance",Weight,IF(Weighting_method="Mantel-Haenszel",Weight_MH,Weight_Peto)),"")</f>
        <v/>
      </c>
      <c r="AR66" s="39" t="str">
        <f t="shared" ref="AR66:AR97" si="268">IF(AND(Include_study?="Yes",Sufficient_data="Yes"),IF(Present_Effect_size_measure="Risk difference",SERiskDifference,IF(Present_Effect_size_measure="Risk ratio",SELogRiskRatio,IF(Present_Effect_size_measure="Odds Ratio",SELogOddsRatio,IF(Present_Effect_size_measure="Peto Odds Ratio",SELogPetoOddsRatio)))),"")</f>
        <v/>
      </c>
      <c r="AS66" s="158" t="str">
        <f t="shared" ref="AS66:AS97" si="269">IF(AND(Include_study?="Yes",Sufficient_data="Yes"),IF(Present_Effect_size_measure="Risk difference",CI_LLRiskDifference,IF(Present_Effect_size_measure="Risk ratio",CI_LLRiskRatio,CI_LLOddsRatio)),"")</f>
        <v/>
      </c>
      <c r="AT66" s="39" t="str">
        <f t="shared" ref="AT66:AT97" si="270">IF(AND(Include_study?="Yes",Sufficient_data="Yes"),IF(Present_Effect_size_measure="Risk difference",CI_ULRiskDifference,IF(Present_Effect_size_measure="Risk ratio",CI_ULRiskRatio,CI_ULOddsRatio)),"")</f>
        <v/>
      </c>
      <c r="AU66" s="172" t="str">
        <f t="shared" ref="AU66:AU97" si="271">IF(AND(Include_study?="Yes",Sufficient_data="Yes",Valid_options="Yes"),IF(Meta_analysis_model="Fixed effect model",Weightf_lookup/SUM(Weightf_lookup),Weightr_lookup/SUM(Weightr_lookup)),"")</f>
        <v/>
      </c>
      <c r="AV66" s="45"/>
      <c r="AW66" s="84" t="e">
        <f t="shared" si="152"/>
        <v>#N/A</v>
      </c>
      <c r="AX66" s="69" t="e">
        <f t="shared" ref="AX66:AX97" si="272">IF(Effect_size_lookup&lt;&gt;"",Effect_size_lookup-AS66,NA())</f>
        <v>#N/A</v>
      </c>
      <c r="AY66" s="74" t="e">
        <f t="shared" ref="AY66:AY97" si="273">IF(Effect_size_lookup&lt;&gt;"",AT66-Effect_size_lookup,NA())</f>
        <v>#N/A</v>
      </c>
      <c r="AZ66" s="45"/>
      <c r="BA66" s="45"/>
      <c r="BB66" s="45"/>
      <c r="BC66" s="45"/>
      <c r="BD66" s="196"/>
      <c r="BE66" s="182"/>
      <c r="BF66" s="69" t="str">
        <f t="shared" si="155"/>
        <v/>
      </c>
      <c r="BG66" s="69" t="str">
        <f t="shared" si="156"/>
        <v/>
      </c>
      <c r="BH66" s="69" t="str">
        <f t="shared" si="157"/>
        <v/>
      </c>
      <c r="BI66" s="39" t="str">
        <f t="shared" si="158"/>
        <v/>
      </c>
      <c r="BJ66" s="95" t="str">
        <f t="shared" ref="BJ66:BJ97" si="274">IF(Weightf&lt;&gt;"",Model_Effect_size-IF(OR(Model_effect_size_measure="Odds Ratio",Model_effect_size_measure="Risk Ratio",Model_effect_size_measure="Peto Odds Ratio"),lnCES_IV,CES_IV),"")</f>
        <v/>
      </c>
      <c r="BO66" s="176"/>
      <c r="BP66" s="158" t="str">
        <f t="shared" ref="BP66:BP97" si="275">IF(AND(Sufficient_data="Yes",Include_study?="Yes"),IF(Add_0_5="Yes",(a_+0.5)*(d_+0.5)/(Number_of_subjects+2),a_*d_/Number_of_subjects),"")</f>
        <v/>
      </c>
      <c r="BQ66" s="158" t="str">
        <f t="shared" ref="BQ66:BQ97" si="276">IF(AND(Sufficient_data="Yes",Include_study?="Yes"),IF(Add_0_5="Yes",(b_+0.5)*(c_+0.5)/(Number_of_subjects+2),b_*c_/Number_of_subjects),"")</f>
        <v/>
      </c>
      <c r="BR66" s="158" t="str">
        <f t="shared" ref="BR66:BR97" si="277">IF(AND(Sufficient_data="Yes",Include_study?="Yes"),IF(Add_0_5="Yes",(a_+d_+1)*(a_+0.5)*(d_+0.5)/(Number_of_subjects+2)^2,(a_+d_)*a_*d_/Number_of_subjects^2),"")</f>
        <v/>
      </c>
      <c r="BS66" s="158" t="str">
        <f>IF(AND(Sufficient_data="Yes",Include_study?="Yes"),IF(Add_0_5="Yes",(a_+d_+1)*(ab_+0.5)*(c_+0.5)/(Number_of_subjects+2)^2,(a_+d_)*b_*c_/Number_of_subjects^2),"")</f>
        <v/>
      </c>
      <c r="BT66" s="158" t="str">
        <f t="shared" ref="BT66:BT97" si="278">IF(AND(Sufficient_data="Yes",Include_study?="Yes"),IF(Add_0_5="Yes",(b_+c_+1)*(a_+0.5)*(d_+0.5)/(Number_of_subjects+2)^2,(b_+c_)*a_*d_/Number_of_subjects^2),"")</f>
        <v/>
      </c>
      <c r="BU66" s="158" t="str">
        <f t="shared" ref="BU66:BU97" si="279">IF(AND(Sufficient_data="Yes",Include_study?="Yes"),IF(Add_0_5="Yes",(b_+c_+1)*(b_+0.5)*(c_+0.5)/(Number_of_subjects+2)^2,(b_+c_)*b_*c_/Number_of_subjects^2),"")</f>
        <v/>
      </c>
      <c r="BV66" s="158" t="str">
        <f t="shared" ref="BV66:BV97" si="280">IF(AND(Sufficient_data="Yes",Include_study?="Yes"),IF(Add_0_5="Yes",(b_+0.5)*(c_+0.5)/(Number_of_subjects+2),b_*c_/Number_of_subjects),"")</f>
        <v/>
      </c>
      <c r="BW66" s="69" t="str">
        <f t="shared" si="166"/>
        <v/>
      </c>
      <c r="BX66" s="137" t="str">
        <f t="shared" si="167"/>
        <v/>
      </c>
      <c r="BY66" s="95" t="str">
        <f t="shared" ref="BY66:BY97" si="281">IF(Weithf_MH&lt;&gt;"",LogOddsRatio-lnCES_OddsRatio_MH,"")</f>
        <v/>
      </c>
      <c r="CD66" s="176"/>
      <c r="CE66" s="130" t="str">
        <f t="shared" ref="CE66:CE97" si="282">IF(AND(Include_study?="Yes",Sufficient_data="Yes"),((a_+b_)*(a_+c_))/(Number_of_subjects),"")</f>
        <v/>
      </c>
      <c r="CF66" s="39" t="str">
        <f t="shared" ref="CF66:CF97" si="283">IF(AND(Include_study?="Yes",Sufficient_data="Yes"),((a_+b_)*(c_+d_)*(a_+c_)*(b_+d_))/((Number_of_subjects)^2*(Number_of_subjects-1)),"")</f>
        <v/>
      </c>
      <c r="CG66" s="39" t="str">
        <f t="shared" ref="CG66:CG97" si="284">IF(AND(Include_study?="Yes",Sufficient_data="Yes"),(a_-Expected)/VarExpected,"")</f>
        <v/>
      </c>
      <c r="CH66" s="39" t="str">
        <f t="shared" ref="CH66:CH97" si="285">IF(AND(Include_study?="Yes",Sufficient_data="Yes"),1/VarExpected,"")</f>
        <v/>
      </c>
      <c r="CI66" s="39" t="str">
        <f t="shared" ref="CI66:CI97" si="286">IF(AND(Sufficient_data="Yes",Include_study?="Yes"),VarExpected,"")</f>
        <v/>
      </c>
      <c r="CJ66" s="39" t="str">
        <f t="shared" ref="CJ66:CJ129" si="287">IF(Weightf_Peto&lt;&gt;"",1/(VarLogPetoOddsRatio+T2_Peto),"")</f>
        <v/>
      </c>
      <c r="CK66" s="95" t="str">
        <f t="shared" ref="CK66:CK97" si="288">IF(Weightf_Peto&lt;&gt;"",LogPetoOddsRatio-lnCES_PetoOddsRatio,"")</f>
        <v/>
      </c>
      <c r="CP66" s="176"/>
      <c r="CQ66" s="99" t="str">
        <f t="shared" si="175"/>
        <v/>
      </c>
      <c r="CX66" s="196"/>
      <c r="CY66" s="89" t="e">
        <f t="shared" ref="CY66:CY97" si="289">IF(AND(Include_study?="Yes",Sufficient_data="Yes",Subgroup&lt;&gt;""),COUNTIFS(Include_study?,"Yes",Sufficient_data,"Yes",DA:DA,"&lt;"&amp;Subgroup,Subgroup,"*")+COUNTIFS(Entry_number,"&lt;"&amp;Entry_number,DA:DA,Subgroup)+COUNTIFS(DS:DS,"&gt;="&amp;0,DQ:DQ,"&lt;"&amp;Subgroup)+1,NA())</f>
        <v>#N/A</v>
      </c>
      <c r="CZ66" s="136" t="str">
        <f t="shared" ref="CZ66:CZ97" si="290">IF(AND(Include_study?="Yes",Sufficient_data="Yes",Subgroup&lt;&gt;""),Study_name,"")</f>
        <v/>
      </c>
      <c r="DA66" s="140" t="str">
        <f t="shared" ref="DA66:DA97" si="291">IF(AND(Include_study?="Yes",Sufficient_data="Yes",Subgroup&lt;&gt;""),Subgroup,"")</f>
        <v/>
      </c>
      <c r="DB66" s="39" t="str">
        <f t="shared" ref="DB66:DB97" si="292">IF(AND(Include_study?="Yes",Sufficient_data="Yes",Subgroup&lt;&gt;""),IF(Subgroup_effect_size_measure="Odds Ratio",LogOddsRatio,IF(Subgroup_effect_size_measure="Risk Ratio",LogRiskRatio,IF(Subgroup_effect_size_measure="Risk Difference",Risk_Difference,IF(Subgroup_effect_size_measure="Peto Odds Ratio",LogPetoOddsRatio,"")))),"")</f>
        <v/>
      </c>
      <c r="DC66" s="39" t="str">
        <f t="shared" ref="DC66:DC97" si="293">IF(AND(Include_study?="Yes",Sufficient_data="Yes",Subgroup&lt;&gt;""),IF(Subgroup_effect_size_measure="Odds Ratio",SELogOddsRatio,IF(Subgroup_effect_size_measure="Risk Ratio",SELogRiskRatio,IF(Subgroup_effect_size_measure="Risk Difference",SERiskDifference,IF(Subgroup_effect_size_measure="Peto Odds Ratio",SELogPetoOddsRatio,"")))),"")</f>
        <v/>
      </c>
      <c r="DD66" s="39" t="str">
        <f t="shared" ref="DD66:DD97" si="294">IF(AND(Include_study?="Yes",Sufficient_data="Yes",Subgroup&lt;&gt;""),IF(Subgroup_weighting_method="Inverse variance",1/DC66^2,IF(Subgroup_weighting_method="Mantel-Haenszel",Weightf_MH,Weightf_Peto)),"")</f>
        <v/>
      </c>
      <c r="DE66" s="39" t="str">
        <f t="shared" ref="DE66:DE97" si="295">IF(AND(Include_study?="Yes",Sufficient_data="Yes",Subgroup&lt;&gt;""),1/(DC66^2+IF(Within_subgroup_weighting=EX$42,0,INDEX(DQ:DX,MATCH(Subgroup,DQ:DQ,0),8))),"")</f>
        <v/>
      </c>
      <c r="DF66" s="141" t="str">
        <f t="shared" ref="DF66:DF97" si="296">IF(AND(Include_study?="Yes",Sufficient_data="Yes",Subgroup_valid_options="Yes",Subgroup&lt;&gt;""),DE66/SUMIF(Subgroup,Subgroup,DE:DE),"")</f>
        <v/>
      </c>
      <c r="DG66" s="39" t="str">
        <f t="shared" ref="DG66:DG97" si="297">IF(AND(Include_study?="Yes",Sufficient_data="Yes",Subgroup&lt;&gt;"",DG$1&lt;&gt;""),IF(Subgroup_effect_size_measure="Risk Ratio",Risk_Ratio,IF(Subgroup_effect_size_measure="Odds Ratio",OddsRatio,IF(Subgroup_effect_size_measure="Peto Odds Ratio",PetoOddsRatio,""))),"")</f>
        <v/>
      </c>
      <c r="DH66" s="39" t="str">
        <f t="shared" ref="DH66:DH97" si="298">IF(AND(Include_study?="Yes",Sufficient_data="Yes",Subgroup&lt;&gt;""),IF(Subgroup_effect_size_measure="Risk Difference",Subgroup_effect_size-ABS(TINV((1-Subgroup_confidence_level),Number_of_subjects-1))*DC:DC,EXP(Subgroup_effect_size-ABS(TINV((1-Subgroup_confidence_level),Number_of_subjects-1))*DC:DC)),"")</f>
        <v/>
      </c>
      <c r="DI66" s="39" t="str">
        <f t="shared" ref="DI66:DI97" si="299">IF(AND(Include_study?="Yes",Sufficient_data="Yes",Subgroup&lt;&gt;""),IF(Subgroup_effect_size_measure="Risk Difference",Subgroup_effect_size+ABS(TINV((1-Subgroup_confidence_level),Number_of_subjects-1))*DC:DC,EXP(Subgroup_effect_size+ABS(TINV((1-Subgroup_confidence_level),Number_of_subjects-1))*DC:DC)),"")</f>
        <v/>
      </c>
      <c r="DJ66" s="74" t="str">
        <f t="shared" ref="DJ66:DJ97" si="300">IF(AND(Include_study?="Yes",Sufficient_data="Yes",Subgroup&lt;&gt;""),Subgroup_effect_size-VLOOKUP(DA:DA,DQ:DZ,10,FALSE),"")</f>
        <v/>
      </c>
      <c r="DK66" s="45"/>
      <c r="DL66" s="84" t="e">
        <f t="shared" si="222"/>
        <v>#N/A</v>
      </c>
      <c r="DM66" s="39" t="e">
        <f t="shared" ref="DM66:DM97" si="301">IF(AND(Include_study?="Yes",Sufficient_data="Yes",Subgroup&lt;&gt;""),IF(Subgroup_effect_size_measure="Risk Difference",DB66-DH66,DG66-DH66),NA())</f>
        <v>#N/A</v>
      </c>
      <c r="DN66" s="74" t="e">
        <f t="shared" ref="DN66:DN97" si="302">IF(AND(Include_study?="Yes",Sufficient_data="Yes",Subgroup&lt;&gt;""),IF(Subgroup_effect_size_measure="Risk Difference",DI66-DB66,DI66-DG66),NA())</f>
        <v>#N/A</v>
      </c>
      <c r="DO66" s="45"/>
      <c r="DP66" s="89" t="str">
        <f t="shared" si="102"/>
        <v/>
      </c>
      <c r="DQ66" s="26" t="str">
        <f>IF(AND(Sufficient_data="Yes",Subgroup&lt;&gt;""),IF(COUNTIFS(Input!J$2:J65,"="&amp;"Yes",Input!C$2:C65,"="&amp;"Yes",Input!K$2:K65,"="&amp;Subgroup)&gt;0,"",Subgroup),"")</f>
        <v/>
      </c>
      <c r="DR66" s="7" t="str">
        <f t="shared" si="103"/>
        <v/>
      </c>
      <c r="DS66" s="7" t="str">
        <f t="shared" ref="DS66:DS97" si="303">IF(DQ66&lt;&gt;"",COUNTIFS(Sufficient_data,"Yes",Include_study?,"Yes",Subgroup,DQ66),"")</f>
        <v/>
      </c>
      <c r="DT66" s="19" t="str">
        <f t="shared" ref="DT66:DT97" si="304">IF(AND(DQ66&lt;&gt;"",Subgroup_valid_options="Yes",SUMIF(Subgroup,DQ66,Subgroup_weightf)&gt;0),MAX(0,SUMPRODUCT(--(Subgroup=DQ66),Subgroup_weightf,Subgroup_effect_size,Subgroup_effect_size)-(SUMPRODUCT(--(Subgroup=DQ66),Subgroup_weightf,Subgroup_effect_size)^2/SUMIF(Subgroup,DQ66,Subgroup_weightf))),"")</f>
        <v/>
      </c>
      <c r="DU66" s="12" t="str">
        <f t="shared" si="223"/>
        <v/>
      </c>
      <c r="DV66" s="11" t="str">
        <f t="shared" si="224"/>
        <v/>
      </c>
      <c r="DW66" s="12" t="str">
        <f t="shared" si="225"/>
        <v/>
      </c>
      <c r="DX66" s="12" t="str">
        <f t="shared" ref="DX66:DX97" si="305">IF(DT66&lt;&gt;"",IF(Within_subgroup_weighting=EX$44,MAX(0,(SUM(DT:DT)-(Subgroup_k-COUNT(DT:DT)))/SUM(DW:DW)),MAX(0,(DT66-(DS66-1))/DW66)),"")</f>
        <v/>
      </c>
      <c r="DY66" s="19" t="str">
        <f t="shared" si="226"/>
        <v/>
      </c>
      <c r="DZ66" s="12" t="str">
        <f t="shared" si="227"/>
        <v/>
      </c>
      <c r="EA66" s="19" t="str">
        <f t="shared" ref="EA66:EA97" si="306">IF(DT66&lt;&gt;"",IF(Within_subgroup_weighting=EX$42,1/SQRT(SUMIF(Subgroup,DQ66,DD:DD)),SQRT(SUMPRODUCT(--(Subgroup=DQ66),DE:DE,DJ:DJ,DJ:DJ)/((DS66-1)*SUMIF(Subgroup,DQ66,DE:DE)))),"")</f>
        <v/>
      </c>
      <c r="EB66" s="7" t="str">
        <f t="shared" ref="EB66:EB97" si="307">IF(DT66&lt;&gt;"",SUMIFS(Number_of_subjects,Subgroup,DQ66,Include_study?,"Yes",Sufficient_data,"Yes"),"")</f>
        <v/>
      </c>
      <c r="EC66" s="19" t="str">
        <f t="shared" ref="EC66:EC97" si="308">IF(DT66&lt;&gt;"",DZ66-ABS(TINV((1-Subgroup_confidence_level),DS66-1))*EA66,"")</f>
        <v/>
      </c>
      <c r="ED66" s="19" t="str">
        <f t="shared" ref="ED66:ED97" si="309">IF(DT66&lt;&gt;"",DZ66+ABS(TINV((1-Subgroup_confidence_level),DS66-1))*EA66,"")</f>
        <v/>
      </c>
      <c r="EE66" s="19" t="str">
        <f t="shared" si="228"/>
        <v/>
      </c>
      <c r="EF66" s="19" t="str">
        <f t="shared" si="229"/>
        <v/>
      </c>
      <c r="EG66" s="19" t="str">
        <f t="shared" si="230"/>
        <v/>
      </c>
      <c r="EH66" s="19" t="str">
        <f t="shared" si="231"/>
        <v/>
      </c>
      <c r="EI66" s="19" t="str">
        <f t="shared" si="232"/>
        <v/>
      </c>
      <c r="EJ66" s="19" t="str">
        <f t="shared" ref="EJ66:EJ97" si="310">IF(DT66&lt;&gt;"",DZ66-ABS(TINV((1-Subgroup_confidence_level),DS66-1))*SQRT(DX66+EA66^2),"")</f>
        <v/>
      </c>
      <c r="EK66" s="19" t="str">
        <f t="shared" ref="EK66:EK97" si="311">IF(DT66&lt;&gt;"",DZ66+ABS(TINV((1-Subgroup_confidence_level),DS66-1))*SQRT(DX66+EA66^2),"")</f>
        <v/>
      </c>
      <c r="EL66" s="19" t="str">
        <f t="shared" si="233"/>
        <v/>
      </c>
      <c r="EM66" s="19" t="str">
        <f t="shared" si="234"/>
        <v/>
      </c>
      <c r="EN66" s="19" t="str">
        <f t="shared" si="235"/>
        <v/>
      </c>
      <c r="EO66" s="19" t="str">
        <f t="shared" si="236"/>
        <v/>
      </c>
      <c r="EP66" s="19" t="str">
        <f t="shared" si="237"/>
        <v/>
      </c>
      <c r="EQ66" s="19" t="e">
        <f t="shared" si="238"/>
        <v>#N/A</v>
      </c>
      <c r="ER66" s="11" t="str">
        <f t="shared" si="120"/>
        <v/>
      </c>
      <c r="ES66" s="19" t="str">
        <f t="shared" si="121"/>
        <v/>
      </c>
      <c r="ET66" s="156" t="str">
        <f t="shared" ref="ET66:ET97" si="312">IF(EA66&lt;&gt;"",1/(EA66^2+IF(Between_subgroup_weighting=EX$38,0,EY$35)),"")</f>
        <v/>
      </c>
      <c r="EU66" s="39" t="str">
        <f t="shared" si="239"/>
        <v/>
      </c>
      <c r="EV66" s="74" t="str">
        <f t="shared" ref="EV66:EV97" si="313">IF(DT66&lt;&gt;"",IF(Subgroup_effect_size_measure="Risk Difference",EE:EE-EY$9,DZ:DZ-EY$2),"")</f>
        <v/>
      </c>
      <c r="FA66" s="196"/>
      <c r="FB66" s="84" t="e">
        <f>IF(AND(Include_study?="Yes",Sufficient_data="Yes",Moderator&lt;&gt;""),'Moderator Analysis'!E66,NA())</f>
        <v>#N/A</v>
      </c>
      <c r="FC66" s="39" t="e">
        <f>IF(AND(Include_study?="Yes",Sufficient_data="Yes",Moderator&lt;&gt;""),'Moderator Analysis'!F66,NA())</f>
        <v>#N/A</v>
      </c>
      <c r="FD66" s="39" t="str">
        <f t="shared" ref="FD66:FD97" si="314">IF(AND(Include_study?="Yes",Sufficient_data="Yes",Moderator&lt;&gt;""),IF(Moderator_effect_size_measure="Log Odds Ratio",SELogOddsRatio,IF(Moderator_effect_size_measure="Log Risk Ratio",SELogRiskRatio,IF(Moderator_effect_size_measure="Risk Difference",SERiskDifference,SELogPetoOddsRatio))),"")</f>
        <v/>
      </c>
      <c r="FE66" s="39" t="str">
        <f t="shared" ref="FE66:FE97" si="315">IF(AND(Include_study?="Yes",Sufficient_data="Yes",Moderator&lt;&gt;""),IF(Moderator_weighting_method="Inverse Variance",1/FD:FD^2,IF(Moderator_weighting_method="Mantel-Haenszel",Weightf_MH,Weightf_Peto)),"")</f>
        <v/>
      </c>
      <c r="FF66" s="39" t="str">
        <f>IF(AND(Include_study?="Yes",Sufficient_data="Yes",Moderator&lt;&gt;""),'Moderator Analysis'!F:F-FP$2,"")</f>
        <v/>
      </c>
      <c r="FG66" s="39" t="str">
        <f>IF(AND(Include_study?="Yes",Sufficient_data="Yes",Moderator&lt;&gt;""),'Moderator Analysis'!E:E-FP$3,"")</f>
        <v/>
      </c>
      <c r="FH66" s="74" t="str">
        <f>IF(AND(Include_study?="Yes",Sufficient_data="Yes",Moderator&lt;&gt;""),FE:FE*('Moderator Analysis'!F:F-FP$5-FP$4*'Moderator Analysis'!E:E)^2,"")</f>
        <v/>
      </c>
      <c r="FI66" s="128"/>
      <c r="FJ66" s="92" t="str">
        <f t="shared" ref="FJ66:FJ97" si="316">IF(AND(Include_study?="Yes",Sufficient_data="Yes",Moderator&lt;&gt;""),1/(FD:FD^2+FP$7),"")</f>
        <v/>
      </c>
      <c r="FK66" s="137" t="str">
        <f>IF(AND(Include_study?="Yes",Sufficient_data="Yes",Moderator&lt;&gt;""),'Moderator Analysis'!F:F-'Moderator Analysis'!J$37,"")</f>
        <v/>
      </c>
      <c r="FL66" s="137" t="str">
        <f>IF(AND(Include_study?="Yes",Sufficient_data="Yes",Moderator&lt;&gt;""),'Moderator Analysis'!E:E-SUMPRODUCT('Moderator Analysis'!E:E,FJ:FJ)/SUM(FJ:FJ),"")</f>
        <v/>
      </c>
      <c r="FM66" s="95" t="str">
        <f>IF(AND(Include_study?="Yes",Sufficient_data="Yes",Moderator&lt;&gt;""),FJ:FJ*('Moderator Analysis'!F:F-'Moderator Analysis'!J$29-'Moderator Analysis'!J$30*'Moderator Analysis'!E:E)^2,"")</f>
        <v/>
      </c>
      <c r="FR66" s="196"/>
      <c r="FS66" s="182"/>
      <c r="FT6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6" s="39" t="str">
        <f>IF(AND(Include_study?="Yes",Sufficient_data="Yes"),1/('Publication Bias Analysis'!F:F^2+IF(Additional_model="Fixed effect",0,Calculations!GH$12)),"")</f>
        <v/>
      </c>
      <c r="FV66" s="39" t="str">
        <f>IF(AND(Include_study?="Yes",Sufficient_data="Yes"),1/('Publication Bias Analysis'!F:F^2+IF(Additional_model="Fixed effect",0,'Publication Bias Analysis'!L$32)),"")</f>
        <v/>
      </c>
      <c r="FW66" s="39" t="str">
        <f>IF(AND(Include_study?="Yes",Sufficient_data="Yes"),'Publication Bias Analysis'!E:E-'Publication Bias Analysis'!I$37,"")</f>
        <v/>
      </c>
      <c r="FX66" s="39" t="str">
        <f>IF(AND(Include_study?="Yes",Sufficient_data="Yes"),IF(Additional_model="Fixed effect",1/'Publication Bias Analysis'!F:F,1/SQRT('Publication Bias Analysis'!F:F^2+GH$12)),"")</f>
        <v/>
      </c>
      <c r="FY6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6" s="136" t="str">
        <f t="shared" ref="FZ66:FZ97" si="317">IF(AND(Include_study?="Yes",Sufficient_data="Yes"),RANK(GM:GM,GM:GM,1)*IF(GL:GL&gt;0,1,-1),"")</f>
        <v/>
      </c>
      <c r="GA66" s="144" t="str">
        <f>IF(AND(Include_study?="Yes",Sufficient_data="Yes"),FZ:FZ+IF(GL:GL&lt;0,-1,1)*COUNTIF(FZ$2:FZ65,FZ:FZ),"")</f>
        <v/>
      </c>
      <c r="GB66" s="144" t="str">
        <f>IF(AND(Include_study?="Yes",Sufficient_data="Yes"),RANK(GP:GP,GP:GP,1)*IF(GO:GO&lt;0,-1,1)+IF(GO:GO&lt;0,-1,1)*COUNTIF(FZ$2:FZ65,FZ:FZ),"")</f>
        <v/>
      </c>
      <c r="GC66" s="144" t="str">
        <f>IF(AND(Include_study?="Yes",Sufficient_data="Yes"),RANK(GS:GS,GS:GS,1)*IF(GR:GR&lt;0,-1,1)+IF(GR:GR&lt;0,-1,1)*COUNTIF(FZ$2:FZ65,FZ:FZ),"")</f>
        <v/>
      </c>
      <c r="GD66" s="39" t="e">
        <f>IF(AND(Include_study?="Yes",Sufficient_data="Yes"),'Publication Bias Analysis'!E66,NA())</f>
        <v>#N/A</v>
      </c>
      <c r="GE66" s="74" t="e">
        <f>IF(AND(Include_study?="Yes",Sufficient_data="Yes"),'Publication Bias Analysis'!F66,NA())</f>
        <v>#N/A</v>
      </c>
      <c r="GK66" s="176"/>
      <c r="GL6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6" s="39" t="str">
        <f t="shared" ref="GM66:GM97" si="318">IF(AND(Include_study?="Yes",Sufficient_data="Yes"),ABS(GL66),"")</f>
        <v/>
      </c>
      <c r="GN6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6" s="39" t="str">
        <f>IF(AND(Include_study?="Yes",Sufficient_data="Yes"),IF('Publication Bias Analysis'!L$38="Left",'Publication Bias Analysis'!E:E-GW$3,GW$3-'Publication Bias Analysis'!E:E),"")</f>
        <v/>
      </c>
      <c r="GP66" s="39" t="str">
        <f t="shared" si="242"/>
        <v/>
      </c>
      <c r="GQ6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6" s="39" t="str">
        <f>IF(AND(Include_study?="Yes",Sufficient_data="Yes"),IF('Publication Bias Analysis'!L$38="Left",'Publication Bias Analysis'!E:E-GW$10,GW$10-'Publication Bias Analysis'!E:E),"")</f>
        <v/>
      </c>
      <c r="GS66" s="39" t="str">
        <f t="shared" si="243"/>
        <v/>
      </c>
      <c r="GT6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6" s="176"/>
      <c r="HL66" s="69" t="str">
        <f t="shared" ref="HL66:HL129" si="319">IF(AND(Include_study?="Yes",Sufficient_data="Yes"),Inverse_standard_error-AVERAGE(Inverse_standard_error),"")</f>
        <v/>
      </c>
      <c r="HM66" s="74" t="str">
        <f>IF(AND(Include_study?="Yes",Sufficient_data="Yes"),Z_score-('Publication Bias Analysis'!P$3+'Publication Bias Analysis'!P$4*Inverse_standard_error),"")</f>
        <v/>
      </c>
      <c r="HO66" s="176"/>
      <c r="HP66" s="69" t="str">
        <f>IF(AND(Include_study?="Yes",Sufficient_data="Yes"),(GD:GD-SUMPRODUCT(Calculations!FT:FT,'Publication Bias Analysis'!E:E)/SUM(Calculations!FT:FT))/SQRT(Calculations!HQ:HQ),"")</f>
        <v/>
      </c>
      <c r="HQ66" s="69" t="str">
        <f>IF(AND(Include_study?="Yes",Sufficient_data="Yes"),GE:GE^2-1/SUM(Calculations!FT:FT),"")</f>
        <v/>
      </c>
      <c r="HR66" s="7" t="str">
        <f t="shared" si="240"/>
        <v/>
      </c>
      <c r="HS66" s="7" t="str">
        <f t="shared" si="241"/>
        <v/>
      </c>
      <c r="HT66" s="7" t="str">
        <f>IF(AND(Include_study?="Yes",Sufficient_data="Yes"),COUNTIFS(HR$2:HR65,"&lt;"&amp;HR66,HS$2:HS65,"&lt;"&amp;HS66)+COUNTIFS(HR67:HR$201,"&lt;"&amp;HR66,HS67:HS$201,"&lt;"&amp;HS66)+COUNTIFS(HR$2:HR65,"&gt;"&amp;HR66,HS$2:HS65,"&gt;"&amp;HS66)+COUNTIFS(HR67:HR$201,"&gt;"&amp;HR66,HS67:HS$201,"&gt;"&amp;HS66),"")</f>
        <v/>
      </c>
      <c r="HU66" s="104" t="str">
        <f>IF(AND(Include_study?="Yes",Sufficient_data="Yes"),COUNTIFS(HR$2:HR65,"&lt;"&amp;HR66,HS$2:HS65,"&gt;"&amp;HS66)+COUNTIFS(HR67:HR$201,"&lt;"&amp;HR66,HS67:HS$201,"&gt;"&amp;HS66)+COUNTIFS(HR$2:HR65,"&gt;"&amp;HR66,HS$2:HS65,"&lt;"&amp;HS66)+COUNTIFS(HR67:HR$201,"&gt;"&amp;HR66,HS67:HS$201,"&lt;"&amp;HS66),"")</f>
        <v/>
      </c>
      <c r="HW66" s="176"/>
      <c r="IB66" s="176"/>
      <c r="IC66" s="146" t="e">
        <f t="shared" ref="IC66:IC97" si="320">IF(AND(Include_study?="Yes",Sufficient_data="Yes"),a_/(a_+b_),NA())</f>
        <v>#N/A</v>
      </c>
      <c r="ID66" s="137" t="e">
        <f t="shared" ref="ID66:ID97" si="321">IF(AND(Include_study?="Yes",Sufficient_data="Yes"),c_/(c_+d_),NA())</f>
        <v>#N/A</v>
      </c>
      <c r="IE66" s="137" t="str">
        <f t="shared" ref="IE66:IE97" si="322">IF(AND(Include_study?="Yes",Sufficient_data="Yes"),1/SELogRiskRatio^2,"")</f>
        <v/>
      </c>
      <c r="IF66" s="95" t="str">
        <f t="shared" ref="IF66:IF97" si="323">IF(AND(Include_study?="Yes",Sufficient_data="Yes"),IF(Additional_model="Fixed effect",Weightf,Weightr),"")</f>
        <v/>
      </c>
      <c r="IK66" s="176"/>
      <c r="IL66" s="69" t="e">
        <f>IF(AND(Include_study?="Yes",Sufficient_data="Yes"),'Publication Bias Analysis'!AV:AV,NA())</f>
        <v>#N/A</v>
      </c>
      <c r="IM66" s="158" t="e">
        <f>IF(AND(Sufficient_data="Yes",Include_study?="Yes"),'Publication Bias Analysis'!AU:AU,NA())</f>
        <v>#N/A</v>
      </c>
      <c r="IN66" s="69" t="str">
        <f t="shared" si="219"/>
        <v/>
      </c>
      <c r="IO66" s="74" t="str">
        <f>IF(AND(Include_study?="Yes",Sufficient_data="Yes"),Z_score-('Publication Bias Analysis'!AY$30+'Publication Bias Analysis'!AY$31*Inverse_standard_error),"")</f>
        <v/>
      </c>
      <c r="IU66" s="176"/>
      <c r="IV66" s="7" t="str">
        <f>IF('Publication Bias Analysis'!BG:BG&lt;&gt;"",RANK('Publication Bias Analysis'!BG:BG,'Publication Bias Analysis'!BG:BG,1)+COUNTIF('Publication Bias Analysis'!BG$2:BG65,'Publication Bias Analysis'!BG66),"")</f>
        <v/>
      </c>
      <c r="IW66" s="124" t="str">
        <f t="shared" ref="IW66:IW97" si="324">IF(IV:IV&lt;&gt;"",(IV:IV-1/3)/(k_+1/3),"")</f>
        <v/>
      </c>
      <c r="IX66" s="125" t="e">
        <f>IF('Publication Bias Analysis'!BF66&lt;&gt;"",'Publication Bias Analysis'!BF66,NA())</f>
        <v>#N/A</v>
      </c>
      <c r="IY66" s="125" t="e">
        <f>IF('Publication Bias Analysis'!BG66&lt;&gt;"",'Publication Bias Analysis'!BG66,NA())</f>
        <v>#N/A</v>
      </c>
      <c r="IZ66" s="69" t="str">
        <f>IF(AND(Include_study?="Yes",Sufficient_data="Yes"),'Publication Bias Analysis'!BF:BF-AVERAGE('Publication Bias Analysis'!BF:BF),"")</f>
        <v/>
      </c>
      <c r="JA66" s="74" t="str">
        <f>IF(AND(Include_study?="Yes",Sufficient_data="Yes"),'Publication Bias Analysis'!BG:BG-('Publication Bias Analysis'!BJ$30+'Publication Bias Analysis'!BJ$31*'Publication Bias Analysis'!BF:BF),"")</f>
        <v/>
      </c>
      <c r="JG66" s="176"/>
      <c r="JH66" s="39" t="str">
        <f t="shared" ref="JH66:JH97" si="325">IF(AND(Include_study?="Yes",Sufficient_data="Yes"),IF(AND(Additional_valid_options="No",Additional_model="Random effects"),NA(),Z_score),"")</f>
        <v/>
      </c>
      <c r="JI66" s="148" t="str">
        <f t="shared" si="124"/>
        <v/>
      </c>
      <c r="JJ66" s="74" t="str">
        <f t="shared" si="125"/>
        <v/>
      </c>
    </row>
    <row r="67" spans="1:270" x14ac:dyDescent="0.2">
      <c r="A67" s="56" t="str">
        <f t="shared" si="126"/>
        <v/>
      </c>
      <c r="B67" s="7" t="str">
        <f>IF(AND(Include_study?="Yes",Sufficient_data="Yes"),IF(Input!a_&lt;&gt;"",Input!a_,Input!n1_-Input!b_),"")</f>
        <v/>
      </c>
      <c r="C67" s="7" t="str">
        <f>IF(AND(Include_study?="Yes",Sufficient_data="Yes"),IF(Input!b_&lt;&gt;"",Input!b_,Input!n1_-Input!a_),"")</f>
        <v/>
      </c>
      <c r="D67" s="7" t="str">
        <f>IF(AND(Include_study?="Yes",Sufficient_data="Yes"),IF(Input!c_&lt;&gt;"",Input!c_,Input!n2_-Input!d_),"")</f>
        <v/>
      </c>
      <c r="E67" s="7" t="str">
        <f>IF(AND(Include_study?="Yes",Sufficient_data="Yes"),IF(Input!d_&lt;&gt;"",Input!d_,Input!n2_-Input!c_),"")</f>
        <v/>
      </c>
      <c r="F67" s="74" t="str">
        <f t="shared" si="244"/>
        <v/>
      </c>
      <c r="H67" s="196"/>
      <c r="I67" s="182"/>
      <c r="J67" s="146" t="str">
        <f t="shared" si="245"/>
        <v/>
      </c>
      <c r="K67" s="39" t="str">
        <f t="shared" si="246"/>
        <v/>
      </c>
      <c r="L67" s="39" t="str">
        <f t="shared" si="247"/>
        <v/>
      </c>
      <c r="M67" s="39" t="str">
        <f t="shared" si="248"/>
        <v/>
      </c>
      <c r="N67" s="74" t="str">
        <f t="shared" si="249"/>
        <v/>
      </c>
      <c r="P67" s="176"/>
      <c r="Q67" s="130" t="str">
        <f t="shared" si="250"/>
        <v/>
      </c>
      <c r="R67" s="39" t="str">
        <f t="shared" si="251"/>
        <v/>
      </c>
      <c r="S67" s="39" t="str">
        <f t="shared" si="252"/>
        <v/>
      </c>
      <c r="T67" s="74" t="str">
        <f t="shared" si="253"/>
        <v/>
      </c>
      <c r="V67" s="176"/>
      <c r="W67" s="130" t="str">
        <f t="shared" si="254"/>
        <v/>
      </c>
      <c r="X67" s="39" t="str">
        <f t="shared" si="255"/>
        <v/>
      </c>
      <c r="Y67" s="39" t="str">
        <f t="shared" si="256"/>
        <v/>
      </c>
      <c r="Z67" s="74" t="str">
        <f t="shared" si="257"/>
        <v/>
      </c>
      <c r="AB67" s="176"/>
      <c r="AC67" s="130" t="str">
        <f t="shared" si="258"/>
        <v/>
      </c>
      <c r="AD67" s="39" t="str">
        <f t="shared" si="259"/>
        <v/>
      </c>
      <c r="AE67" s="39" t="str">
        <f t="shared" si="260"/>
        <v/>
      </c>
      <c r="AF67" s="39" t="str">
        <f t="shared" si="261"/>
        <v/>
      </c>
      <c r="AG67" s="74" t="str">
        <f t="shared" si="262"/>
        <v/>
      </c>
      <c r="AI67" s="196"/>
      <c r="AJ6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7" s="136" t="str">
        <f>IF(AJ67&lt;&gt;"",IF(AJ67=0,COUNTIF(AJ$2:AJ66,0)+1,COUNTIF(AJ$2:AJ66,AJ67)+AJ67+COUNTIF(AJ:AJ,0)),"")</f>
        <v/>
      </c>
      <c r="AL67" s="136" t="str">
        <f t="shared" si="263"/>
        <v/>
      </c>
      <c r="AM67" s="155" t="str">
        <f>IF(AND(Include_study?="Yes",Sufficient_data="Yes",Input!Study_name&lt;&gt;""),Input!Study_name,"")</f>
        <v/>
      </c>
      <c r="AN67" s="136" t="str">
        <f t="shared" si="264"/>
        <v/>
      </c>
      <c r="AO67" s="19" t="str">
        <f t="shared" si="265"/>
        <v/>
      </c>
      <c r="AP67" s="158" t="str">
        <f t="shared" si="266"/>
        <v/>
      </c>
      <c r="AQ67" s="158" t="str">
        <f t="shared" si="267"/>
        <v/>
      </c>
      <c r="AR67" s="39" t="str">
        <f t="shared" si="268"/>
        <v/>
      </c>
      <c r="AS67" s="158" t="str">
        <f t="shared" si="269"/>
        <v/>
      </c>
      <c r="AT67" s="39" t="str">
        <f t="shared" si="270"/>
        <v/>
      </c>
      <c r="AU67" s="172" t="str">
        <f t="shared" si="271"/>
        <v/>
      </c>
      <c r="AV67" s="45"/>
      <c r="AW67" s="84" t="e">
        <f t="shared" si="152"/>
        <v>#N/A</v>
      </c>
      <c r="AX67" s="69" t="e">
        <f t="shared" si="272"/>
        <v>#N/A</v>
      </c>
      <c r="AY67" s="74" t="e">
        <f t="shared" si="273"/>
        <v>#N/A</v>
      </c>
      <c r="AZ67" s="45"/>
      <c r="BA67" s="45"/>
      <c r="BB67" s="45"/>
      <c r="BC67" s="45"/>
      <c r="BD67" s="196"/>
      <c r="BE67" s="182"/>
      <c r="BF67" s="69" t="str">
        <f t="shared" si="155"/>
        <v/>
      </c>
      <c r="BG67" s="69" t="str">
        <f t="shared" si="156"/>
        <v/>
      </c>
      <c r="BH67" s="69" t="str">
        <f t="shared" si="157"/>
        <v/>
      </c>
      <c r="BI67" s="39" t="str">
        <f t="shared" si="158"/>
        <v/>
      </c>
      <c r="BJ67" s="95" t="str">
        <f t="shared" si="274"/>
        <v/>
      </c>
      <c r="BO67" s="176"/>
      <c r="BP67" s="158" t="str">
        <f t="shared" si="275"/>
        <v/>
      </c>
      <c r="BQ67" s="158" t="str">
        <f t="shared" si="276"/>
        <v/>
      </c>
      <c r="BR67" s="158" t="str">
        <f t="shared" si="277"/>
        <v/>
      </c>
      <c r="BS67" s="158" t="str">
        <f>IF(AND(Sufficient_data="Yes",Include_study?="Yes"),IF(Add_0_5="Yes",(a_+d_+1)*(ab_+0.5)*(c_+0.5)/(Number_of_subjects+2)^2,(a_+d_)*b_*c_/Number_of_subjects^2),"")</f>
        <v/>
      </c>
      <c r="BT67" s="158" t="str">
        <f t="shared" si="278"/>
        <v/>
      </c>
      <c r="BU67" s="158" t="str">
        <f t="shared" si="279"/>
        <v/>
      </c>
      <c r="BV67" s="158" t="str">
        <f t="shared" si="280"/>
        <v/>
      </c>
      <c r="BW67" s="69" t="str">
        <f t="shared" si="166"/>
        <v/>
      </c>
      <c r="BX67" s="137" t="str">
        <f t="shared" si="167"/>
        <v/>
      </c>
      <c r="BY67" s="95" t="str">
        <f t="shared" si="281"/>
        <v/>
      </c>
      <c r="CD67" s="176"/>
      <c r="CE67" s="130" t="str">
        <f t="shared" si="282"/>
        <v/>
      </c>
      <c r="CF67" s="39" t="str">
        <f t="shared" si="283"/>
        <v/>
      </c>
      <c r="CG67" s="39" t="str">
        <f t="shared" si="284"/>
        <v/>
      </c>
      <c r="CH67" s="39" t="str">
        <f t="shared" si="285"/>
        <v/>
      </c>
      <c r="CI67" s="39" t="str">
        <f t="shared" si="286"/>
        <v/>
      </c>
      <c r="CJ67" s="39" t="str">
        <f t="shared" si="287"/>
        <v/>
      </c>
      <c r="CK67" s="95" t="str">
        <f t="shared" si="288"/>
        <v/>
      </c>
      <c r="CP67" s="176"/>
      <c r="CQ67" s="99" t="str">
        <f t="shared" si="175"/>
        <v/>
      </c>
      <c r="CX67" s="196"/>
      <c r="CY67" s="89" t="e">
        <f t="shared" si="289"/>
        <v>#N/A</v>
      </c>
      <c r="CZ67" s="136" t="str">
        <f t="shared" si="290"/>
        <v/>
      </c>
      <c r="DA67" s="140" t="str">
        <f t="shared" si="291"/>
        <v/>
      </c>
      <c r="DB67" s="39" t="str">
        <f t="shared" si="292"/>
        <v/>
      </c>
      <c r="DC67" s="39" t="str">
        <f t="shared" si="293"/>
        <v/>
      </c>
      <c r="DD67" s="39" t="str">
        <f t="shared" si="294"/>
        <v/>
      </c>
      <c r="DE67" s="39" t="str">
        <f t="shared" si="295"/>
        <v/>
      </c>
      <c r="DF67" s="141" t="str">
        <f t="shared" si="296"/>
        <v/>
      </c>
      <c r="DG67" s="39" t="str">
        <f t="shared" si="297"/>
        <v/>
      </c>
      <c r="DH67" s="39" t="str">
        <f t="shared" si="298"/>
        <v/>
      </c>
      <c r="DI67" s="39" t="str">
        <f t="shared" si="299"/>
        <v/>
      </c>
      <c r="DJ67" s="74" t="str">
        <f t="shared" si="300"/>
        <v/>
      </c>
      <c r="DK67" s="45"/>
      <c r="DL67" s="84" t="e">
        <f t="shared" si="222"/>
        <v>#N/A</v>
      </c>
      <c r="DM67" s="39" t="e">
        <f t="shared" si="301"/>
        <v>#N/A</v>
      </c>
      <c r="DN67" s="74" t="e">
        <f t="shared" si="302"/>
        <v>#N/A</v>
      </c>
      <c r="DO67" s="45"/>
      <c r="DP67" s="89" t="str">
        <f t="shared" ref="DP67:DP130" si="326">IF(DQ67&lt;&gt;"",SUMIFS(DS:DS,DS:DS,"&gt;="&amp;0,DQ:DQ,"&lt;"&amp;DQ67)+DS67+DR67,"")</f>
        <v/>
      </c>
      <c r="DQ67" s="26" t="str">
        <f>IF(AND(Sufficient_data="Yes",Subgroup&lt;&gt;""),IF(COUNTIFS(Input!J$2:J66,"="&amp;"Yes",Input!C$2:C66,"="&amp;"Yes",Input!K$2:K66,"="&amp;Subgroup)&gt;0,"",Subgroup),"")</f>
        <v/>
      </c>
      <c r="DR67" s="7" t="str">
        <f t="shared" ref="DR67:DR130" si="327">IF(DQ67&lt;&gt;"",(COUNTIFS(DS:DS,"&gt;"&amp;0,DQ:DQ,"&lt;"&amp;DQ67)+1),"")</f>
        <v/>
      </c>
      <c r="DS67" s="7" t="str">
        <f t="shared" si="303"/>
        <v/>
      </c>
      <c r="DT67" s="19" t="str">
        <f t="shared" si="304"/>
        <v/>
      </c>
      <c r="DU67" s="12" t="str">
        <f t="shared" si="223"/>
        <v/>
      </c>
      <c r="DV67" s="11" t="str">
        <f t="shared" si="224"/>
        <v/>
      </c>
      <c r="DW67" s="12" t="str">
        <f t="shared" si="225"/>
        <v/>
      </c>
      <c r="DX67" s="12" t="str">
        <f t="shared" si="305"/>
        <v/>
      </c>
      <c r="DY67" s="19" t="str">
        <f t="shared" si="226"/>
        <v/>
      </c>
      <c r="DZ67" s="12" t="str">
        <f t="shared" si="227"/>
        <v/>
      </c>
      <c r="EA67" s="19" t="str">
        <f t="shared" si="306"/>
        <v/>
      </c>
      <c r="EB67" s="7" t="str">
        <f t="shared" si="307"/>
        <v/>
      </c>
      <c r="EC67" s="19" t="str">
        <f t="shared" si="308"/>
        <v/>
      </c>
      <c r="ED67" s="19" t="str">
        <f t="shared" si="309"/>
        <v/>
      </c>
      <c r="EE67" s="19" t="str">
        <f t="shared" si="228"/>
        <v/>
      </c>
      <c r="EF67" s="19" t="str">
        <f t="shared" si="229"/>
        <v/>
      </c>
      <c r="EG67" s="19" t="str">
        <f t="shared" si="230"/>
        <v/>
      </c>
      <c r="EH67" s="19" t="str">
        <f t="shared" si="231"/>
        <v/>
      </c>
      <c r="EI67" s="19" t="str">
        <f t="shared" si="232"/>
        <v/>
      </c>
      <c r="EJ67" s="19" t="str">
        <f t="shared" si="310"/>
        <v/>
      </c>
      <c r="EK67" s="19" t="str">
        <f t="shared" si="311"/>
        <v/>
      </c>
      <c r="EL67" s="19" t="str">
        <f t="shared" si="233"/>
        <v/>
      </c>
      <c r="EM67" s="19" t="str">
        <f t="shared" si="234"/>
        <v/>
      </c>
      <c r="EN67" s="19" t="str">
        <f t="shared" si="235"/>
        <v/>
      </c>
      <c r="EO67" s="19" t="str">
        <f t="shared" si="236"/>
        <v/>
      </c>
      <c r="EP67" s="19" t="str">
        <f t="shared" si="237"/>
        <v/>
      </c>
      <c r="EQ67" s="19" t="e">
        <f t="shared" si="238"/>
        <v>#N/A</v>
      </c>
      <c r="ER67" s="11" t="str">
        <f t="shared" ref="ER67:ER130" si="328">IF(DT67&lt;&gt;"",(ET67/SUM(ET:ET)),"")</f>
        <v/>
      </c>
      <c r="ES67" s="19" t="str">
        <f t="shared" ref="ES67:ES130" si="329">IF(DT67&lt;&gt;"",1/(EA67^2),"")</f>
        <v/>
      </c>
      <c r="ET67" s="156" t="str">
        <f t="shared" si="312"/>
        <v/>
      </c>
      <c r="EU67" s="39" t="str">
        <f t="shared" si="239"/>
        <v/>
      </c>
      <c r="EV67" s="74" t="str">
        <f t="shared" si="313"/>
        <v/>
      </c>
      <c r="FA67" s="196"/>
      <c r="FB67" s="84" t="e">
        <f>IF(AND(Include_study?="Yes",Sufficient_data="Yes",Moderator&lt;&gt;""),'Moderator Analysis'!E67,NA())</f>
        <v>#N/A</v>
      </c>
      <c r="FC67" s="39" t="e">
        <f>IF(AND(Include_study?="Yes",Sufficient_data="Yes",Moderator&lt;&gt;""),'Moderator Analysis'!F67,NA())</f>
        <v>#N/A</v>
      </c>
      <c r="FD67" s="39" t="str">
        <f t="shared" si="314"/>
        <v/>
      </c>
      <c r="FE67" s="39" t="str">
        <f t="shared" si="315"/>
        <v/>
      </c>
      <c r="FF67" s="39" t="str">
        <f>IF(AND(Include_study?="Yes",Sufficient_data="Yes",Moderator&lt;&gt;""),'Moderator Analysis'!F:F-FP$2,"")</f>
        <v/>
      </c>
      <c r="FG67" s="39" t="str">
        <f>IF(AND(Include_study?="Yes",Sufficient_data="Yes",Moderator&lt;&gt;""),'Moderator Analysis'!E:E-FP$3,"")</f>
        <v/>
      </c>
      <c r="FH67" s="74" t="str">
        <f>IF(AND(Include_study?="Yes",Sufficient_data="Yes",Moderator&lt;&gt;""),FE:FE*('Moderator Analysis'!F:F-FP$5-FP$4*'Moderator Analysis'!E:E)^2,"")</f>
        <v/>
      </c>
      <c r="FI67" s="128"/>
      <c r="FJ67" s="92" t="str">
        <f t="shared" si="316"/>
        <v/>
      </c>
      <c r="FK67" s="137" t="str">
        <f>IF(AND(Include_study?="Yes",Sufficient_data="Yes",Moderator&lt;&gt;""),'Moderator Analysis'!F:F-'Moderator Analysis'!J$37,"")</f>
        <v/>
      </c>
      <c r="FL67" s="137" t="str">
        <f>IF(AND(Include_study?="Yes",Sufficient_data="Yes",Moderator&lt;&gt;""),'Moderator Analysis'!E:E-SUMPRODUCT('Moderator Analysis'!E:E,FJ:FJ)/SUM(FJ:FJ),"")</f>
        <v/>
      </c>
      <c r="FM67" s="95" t="str">
        <f>IF(AND(Include_study?="Yes",Sufficient_data="Yes",Moderator&lt;&gt;""),FJ:FJ*('Moderator Analysis'!F:F-'Moderator Analysis'!J$29-'Moderator Analysis'!J$30*'Moderator Analysis'!E:E)^2,"")</f>
        <v/>
      </c>
      <c r="FR67" s="196"/>
      <c r="FS67" s="182"/>
      <c r="FT6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7" s="39" t="str">
        <f>IF(AND(Include_study?="Yes",Sufficient_data="Yes"),1/('Publication Bias Analysis'!F:F^2+IF(Additional_model="Fixed effect",0,Calculations!GH$12)),"")</f>
        <v/>
      </c>
      <c r="FV67" s="39" t="str">
        <f>IF(AND(Include_study?="Yes",Sufficient_data="Yes"),1/('Publication Bias Analysis'!F:F^2+IF(Additional_model="Fixed effect",0,'Publication Bias Analysis'!L$32)),"")</f>
        <v/>
      </c>
      <c r="FW67" s="39" t="str">
        <f>IF(AND(Include_study?="Yes",Sufficient_data="Yes"),'Publication Bias Analysis'!E:E-'Publication Bias Analysis'!I$37,"")</f>
        <v/>
      </c>
      <c r="FX67" s="39" t="str">
        <f>IF(AND(Include_study?="Yes",Sufficient_data="Yes"),IF(Additional_model="Fixed effect",1/'Publication Bias Analysis'!F:F,1/SQRT('Publication Bias Analysis'!F:F^2+GH$12)),"")</f>
        <v/>
      </c>
      <c r="FY6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7" s="136" t="str">
        <f t="shared" si="317"/>
        <v/>
      </c>
      <c r="GA67" s="144" t="str">
        <f>IF(AND(Include_study?="Yes",Sufficient_data="Yes"),FZ:FZ+IF(GL:GL&lt;0,-1,1)*COUNTIF(FZ$2:FZ66,FZ:FZ),"")</f>
        <v/>
      </c>
      <c r="GB67" s="144" t="str">
        <f>IF(AND(Include_study?="Yes",Sufficient_data="Yes"),RANK(GP:GP,GP:GP,1)*IF(GO:GO&lt;0,-1,1)+IF(GO:GO&lt;0,-1,1)*COUNTIF(FZ$2:FZ66,FZ:FZ),"")</f>
        <v/>
      </c>
      <c r="GC67" s="144" t="str">
        <f>IF(AND(Include_study?="Yes",Sufficient_data="Yes"),RANK(GS:GS,GS:GS,1)*IF(GR:GR&lt;0,-1,1)+IF(GR:GR&lt;0,-1,1)*COUNTIF(FZ$2:FZ66,FZ:FZ),"")</f>
        <v/>
      </c>
      <c r="GD67" s="39" t="e">
        <f>IF(AND(Include_study?="Yes",Sufficient_data="Yes"),'Publication Bias Analysis'!E67,NA())</f>
        <v>#N/A</v>
      </c>
      <c r="GE67" s="74" t="e">
        <f>IF(AND(Include_study?="Yes",Sufficient_data="Yes"),'Publication Bias Analysis'!F67,NA())</f>
        <v>#N/A</v>
      </c>
      <c r="GK67" s="176"/>
      <c r="GL6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7" s="39" t="str">
        <f t="shared" si="318"/>
        <v/>
      </c>
      <c r="GN6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7" s="39" t="str">
        <f>IF(AND(Include_study?="Yes",Sufficient_data="Yes"),IF('Publication Bias Analysis'!L$38="Left",'Publication Bias Analysis'!E:E-GW$3,GW$3-'Publication Bias Analysis'!E:E),"")</f>
        <v/>
      </c>
      <c r="GP67" s="39" t="str">
        <f t="shared" ref="GP67:GP130" si="330">IF(GO67&lt;&gt;"",ABS(GO67),"")</f>
        <v/>
      </c>
      <c r="GQ6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7" s="39" t="str">
        <f>IF(AND(Include_study?="Yes",Sufficient_data="Yes"),IF('Publication Bias Analysis'!L$38="Left",'Publication Bias Analysis'!E:E-GW$10,GW$10-'Publication Bias Analysis'!E:E),"")</f>
        <v/>
      </c>
      <c r="GS67" s="39" t="str">
        <f t="shared" ref="GS67:GS130" si="331">IF(GR67&lt;&gt;"",ABS(GR67),"")</f>
        <v/>
      </c>
      <c r="GT6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7" s="176"/>
      <c r="HL67" s="69" t="str">
        <f t="shared" si="319"/>
        <v/>
      </c>
      <c r="HM67" s="74" t="str">
        <f>IF(AND(Include_study?="Yes",Sufficient_data="Yes"),Z_score-('Publication Bias Analysis'!P$3+'Publication Bias Analysis'!P$4*Inverse_standard_error),"")</f>
        <v/>
      </c>
      <c r="HO67" s="176"/>
      <c r="HP67" s="69" t="str">
        <f>IF(AND(Include_study?="Yes",Sufficient_data="Yes"),(GD:GD-SUMPRODUCT(Calculations!FT:FT,'Publication Bias Analysis'!E:E)/SUM(Calculations!FT:FT))/SQRT(Calculations!HQ:HQ),"")</f>
        <v/>
      </c>
      <c r="HQ67" s="69" t="str">
        <f>IF(AND(Include_study?="Yes",Sufficient_data="Yes"),GE:GE^2-1/SUM(Calculations!FT:FT),"")</f>
        <v/>
      </c>
      <c r="HR67" s="7" t="str">
        <f t="shared" si="240"/>
        <v/>
      </c>
      <c r="HS67" s="7" t="str">
        <f t="shared" si="241"/>
        <v/>
      </c>
      <c r="HT67" s="7" t="str">
        <f>IF(AND(Include_study?="Yes",Sufficient_data="Yes"),COUNTIFS(HR$2:HR66,"&lt;"&amp;HR67,HS$2:HS66,"&lt;"&amp;HS67)+COUNTIFS(HR68:HR$201,"&lt;"&amp;HR67,HS68:HS$201,"&lt;"&amp;HS67)+COUNTIFS(HR$2:HR66,"&gt;"&amp;HR67,HS$2:HS66,"&gt;"&amp;HS67)+COUNTIFS(HR68:HR$201,"&gt;"&amp;HR67,HS68:HS$201,"&gt;"&amp;HS67),"")</f>
        <v/>
      </c>
      <c r="HU67" s="104" t="str">
        <f>IF(AND(Include_study?="Yes",Sufficient_data="Yes"),COUNTIFS(HR$2:HR66,"&lt;"&amp;HR67,HS$2:HS66,"&gt;"&amp;HS67)+COUNTIFS(HR68:HR$201,"&lt;"&amp;HR67,HS68:HS$201,"&gt;"&amp;HS67)+COUNTIFS(HR$2:HR66,"&gt;"&amp;HR67,HS$2:HS66,"&lt;"&amp;HS67)+COUNTIFS(HR68:HR$201,"&gt;"&amp;HR67,HS68:HS$201,"&lt;"&amp;HS67),"")</f>
        <v/>
      </c>
      <c r="HW67" s="176"/>
      <c r="IB67" s="176"/>
      <c r="IC67" s="146" t="e">
        <f t="shared" si="320"/>
        <v>#N/A</v>
      </c>
      <c r="ID67" s="137" t="e">
        <f t="shared" si="321"/>
        <v>#N/A</v>
      </c>
      <c r="IE67" s="137" t="str">
        <f t="shared" si="322"/>
        <v/>
      </c>
      <c r="IF67" s="95" t="str">
        <f t="shared" si="323"/>
        <v/>
      </c>
      <c r="IK67" s="176"/>
      <c r="IL67" s="69" t="e">
        <f>IF(AND(Include_study?="Yes",Sufficient_data="Yes"),'Publication Bias Analysis'!AV:AV,NA())</f>
        <v>#N/A</v>
      </c>
      <c r="IM67" s="158" t="e">
        <f>IF(AND(Sufficient_data="Yes",Include_study?="Yes"),'Publication Bias Analysis'!AU:AU,NA())</f>
        <v>#N/A</v>
      </c>
      <c r="IN67" s="69" t="str">
        <f t="shared" si="219"/>
        <v/>
      </c>
      <c r="IO67" s="74" t="str">
        <f>IF(AND(Include_study?="Yes",Sufficient_data="Yes"),Z_score-('Publication Bias Analysis'!AY$30+'Publication Bias Analysis'!AY$31*Inverse_standard_error),"")</f>
        <v/>
      </c>
      <c r="IU67" s="176"/>
      <c r="IV67" s="7" t="str">
        <f>IF('Publication Bias Analysis'!BG:BG&lt;&gt;"",RANK('Publication Bias Analysis'!BG:BG,'Publication Bias Analysis'!BG:BG,1)+COUNTIF('Publication Bias Analysis'!BG$2:BG66,'Publication Bias Analysis'!BG67),"")</f>
        <v/>
      </c>
      <c r="IW67" s="124" t="str">
        <f t="shared" si="324"/>
        <v/>
      </c>
      <c r="IX67" s="125" t="e">
        <f>IF('Publication Bias Analysis'!BF67&lt;&gt;"",'Publication Bias Analysis'!BF67,NA())</f>
        <v>#N/A</v>
      </c>
      <c r="IY67" s="125" t="e">
        <f>IF('Publication Bias Analysis'!BG67&lt;&gt;"",'Publication Bias Analysis'!BG67,NA())</f>
        <v>#N/A</v>
      </c>
      <c r="IZ67" s="69" t="str">
        <f>IF(AND(Include_study?="Yes",Sufficient_data="Yes"),'Publication Bias Analysis'!BF:BF-AVERAGE('Publication Bias Analysis'!BF:BF),"")</f>
        <v/>
      </c>
      <c r="JA67" s="74" t="str">
        <f>IF(AND(Include_study?="Yes",Sufficient_data="Yes"),'Publication Bias Analysis'!BG:BG-('Publication Bias Analysis'!BJ$30+'Publication Bias Analysis'!BJ$31*'Publication Bias Analysis'!BF:BF),"")</f>
        <v/>
      </c>
      <c r="JG67" s="176"/>
      <c r="JH67" s="39" t="str">
        <f t="shared" si="325"/>
        <v/>
      </c>
      <c r="JI67" s="148" t="str">
        <f t="shared" ref="JI67:JI130" si="332">IF(JH67&lt;&gt;"",1-NORMSDIST(ABS(JH67)),"")</f>
        <v/>
      </c>
      <c r="JJ67" s="74" t="str">
        <f t="shared" ref="JJ67:JJ130" si="333">IF(JI67&lt;&gt;"",LN(MAX(10^-306,JI67)),"")</f>
        <v/>
      </c>
    </row>
    <row r="68" spans="1:270" x14ac:dyDescent="0.2">
      <c r="A68" s="56" t="str">
        <f t="shared" si="126"/>
        <v/>
      </c>
      <c r="B68" s="7" t="str">
        <f>IF(AND(Include_study?="Yes",Sufficient_data="Yes"),IF(Input!a_&lt;&gt;"",Input!a_,Input!n1_-Input!b_),"")</f>
        <v/>
      </c>
      <c r="C68" s="7" t="str">
        <f>IF(AND(Include_study?="Yes",Sufficient_data="Yes"),IF(Input!b_&lt;&gt;"",Input!b_,Input!n1_-Input!a_),"")</f>
        <v/>
      </c>
      <c r="D68" s="7" t="str">
        <f>IF(AND(Include_study?="Yes",Sufficient_data="Yes"),IF(Input!c_&lt;&gt;"",Input!c_,Input!n2_-Input!d_),"")</f>
        <v/>
      </c>
      <c r="E68" s="7" t="str">
        <f>IF(AND(Include_study?="Yes",Sufficient_data="Yes"),IF(Input!d_&lt;&gt;"",Input!d_,Input!n2_-Input!c_),"")</f>
        <v/>
      </c>
      <c r="F68" s="74" t="str">
        <f t="shared" si="244"/>
        <v/>
      </c>
      <c r="H68" s="196"/>
      <c r="I68" s="182"/>
      <c r="J68" s="146" t="str">
        <f t="shared" si="245"/>
        <v/>
      </c>
      <c r="K68" s="39" t="str">
        <f t="shared" si="246"/>
        <v/>
      </c>
      <c r="L68" s="39" t="str">
        <f t="shared" si="247"/>
        <v/>
      </c>
      <c r="M68" s="39" t="str">
        <f t="shared" si="248"/>
        <v/>
      </c>
      <c r="N68" s="74" t="str">
        <f t="shared" si="249"/>
        <v/>
      </c>
      <c r="P68" s="176"/>
      <c r="Q68" s="130" t="str">
        <f t="shared" si="250"/>
        <v/>
      </c>
      <c r="R68" s="39" t="str">
        <f t="shared" si="251"/>
        <v/>
      </c>
      <c r="S68" s="39" t="str">
        <f t="shared" si="252"/>
        <v/>
      </c>
      <c r="T68" s="74" t="str">
        <f t="shared" si="253"/>
        <v/>
      </c>
      <c r="V68" s="176"/>
      <c r="W68" s="130" t="str">
        <f t="shared" si="254"/>
        <v/>
      </c>
      <c r="X68" s="39" t="str">
        <f t="shared" si="255"/>
        <v/>
      </c>
      <c r="Y68" s="39" t="str">
        <f t="shared" si="256"/>
        <v/>
      </c>
      <c r="Z68" s="74" t="str">
        <f t="shared" si="257"/>
        <v/>
      </c>
      <c r="AB68" s="176"/>
      <c r="AC68" s="130" t="str">
        <f t="shared" si="258"/>
        <v/>
      </c>
      <c r="AD68" s="39" t="str">
        <f t="shared" si="259"/>
        <v/>
      </c>
      <c r="AE68" s="39" t="str">
        <f t="shared" si="260"/>
        <v/>
      </c>
      <c r="AF68" s="39" t="str">
        <f t="shared" si="261"/>
        <v/>
      </c>
      <c r="AG68" s="74" t="str">
        <f t="shared" si="262"/>
        <v/>
      </c>
      <c r="AI68" s="196"/>
      <c r="AJ6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8" s="136" t="str">
        <f>IF(AJ68&lt;&gt;"",IF(AJ68=0,COUNTIF(AJ$2:AJ67,0)+1,COUNTIF(AJ$2:AJ67,AJ68)+AJ68+COUNTIF(AJ:AJ,0)),"")</f>
        <v/>
      </c>
      <c r="AL68" s="136" t="str">
        <f t="shared" si="263"/>
        <v/>
      </c>
      <c r="AM68" s="155" t="str">
        <f>IF(AND(Include_study?="Yes",Sufficient_data="Yes",Input!Study_name&lt;&gt;""),Input!Study_name,"")</f>
        <v/>
      </c>
      <c r="AN68" s="136" t="str">
        <f t="shared" si="264"/>
        <v/>
      </c>
      <c r="AO68" s="19" t="str">
        <f t="shared" si="265"/>
        <v/>
      </c>
      <c r="AP68" s="158" t="str">
        <f t="shared" si="266"/>
        <v/>
      </c>
      <c r="AQ68" s="158" t="str">
        <f t="shared" si="267"/>
        <v/>
      </c>
      <c r="AR68" s="39" t="str">
        <f t="shared" si="268"/>
        <v/>
      </c>
      <c r="AS68" s="158" t="str">
        <f t="shared" si="269"/>
        <v/>
      </c>
      <c r="AT68" s="39" t="str">
        <f t="shared" si="270"/>
        <v/>
      </c>
      <c r="AU68" s="172" t="str">
        <f t="shared" si="271"/>
        <v/>
      </c>
      <c r="AV68" s="45"/>
      <c r="AW68" s="84" t="e">
        <f t="shared" si="152"/>
        <v>#N/A</v>
      </c>
      <c r="AX68" s="69" t="e">
        <f t="shared" si="272"/>
        <v>#N/A</v>
      </c>
      <c r="AY68" s="74" t="e">
        <f t="shared" si="273"/>
        <v>#N/A</v>
      </c>
      <c r="AZ68" s="45"/>
      <c r="BA68" s="45"/>
      <c r="BB68" s="45"/>
      <c r="BC68" s="45"/>
      <c r="BD68" s="196"/>
      <c r="BE68" s="182"/>
      <c r="BF68" s="69" t="str">
        <f t="shared" si="155"/>
        <v/>
      </c>
      <c r="BG68" s="69" t="str">
        <f t="shared" si="156"/>
        <v/>
      </c>
      <c r="BH68" s="69" t="str">
        <f t="shared" si="157"/>
        <v/>
      </c>
      <c r="BI68" s="39" t="str">
        <f t="shared" si="158"/>
        <v/>
      </c>
      <c r="BJ68" s="95" t="str">
        <f t="shared" si="274"/>
        <v/>
      </c>
      <c r="BO68" s="176"/>
      <c r="BP68" s="158" t="str">
        <f t="shared" si="275"/>
        <v/>
      </c>
      <c r="BQ68" s="158" t="str">
        <f t="shared" si="276"/>
        <v/>
      </c>
      <c r="BR68" s="158" t="str">
        <f t="shared" si="277"/>
        <v/>
      </c>
      <c r="BS68" s="158" t="str">
        <f>IF(AND(Sufficient_data="Yes",Include_study?="Yes"),IF(Add_0_5="Yes",(a_+d_+1)*(ab_+0.5)*(c_+0.5)/(Number_of_subjects+2)^2,(a_+d_)*b_*c_/Number_of_subjects^2),"")</f>
        <v/>
      </c>
      <c r="BT68" s="158" t="str">
        <f t="shared" si="278"/>
        <v/>
      </c>
      <c r="BU68" s="158" t="str">
        <f t="shared" si="279"/>
        <v/>
      </c>
      <c r="BV68" s="158" t="str">
        <f t="shared" si="280"/>
        <v/>
      </c>
      <c r="BW68" s="69" t="str">
        <f t="shared" si="166"/>
        <v/>
      </c>
      <c r="BX68" s="137" t="str">
        <f t="shared" si="167"/>
        <v/>
      </c>
      <c r="BY68" s="95" t="str">
        <f t="shared" si="281"/>
        <v/>
      </c>
      <c r="CD68" s="176"/>
      <c r="CE68" s="130" t="str">
        <f t="shared" si="282"/>
        <v/>
      </c>
      <c r="CF68" s="39" t="str">
        <f t="shared" si="283"/>
        <v/>
      </c>
      <c r="CG68" s="39" t="str">
        <f t="shared" si="284"/>
        <v/>
      </c>
      <c r="CH68" s="39" t="str">
        <f t="shared" si="285"/>
        <v/>
      </c>
      <c r="CI68" s="39" t="str">
        <f t="shared" si="286"/>
        <v/>
      </c>
      <c r="CJ68" s="39" t="str">
        <f t="shared" si="287"/>
        <v/>
      </c>
      <c r="CK68" s="95" t="str">
        <f t="shared" si="288"/>
        <v/>
      </c>
      <c r="CP68" s="176"/>
      <c r="CQ68" s="99" t="str">
        <f t="shared" si="175"/>
        <v/>
      </c>
      <c r="CX68" s="196"/>
      <c r="CY68" s="89" t="e">
        <f t="shared" si="289"/>
        <v>#N/A</v>
      </c>
      <c r="CZ68" s="136" t="str">
        <f t="shared" si="290"/>
        <v/>
      </c>
      <c r="DA68" s="140" t="str">
        <f t="shared" si="291"/>
        <v/>
      </c>
      <c r="DB68" s="39" t="str">
        <f t="shared" si="292"/>
        <v/>
      </c>
      <c r="DC68" s="39" t="str">
        <f t="shared" si="293"/>
        <v/>
      </c>
      <c r="DD68" s="39" t="str">
        <f t="shared" si="294"/>
        <v/>
      </c>
      <c r="DE68" s="39" t="str">
        <f t="shared" si="295"/>
        <v/>
      </c>
      <c r="DF68" s="141" t="str">
        <f t="shared" si="296"/>
        <v/>
      </c>
      <c r="DG68" s="39" t="str">
        <f t="shared" si="297"/>
        <v/>
      </c>
      <c r="DH68" s="39" t="str">
        <f t="shared" si="298"/>
        <v/>
      </c>
      <c r="DI68" s="39" t="str">
        <f t="shared" si="299"/>
        <v/>
      </c>
      <c r="DJ68" s="74" t="str">
        <f t="shared" si="300"/>
        <v/>
      </c>
      <c r="DK68" s="45"/>
      <c r="DL68" s="84" t="e">
        <f t="shared" si="222"/>
        <v>#N/A</v>
      </c>
      <c r="DM68" s="39" t="e">
        <f t="shared" si="301"/>
        <v>#N/A</v>
      </c>
      <c r="DN68" s="74" t="e">
        <f t="shared" si="302"/>
        <v>#N/A</v>
      </c>
      <c r="DO68" s="45"/>
      <c r="DP68" s="89" t="str">
        <f t="shared" si="326"/>
        <v/>
      </c>
      <c r="DQ68" s="26" t="str">
        <f>IF(AND(Sufficient_data="Yes",Subgroup&lt;&gt;""),IF(COUNTIFS(Input!J$2:J67,"="&amp;"Yes",Input!C$2:C67,"="&amp;"Yes",Input!K$2:K67,"="&amp;Subgroup)&gt;0,"",Subgroup),"")</f>
        <v/>
      </c>
      <c r="DR68" s="7" t="str">
        <f t="shared" si="327"/>
        <v/>
      </c>
      <c r="DS68" s="7" t="str">
        <f t="shared" si="303"/>
        <v/>
      </c>
      <c r="DT68" s="19" t="str">
        <f t="shared" si="304"/>
        <v/>
      </c>
      <c r="DU68" s="12" t="str">
        <f t="shared" si="223"/>
        <v/>
      </c>
      <c r="DV68" s="11" t="str">
        <f t="shared" si="224"/>
        <v/>
      </c>
      <c r="DW68" s="12" t="str">
        <f t="shared" si="225"/>
        <v/>
      </c>
      <c r="DX68" s="12" t="str">
        <f t="shared" si="305"/>
        <v/>
      </c>
      <c r="DY68" s="19" t="str">
        <f t="shared" si="226"/>
        <v/>
      </c>
      <c r="DZ68" s="12" t="str">
        <f t="shared" si="227"/>
        <v/>
      </c>
      <c r="EA68" s="19" t="str">
        <f t="shared" si="306"/>
        <v/>
      </c>
      <c r="EB68" s="7" t="str">
        <f t="shared" si="307"/>
        <v/>
      </c>
      <c r="EC68" s="19" t="str">
        <f t="shared" si="308"/>
        <v/>
      </c>
      <c r="ED68" s="19" t="str">
        <f t="shared" si="309"/>
        <v/>
      </c>
      <c r="EE68" s="19" t="str">
        <f t="shared" si="228"/>
        <v/>
      </c>
      <c r="EF68" s="19" t="str">
        <f t="shared" si="229"/>
        <v/>
      </c>
      <c r="EG68" s="19" t="str">
        <f t="shared" si="230"/>
        <v/>
      </c>
      <c r="EH68" s="19" t="str">
        <f t="shared" si="231"/>
        <v/>
      </c>
      <c r="EI68" s="19" t="str">
        <f t="shared" si="232"/>
        <v/>
      </c>
      <c r="EJ68" s="19" t="str">
        <f t="shared" si="310"/>
        <v/>
      </c>
      <c r="EK68" s="19" t="str">
        <f t="shared" si="311"/>
        <v/>
      </c>
      <c r="EL68" s="19" t="str">
        <f t="shared" si="233"/>
        <v/>
      </c>
      <c r="EM68" s="19" t="str">
        <f t="shared" si="234"/>
        <v/>
      </c>
      <c r="EN68" s="19" t="str">
        <f t="shared" si="235"/>
        <v/>
      </c>
      <c r="EO68" s="19" t="str">
        <f t="shared" si="236"/>
        <v/>
      </c>
      <c r="EP68" s="19" t="str">
        <f t="shared" si="237"/>
        <v/>
      </c>
      <c r="EQ68" s="19" t="e">
        <f t="shared" si="238"/>
        <v>#N/A</v>
      </c>
      <c r="ER68" s="11" t="str">
        <f t="shared" si="328"/>
        <v/>
      </c>
      <c r="ES68" s="19" t="str">
        <f t="shared" si="329"/>
        <v/>
      </c>
      <c r="ET68" s="156" t="str">
        <f t="shared" si="312"/>
        <v/>
      </c>
      <c r="EU68" s="39" t="str">
        <f t="shared" si="239"/>
        <v/>
      </c>
      <c r="EV68" s="74" t="str">
        <f t="shared" si="313"/>
        <v/>
      </c>
      <c r="FA68" s="196"/>
      <c r="FB68" s="84" t="e">
        <f>IF(AND(Include_study?="Yes",Sufficient_data="Yes",Moderator&lt;&gt;""),'Moderator Analysis'!E68,NA())</f>
        <v>#N/A</v>
      </c>
      <c r="FC68" s="39" t="e">
        <f>IF(AND(Include_study?="Yes",Sufficient_data="Yes",Moderator&lt;&gt;""),'Moderator Analysis'!F68,NA())</f>
        <v>#N/A</v>
      </c>
      <c r="FD68" s="39" t="str">
        <f t="shared" si="314"/>
        <v/>
      </c>
      <c r="FE68" s="39" t="str">
        <f t="shared" si="315"/>
        <v/>
      </c>
      <c r="FF68" s="39" t="str">
        <f>IF(AND(Include_study?="Yes",Sufficient_data="Yes",Moderator&lt;&gt;""),'Moderator Analysis'!F:F-FP$2,"")</f>
        <v/>
      </c>
      <c r="FG68" s="39" t="str">
        <f>IF(AND(Include_study?="Yes",Sufficient_data="Yes",Moderator&lt;&gt;""),'Moderator Analysis'!E:E-FP$3,"")</f>
        <v/>
      </c>
      <c r="FH68" s="74" t="str">
        <f>IF(AND(Include_study?="Yes",Sufficient_data="Yes",Moderator&lt;&gt;""),FE:FE*('Moderator Analysis'!F:F-FP$5-FP$4*'Moderator Analysis'!E:E)^2,"")</f>
        <v/>
      </c>
      <c r="FI68" s="128"/>
      <c r="FJ68" s="92" t="str">
        <f t="shared" si="316"/>
        <v/>
      </c>
      <c r="FK68" s="137" t="str">
        <f>IF(AND(Include_study?="Yes",Sufficient_data="Yes",Moderator&lt;&gt;""),'Moderator Analysis'!F:F-'Moderator Analysis'!J$37,"")</f>
        <v/>
      </c>
      <c r="FL68" s="137" t="str">
        <f>IF(AND(Include_study?="Yes",Sufficient_data="Yes",Moderator&lt;&gt;""),'Moderator Analysis'!E:E-SUMPRODUCT('Moderator Analysis'!E:E,FJ:FJ)/SUM(FJ:FJ),"")</f>
        <v/>
      </c>
      <c r="FM68" s="95" t="str">
        <f>IF(AND(Include_study?="Yes",Sufficient_data="Yes",Moderator&lt;&gt;""),FJ:FJ*('Moderator Analysis'!F:F-'Moderator Analysis'!J$29-'Moderator Analysis'!J$30*'Moderator Analysis'!E:E)^2,"")</f>
        <v/>
      </c>
      <c r="FR68" s="196"/>
      <c r="FS68" s="182"/>
      <c r="FT6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8" s="39" t="str">
        <f>IF(AND(Include_study?="Yes",Sufficient_data="Yes"),1/('Publication Bias Analysis'!F:F^2+IF(Additional_model="Fixed effect",0,Calculations!GH$12)),"")</f>
        <v/>
      </c>
      <c r="FV68" s="39" t="str">
        <f>IF(AND(Include_study?="Yes",Sufficient_data="Yes"),1/('Publication Bias Analysis'!F:F^2+IF(Additional_model="Fixed effect",0,'Publication Bias Analysis'!L$32)),"")</f>
        <v/>
      </c>
      <c r="FW68" s="39" t="str">
        <f>IF(AND(Include_study?="Yes",Sufficient_data="Yes"),'Publication Bias Analysis'!E:E-'Publication Bias Analysis'!I$37,"")</f>
        <v/>
      </c>
      <c r="FX68" s="39" t="str">
        <f>IF(AND(Include_study?="Yes",Sufficient_data="Yes"),IF(Additional_model="Fixed effect",1/'Publication Bias Analysis'!F:F,1/SQRT('Publication Bias Analysis'!F:F^2+GH$12)),"")</f>
        <v/>
      </c>
      <c r="FY6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8" s="136" t="str">
        <f t="shared" si="317"/>
        <v/>
      </c>
      <c r="GA68" s="144" t="str">
        <f>IF(AND(Include_study?="Yes",Sufficient_data="Yes"),FZ:FZ+IF(GL:GL&lt;0,-1,1)*COUNTIF(FZ$2:FZ67,FZ:FZ),"")</f>
        <v/>
      </c>
      <c r="GB68" s="144" t="str">
        <f>IF(AND(Include_study?="Yes",Sufficient_data="Yes"),RANK(GP:GP,GP:GP,1)*IF(GO:GO&lt;0,-1,1)+IF(GO:GO&lt;0,-1,1)*COUNTIF(FZ$2:FZ67,FZ:FZ),"")</f>
        <v/>
      </c>
      <c r="GC68" s="144" t="str">
        <f>IF(AND(Include_study?="Yes",Sufficient_data="Yes"),RANK(GS:GS,GS:GS,1)*IF(GR:GR&lt;0,-1,1)+IF(GR:GR&lt;0,-1,1)*COUNTIF(FZ$2:FZ67,FZ:FZ),"")</f>
        <v/>
      </c>
      <c r="GD68" s="39" t="e">
        <f>IF(AND(Include_study?="Yes",Sufficient_data="Yes"),'Publication Bias Analysis'!E68,NA())</f>
        <v>#N/A</v>
      </c>
      <c r="GE68" s="74" t="e">
        <f>IF(AND(Include_study?="Yes",Sufficient_data="Yes"),'Publication Bias Analysis'!F68,NA())</f>
        <v>#N/A</v>
      </c>
      <c r="GK68" s="176"/>
      <c r="GL6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8" s="39" t="str">
        <f t="shared" si="318"/>
        <v/>
      </c>
      <c r="GN6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8" s="39" t="str">
        <f>IF(AND(Include_study?="Yes",Sufficient_data="Yes"),IF('Publication Bias Analysis'!L$38="Left",'Publication Bias Analysis'!E:E-GW$3,GW$3-'Publication Bias Analysis'!E:E),"")</f>
        <v/>
      </c>
      <c r="GP68" s="39" t="str">
        <f t="shared" si="330"/>
        <v/>
      </c>
      <c r="GQ6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8" s="39" t="str">
        <f>IF(AND(Include_study?="Yes",Sufficient_data="Yes"),IF('Publication Bias Analysis'!L$38="Left",'Publication Bias Analysis'!E:E-GW$10,GW$10-'Publication Bias Analysis'!E:E),"")</f>
        <v/>
      </c>
      <c r="GS68" s="39" t="str">
        <f t="shared" si="331"/>
        <v/>
      </c>
      <c r="GT6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8" s="176"/>
      <c r="HL68" s="69" t="str">
        <f t="shared" si="319"/>
        <v/>
      </c>
      <c r="HM68" s="74" t="str">
        <f>IF(AND(Include_study?="Yes",Sufficient_data="Yes"),Z_score-('Publication Bias Analysis'!P$3+'Publication Bias Analysis'!P$4*Inverse_standard_error),"")</f>
        <v/>
      </c>
      <c r="HO68" s="176"/>
      <c r="HP68" s="69" t="str">
        <f>IF(AND(Include_study?="Yes",Sufficient_data="Yes"),(GD:GD-SUMPRODUCT(Calculations!FT:FT,'Publication Bias Analysis'!E:E)/SUM(Calculations!FT:FT))/SQRT(Calculations!HQ:HQ),"")</f>
        <v/>
      </c>
      <c r="HQ68" s="69" t="str">
        <f>IF(AND(Include_study?="Yes",Sufficient_data="Yes"),GE:GE^2-1/SUM(Calculations!FT:FT),"")</f>
        <v/>
      </c>
      <c r="HR68" s="7" t="str">
        <f t="shared" si="240"/>
        <v/>
      </c>
      <c r="HS68" s="7" t="str">
        <f t="shared" si="241"/>
        <v/>
      </c>
      <c r="HT68" s="7" t="str">
        <f>IF(AND(Include_study?="Yes",Sufficient_data="Yes"),COUNTIFS(HR$2:HR67,"&lt;"&amp;HR68,HS$2:HS67,"&lt;"&amp;HS68)+COUNTIFS(HR69:HR$201,"&lt;"&amp;HR68,HS69:HS$201,"&lt;"&amp;HS68)+COUNTIFS(HR$2:HR67,"&gt;"&amp;HR68,HS$2:HS67,"&gt;"&amp;HS68)+COUNTIFS(HR69:HR$201,"&gt;"&amp;HR68,HS69:HS$201,"&gt;"&amp;HS68),"")</f>
        <v/>
      </c>
      <c r="HU68" s="104" t="str">
        <f>IF(AND(Include_study?="Yes",Sufficient_data="Yes"),COUNTIFS(HR$2:HR67,"&lt;"&amp;HR68,HS$2:HS67,"&gt;"&amp;HS68)+COUNTIFS(HR69:HR$201,"&lt;"&amp;HR68,HS69:HS$201,"&gt;"&amp;HS68)+COUNTIFS(HR$2:HR67,"&gt;"&amp;HR68,HS$2:HS67,"&lt;"&amp;HS68)+COUNTIFS(HR69:HR$201,"&gt;"&amp;HR68,HS69:HS$201,"&lt;"&amp;HS68),"")</f>
        <v/>
      </c>
      <c r="HW68" s="176"/>
      <c r="IB68" s="176"/>
      <c r="IC68" s="146" t="e">
        <f t="shared" si="320"/>
        <v>#N/A</v>
      </c>
      <c r="ID68" s="137" t="e">
        <f t="shared" si="321"/>
        <v>#N/A</v>
      </c>
      <c r="IE68" s="137" t="str">
        <f t="shared" si="322"/>
        <v/>
      </c>
      <c r="IF68" s="95" t="str">
        <f t="shared" si="323"/>
        <v/>
      </c>
      <c r="IK68" s="176"/>
      <c r="IL68" s="69" t="e">
        <f>IF(AND(Include_study?="Yes",Sufficient_data="Yes"),'Publication Bias Analysis'!AV:AV,NA())</f>
        <v>#N/A</v>
      </c>
      <c r="IM68" s="158" t="e">
        <f>IF(AND(Sufficient_data="Yes",Include_study?="Yes"),'Publication Bias Analysis'!AU:AU,NA())</f>
        <v>#N/A</v>
      </c>
      <c r="IN68" s="69" t="str">
        <f t="shared" si="219"/>
        <v/>
      </c>
      <c r="IO68" s="74" t="str">
        <f>IF(AND(Include_study?="Yes",Sufficient_data="Yes"),Z_score-('Publication Bias Analysis'!AY$30+'Publication Bias Analysis'!AY$31*Inverse_standard_error),"")</f>
        <v/>
      </c>
      <c r="IU68" s="176"/>
      <c r="IV68" s="7" t="str">
        <f>IF('Publication Bias Analysis'!BG:BG&lt;&gt;"",RANK('Publication Bias Analysis'!BG:BG,'Publication Bias Analysis'!BG:BG,1)+COUNTIF('Publication Bias Analysis'!BG$2:BG67,'Publication Bias Analysis'!BG68),"")</f>
        <v/>
      </c>
      <c r="IW68" s="124" t="str">
        <f t="shared" si="324"/>
        <v/>
      </c>
      <c r="IX68" s="125" t="e">
        <f>IF('Publication Bias Analysis'!BF68&lt;&gt;"",'Publication Bias Analysis'!BF68,NA())</f>
        <v>#N/A</v>
      </c>
      <c r="IY68" s="125" t="e">
        <f>IF('Publication Bias Analysis'!BG68&lt;&gt;"",'Publication Bias Analysis'!BG68,NA())</f>
        <v>#N/A</v>
      </c>
      <c r="IZ68" s="69" t="str">
        <f>IF(AND(Include_study?="Yes",Sufficient_data="Yes"),'Publication Bias Analysis'!BF:BF-AVERAGE('Publication Bias Analysis'!BF:BF),"")</f>
        <v/>
      </c>
      <c r="JA68" s="74" t="str">
        <f>IF(AND(Include_study?="Yes",Sufficient_data="Yes"),'Publication Bias Analysis'!BG:BG-('Publication Bias Analysis'!BJ$30+'Publication Bias Analysis'!BJ$31*'Publication Bias Analysis'!BF:BF),"")</f>
        <v/>
      </c>
      <c r="JG68" s="176"/>
      <c r="JH68" s="39" t="str">
        <f t="shared" si="325"/>
        <v/>
      </c>
      <c r="JI68" s="148" t="str">
        <f t="shared" si="332"/>
        <v/>
      </c>
      <c r="JJ68" s="74" t="str">
        <f t="shared" si="333"/>
        <v/>
      </c>
    </row>
    <row r="69" spans="1:270" x14ac:dyDescent="0.2">
      <c r="A69" s="56" t="str">
        <f t="shared" si="126"/>
        <v/>
      </c>
      <c r="B69" s="7" t="str">
        <f>IF(AND(Include_study?="Yes",Sufficient_data="Yes"),IF(Input!a_&lt;&gt;"",Input!a_,Input!n1_-Input!b_),"")</f>
        <v/>
      </c>
      <c r="C69" s="7" t="str">
        <f>IF(AND(Include_study?="Yes",Sufficient_data="Yes"),IF(Input!b_&lt;&gt;"",Input!b_,Input!n1_-Input!a_),"")</f>
        <v/>
      </c>
      <c r="D69" s="7" t="str">
        <f>IF(AND(Include_study?="Yes",Sufficient_data="Yes"),IF(Input!c_&lt;&gt;"",Input!c_,Input!n2_-Input!d_),"")</f>
        <v/>
      </c>
      <c r="E69" s="7" t="str">
        <f>IF(AND(Include_study?="Yes",Sufficient_data="Yes"),IF(Input!d_&lt;&gt;"",Input!d_,Input!n2_-Input!c_),"")</f>
        <v/>
      </c>
      <c r="F69" s="74" t="str">
        <f t="shared" si="244"/>
        <v/>
      </c>
      <c r="H69" s="196"/>
      <c r="I69" s="182"/>
      <c r="J69" s="146" t="str">
        <f t="shared" si="245"/>
        <v/>
      </c>
      <c r="K69" s="39" t="str">
        <f t="shared" si="246"/>
        <v/>
      </c>
      <c r="L69" s="39" t="str">
        <f t="shared" si="247"/>
        <v/>
      </c>
      <c r="M69" s="39" t="str">
        <f t="shared" si="248"/>
        <v/>
      </c>
      <c r="N69" s="74" t="str">
        <f t="shared" si="249"/>
        <v/>
      </c>
      <c r="P69" s="176"/>
      <c r="Q69" s="130" t="str">
        <f t="shared" si="250"/>
        <v/>
      </c>
      <c r="R69" s="39" t="str">
        <f t="shared" si="251"/>
        <v/>
      </c>
      <c r="S69" s="39" t="str">
        <f t="shared" si="252"/>
        <v/>
      </c>
      <c r="T69" s="74" t="str">
        <f t="shared" si="253"/>
        <v/>
      </c>
      <c r="V69" s="176"/>
      <c r="W69" s="130" t="str">
        <f t="shared" si="254"/>
        <v/>
      </c>
      <c r="X69" s="39" t="str">
        <f t="shared" si="255"/>
        <v/>
      </c>
      <c r="Y69" s="39" t="str">
        <f t="shared" si="256"/>
        <v/>
      </c>
      <c r="Z69" s="74" t="str">
        <f t="shared" si="257"/>
        <v/>
      </c>
      <c r="AB69" s="176"/>
      <c r="AC69" s="130" t="str">
        <f t="shared" si="258"/>
        <v/>
      </c>
      <c r="AD69" s="39" t="str">
        <f t="shared" si="259"/>
        <v/>
      </c>
      <c r="AE69" s="39" t="str">
        <f t="shared" si="260"/>
        <v/>
      </c>
      <c r="AF69" s="39" t="str">
        <f t="shared" si="261"/>
        <v/>
      </c>
      <c r="AG69" s="74" t="str">
        <f t="shared" si="262"/>
        <v/>
      </c>
      <c r="AI69" s="196"/>
      <c r="AJ6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69" s="136" t="str">
        <f>IF(AJ69&lt;&gt;"",IF(AJ69=0,COUNTIF(AJ$2:AJ68,0)+1,COUNTIF(AJ$2:AJ68,AJ69)+AJ69+COUNTIF(AJ:AJ,0)),"")</f>
        <v/>
      </c>
      <c r="AL69" s="136" t="str">
        <f t="shared" si="263"/>
        <v/>
      </c>
      <c r="AM69" s="155" t="str">
        <f>IF(AND(Include_study?="Yes",Sufficient_data="Yes",Input!Study_name&lt;&gt;""),Input!Study_name,"")</f>
        <v/>
      </c>
      <c r="AN69" s="136" t="str">
        <f t="shared" si="264"/>
        <v/>
      </c>
      <c r="AO69" s="19" t="str">
        <f t="shared" si="265"/>
        <v/>
      </c>
      <c r="AP69" s="158" t="str">
        <f t="shared" si="266"/>
        <v/>
      </c>
      <c r="AQ69" s="158" t="str">
        <f t="shared" si="267"/>
        <v/>
      </c>
      <c r="AR69" s="39" t="str">
        <f t="shared" si="268"/>
        <v/>
      </c>
      <c r="AS69" s="158" t="str">
        <f t="shared" si="269"/>
        <v/>
      </c>
      <c r="AT69" s="39" t="str">
        <f t="shared" si="270"/>
        <v/>
      </c>
      <c r="AU69" s="172" t="str">
        <f t="shared" si="271"/>
        <v/>
      </c>
      <c r="AV69" s="45"/>
      <c r="AW69" s="84" t="e">
        <f t="shared" si="152"/>
        <v>#N/A</v>
      </c>
      <c r="AX69" s="69" t="e">
        <f t="shared" si="272"/>
        <v>#N/A</v>
      </c>
      <c r="AY69" s="74" t="e">
        <f t="shared" si="273"/>
        <v>#N/A</v>
      </c>
      <c r="AZ69" s="45"/>
      <c r="BA69" s="45"/>
      <c r="BB69" s="45"/>
      <c r="BC69" s="45"/>
      <c r="BD69" s="196"/>
      <c r="BE69" s="182"/>
      <c r="BF69" s="69" t="str">
        <f t="shared" si="155"/>
        <v/>
      </c>
      <c r="BG69" s="69" t="str">
        <f t="shared" si="156"/>
        <v/>
      </c>
      <c r="BH69" s="69" t="str">
        <f t="shared" si="157"/>
        <v/>
      </c>
      <c r="BI69" s="39" t="str">
        <f t="shared" si="158"/>
        <v/>
      </c>
      <c r="BJ69" s="95" t="str">
        <f t="shared" si="274"/>
        <v/>
      </c>
      <c r="BO69" s="176"/>
      <c r="BP69" s="158" t="str">
        <f t="shared" si="275"/>
        <v/>
      </c>
      <c r="BQ69" s="158" t="str">
        <f t="shared" si="276"/>
        <v/>
      </c>
      <c r="BR69" s="158" t="str">
        <f t="shared" si="277"/>
        <v/>
      </c>
      <c r="BS69" s="158" t="str">
        <f>IF(AND(Sufficient_data="Yes",Include_study?="Yes"),IF(Add_0_5="Yes",(a_+d_+1)*(ab_+0.5)*(c_+0.5)/(Number_of_subjects+2)^2,(a_+d_)*b_*c_/Number_of_subjects^2),"")</f>
        <v/>
      </c>
      <c r="BT69" s="158" t="str">
        <f t="shared" si="278"/>
        <v/>
      </c>
      <c r="BU69" s="158" t="str">
        <f t="shared" si="279"/>
        <v/>
      </c>
      <c r="BV69" s="158" t="str">
        <f t="shared" si="280"/>
        <v/>
      </c>
      <c r="BW69" s="69" t="str">
        <f t="shared" si="166"/>
        <v/>
      </c>
      <c r="BX69" s="137" t="str">
        <f t="shared" si="167"/>
        <v/>
      </c>
      <c r="BY69" s="95" t="str">
        <f t="shared" si="281"/>
        <v/>
      </c>
      <c r="CD69" s="176"/>
      <c r="CE69" s="130" t="str">
        <f t="shared" si="282"/>
        <v/>
      </c>
      <c r="CF69" s="39" t="str">
        <f t="shared" si="283"/>
        <v/>
      </c>
      <c r="CG69" s="39" t="str">
        <f t="shared" si="284"/>
        <v/>
      </c>
      <c r="CH69" s="39" t="str">
        <f t="shared" si="285"/>
        <v/>
      </c>
      <c r="CI69" s="39" t="str">
        <f t="shared" si="286"/>
        <v/>
      </c>
      <c r="CJ69" s="39" t="str">
        <f t="shared" si="287"/>
        <v/>
      </c>
      <c r="CK69" s="95" t="str">
        <f t="shared" si="288"/>
        <v/>
      </c>
      <c r="CP69" s="176"/>
      <c r="CQ69" s="99" t="str">
        <f t="shared" si="175"/>
        <v/>
      </c>
      <c r="CX69" s="196"/>
      <c r="CY69" s="89" t="e">
        <f t="shared" si="289"/>
        <v>#N/A</v>
      </c>
      <c r="CZ69" s="136" t="str">
        <f t="shared" si="290"/>
        <v/>
      </c>
      <c r="DA69" s="140" t="str">
        <f t="shared" si="291"/>
        <v/>
      </c>
      <c r="DB69" s="39" t="str">
        <f t="shared" si="292"/>
        <v/>
      </c>
      <c r="DC69" s="39" t="str">
        <f t="shared" si="293"/>
        <v/>
      </c>
      <c r="DD69" s="39" t="str">
        <f t="shared" si="294"/>
        <v/>
      </c>
      <c r="DE69" s="39" t="str">
        <f t="shared" si="295"/>
        <v/>
      </c>
      <c r="DF69" s="141" t="str">
        <f t="shared" si="296"/>
        <v/>
      </c>
      <c r="DG69" s="39" t="str">
        <f t="shared" si="297"/>
        <v/>
      </c>
      <c r="DH69" s="39" t="str">
        <f t="shared" si="298"/>
        <v/>
      </c>
      <c r="DI69" s="39" t="str">
        <f t="shared" si="299"/>
        <v/>
      </c>
      <c r="DJ69" s="74" t="str">
        <f t="shared" si="300"/>
        <v/>
      </c>
      <c r="DK69" s="45"/>
      <c r="DL69" s="84" t="e">
        <f t="shared" si="222"/>
        <v>#N/A</v>
      </c>
      <c r="DM69" s="39" t="e">
        <f t="shared" si="301"/>
        <v>#N/A</v>
      </c>
      <c r="DN69" s="74" t="e">
        <f t="shared" si="302"/>
        <v>#N/A</v>
      </c>
      <c r="DO69" s="45"/>
      <c r="DP69" s="89" t="str">
        <f t="shared" si="326"/>
        <v/>
      </c>
      <c r="DQ69" s="26" t="str">
        <f>IF(AND(Sufficient_data="Yes",Subgroup&lt;&gt;""),IF(COUNTIFS(Input!J$2:J68,"="&amp;"Yes",Input!C$2:C68,"="&amp;"Yes",Input!K$2:K68,"="&amp;Subgroup)&gt;0,"",Subgroup),"")</f>
        <v/>
      </c>
      <c r="DR69" s="7" t="str">
        <f t="shared" si="327"/>
        <v/>
      </c>
      <c r="DS69" s="7" t="str">
        <f t="shared" si="303"/>
        <v/>
      </c>
      <c r="DT69" s="19" t="str">
        <f t="shared" si="304"/>
        <v/>
      </c>
      <c r="DU69" s="12" t="str">
        <f t="shared" si="223"/>
        <v/>
      </c>
      <c r="DV69" s="11" t="str">
        <f t="shared" si="224"/>
        <v/>
      </c>
      <c r="DW69" s="12" t="str">
        <f t="shared" si="225"/>
        <v/>
      </c>
      <c r="DX69" s="12" t="str">
        <f t="shared" si="305"/>
        <v/>
      </c>
      <c r="DY69" s="19" t="str">
        <f t="shared" si="226"/>
        <v/>
      </c>
      <c r="DZ69" s="12" t="str">
        <f t="shared" si="227"/>
        <v/>
      </c>
      <c r="EA69" s="19" t="str">
        <f t="shared" si="306"/>
        <v/>
      </c>
      <c r="EB69" s="7" t="str">
        <f t="shared" si="307"/>
        <v/>
      </c>
      <c r="EC69" s="19" t="str">
        <f t="shared" si="308"/>
        <v/>
      </c>
      <c r="ED69" s="19" t="str">
        <f t="shared" si="309"/>
        <v/>
      </c>
      <c r="EE69" s="19" t="str">
        <f t="shared" si="228"/>
        <v/>
      </c>
      <c r="EF69" s="19" t="str">
        <f t="shared" si="229"/>
        <v/>
      </c>
      <c r="EG69" s="19" t="str">
        <f t="shared" si="230"/>
        <v/>
      </c>
      <c r="EH69" s="19" t="str">
        <f t="shared" si="231"/>
        <v/>
      </c>
      <c r="EI69" s="19" t="str">
        <f t="shared" si="232"/>
        <v/>
      </c>
      <c r="EJ69" s="19" t="str">
        <f t="shared" si="310"/>
        <v/>
      </c>
      <c r="EK69" s="19" t="str">
        <f t="shared" si="311"/>
        <v/>
      </c>
      <c r="EL69" s="19" t="str">
        <f t="shared" si="233"/>
        <v/>
      </c>
      <c r="EM69" s="19" t="str">
        <f t="shared" si="234"/>
        <v/>
      </c>
      <c r="EN69" s="19" t="str">
        <f t="shared" si="235"/>
        <v/>
      </c>
      <c r="EO69" s="19" t="str">
        <f t="shared" si="236"/>
        <v/>
      </c>
      <c r="EP69" s="19" t="str">
        <f t="shared" si="237"/>
        <v/>
      </c>
      <c r="EQ69" s="19" t="e">
        <f t="shared" si="238"/>
        <v>#N/A</v>
      </c>
      <c r="ER69" s="11" t="str">
        <f t="shared" si="328"/>
        <v/>
      </c>
      <c r="ES69" s="19" t="str">
        <f t="shared" si="329"/>
        <v/>
      </c>
      <c r="ET69" s="156" t="str">
        <f t="shared" si="312"/>
        <v/>
      </c>
      <c r="EU69" s="39" t="str">
        <f t="shared" si="239"/>
        <v/>
      </c>
      <c r="EV69" s="74" t="str">
        <f t="shared" si="313"/>
        <v/>
      </c>
      <c r="FA69" s="196"/>
      <c r="FB69" s="84" t="e">
        <f>IF(AND(Include_study?="Yes",Sufficient_data="Yes",Moderator&lt;&gt;""),'Moderator Analysis'!E69,NA())</f>
        <v>#N/A</v>
      </c>
      <c r="FC69" s="39" t="e">
        <f>IF(AND(Include_study?="Yes",Sufficient_data="Yes",Moderator&lt;&gt;""),'Moderator Analysis'!F69,NA())</f>
        <v>#N/A</v>
      </c>
      <c r="FD69" s="39" t="str">
        <f t="shared" si="314"/>
        <v/>
      </c>
      <c r="FE69" s="39" t="str">
        <f t="shared" si="315"/>
        <v/>
      </c>
      <c r="FF69" s="39" t="str">
        <f>IF(AND(Include_study?="Yes",Sufficient_data="Yes",Moderator&lt;&gt;""),'Moderator Analysis'!F:F-FP$2,"")</f>
        <v/>
      </c>
      <c r="FG69" s="39" t="str">
        <f>IF(AND(Include_study?="Yes",Sufficient_data="Yes",Moderator&lt;&gt;""),'Moderator Analysis'!E:E-FP$3,"")</f>
        <v/>
      </c>
      <c r="FH69" s="74" t="str">
        <f>IF(AND(Include_study?="Yes",Sufficient_data="Yes",Moderator&lt;&gt;""),FE:FE*('Moderator Analysis'!F:F-FP$5-FP$4*'Moderator Analysis'!E:E)^2,"")</f>
        <v/>
      </c>
      <c r="FI69" s="128"/>
      <c r="FJ69" s="92" t="str">
        <f t="shared" si="316"/>
        <v/>
      </c>
      <c r="FK69" s="137" t="str">
        <f>IF(AND(Include_study?="Yes",Sufficient_data="Yes",Moderator&lt;&gt;""),'Moderator Analysis'!F:F-'Moderator Analysis'!J$37,"")</f>
        <v/>
      </c>
      <c r="FL69" s="137" t="str">
        <f>IF(AND(Include_study?="Yes",Sufficient_data="Yes",Moderator&lt;&gt;""),'Moderator Analysis'!E:E-SUMPRODUCT('Moderator Analysis'!E:E,FJ:FJ)/SUM(FJ:FJ),"")</f>
        <v/>
      </c>
      <c r="FM69" s="95" t="str">
        <f>IF(AND(Include_study?="Yes",Sufficient_data="Yes",Moderator&lt;&gt;""),FJ:FJ*('Moderator Analysis'!F:F-'Moderator Analysis'!J$29-'Moderator Analysis'!J$30*'Moderator Analysis'!E:E)^2,"")</f>
        <v/>
      </c>
      <c r="FR69" s="196"/>
      <c r="FS69" s="182"/>
      <c r="FT6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69" s="39" t="str">
        <f>IF(AND(Include_study?="Yes",Sufficient_data="Yes"),1/('Publication Bias Analysis'!F:F^2+IF(Additional_model="Fixed effect",0,Calculations!GH$12)),"")</f>
        <v/>
      </c>
      <c r="FV69" s="39" t="str">
        <f>IF(AND(Include_study?="Yes",Sufficient_data="Yes"),1/('Publication Bias Analysis'!F:F^2+IF(Additional_model="Fixed effect",0,'Publication Bias Analysis'!L$32)),"")</f>
        <v/>
      </c>
      <c r="FW69" s="39" t="str">
        <f>IF(AND(Include_study?="Yes",Sufficient_data="Yes"),'Publication Bias Analysis'!E:E-'Publication Bias Analysis'!I$37,"")</f>
        <v/>
      </c>
      <c r="FX69" s="39" t="str">
        <f>IF(AND(Include_study?="Yes",Sufficient_data="Yes"),IF(Additional_model="Fixed effect",1/'Publication Bias Analysis'!F:F,1/SQRT('Publication Bias Analysis'!F:F^2+GH$12)),"")</f>
        <v/>
      </c>
      <c r="FY6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69" s="136" t="str">
        <f t="shared" si="317"/>
        <v/>
      </c>
      <c r="GA69" s="144" t="str">
        <f>IF(AND(Include_study?="Yes",Sufficient_data="Yes"),FZ:FZ+IF(GL:GL&lt;0,-1,1)*COUNTIF(FZ$2:FZ68,FZ:FZ),"")</f>
        <v/>
      </c>
      <c r="GB69" s="144" t="str">
        <f>IF(AND(Include_study?="Yes",Sufficient_data="Yes"),RANK(GP:GP,GP:GP,1)*IF(GO:GO&lt;0,-1,1)+IF(GO:GO&lt;0,-1,1)*COUNTIF(FZ$2:FZ68,FZ:FZ),"")</f>
        <v/>
      </c>
      <c r="GC69" s="144" t="str">
        <f>IF(AND(Include_study?="Yes",Sufficient_data="Yes"),RANK(GS:GS,GS:GS,1)*IF(GR:GR&lt;0,-1,1)+IF(GR:GR&lt;0,-1,1)*COUNTIF(FZ$2:FZ68,FZ:FZ),"")</f>
        <v/>
      </c>
      <c r="GD69" s="39" t="e">
        <f>IF(AND(Include_study?="Yes",Sufficient_data="Yes"),'Publication Bias Analysis'!E69,NA())</f>
        <v>#N/A</v>
      </c>
      <c r="GE69" s="74" t="e">
        <f>IF(AND(Include_study?="Yes",Sufficient_data="Yes"),'Publication Bias Analysis'!F69,NA())</f>
        <v>#N/A</v>
      </c>
      <c r="GK69" s="176"/>
      <c r="GL6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69" s="39" t="str">
        <f t="shared" si="318"/>
        <v/>
      </c>
      <c r="GN6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69" s="39" t="str">
        <f>IF(AND(Include_study?="Yes",Sufficient_data="Yes"),IF('Publication Bias Analysis'!L$38="Left",'Publication Bias Analysis'!E:E-GW$3,GW$3-'Publication Bias Analysis'!E:E),"")</f>
        <v/>
      </c>
      <c r="GP69" s="39" t="str">
        <f t="shared" si="330"/>
        <v/>
      </c>
      <c r="GQ6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69" s="39" t="str">
        <f>IF(AND(Include_study?="Yes",Sufficient_data="Yes"),IF('Publication Bias Analysis'!L$38="Left",'Publication Bias Analysis'!E:E-GW$10,GW$10-'Publication Bias Analysis'!E:E),"")</f>
        <v/>
      </c>
      <c r="GS69" s="39" t="str">
        <f t="shared" si="331"/>
        <v/>
      </c>
      <c r="GT6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69" s="176"/>
      <c r="HL69" s="69" t="str">
        <f t="shared" si="319"/>
        <v/>
      </c>
      <c r="HM69" s="74" t="str">
        <f>IF(AND(Include_study?="Yes",Sufficient_data="Yes"),Z_score-('Publication Bias Analysis'!P$3+'Publication Bias Analysis'!P$4*Inverse_standard_error),"")</f>
        <v/>
      </c>
      <c r="HO69" s="176"/>
      <c r="HP69" s="69" t="str">
        <f>IF(AND(Include_study?="Yes",Sufficient_data="Yes"),(GD:GD-SUMPRODUCT(Calculations!FT:FT,'Publication Bias Analysis'!E:E)/SUM(Calculations!FT:FT))/SQRT(Calculations!HQ:HQ),"")</f>
        <v/>
      </c>
      <c r="HQ69" s="69" t="str">
        <f>IF(AND(Include_study?="Yes",Sufficient_data="Yes"),GE:GE^2-1/SUM(Calculations!FT:FT),"")</f>
        <v/>
      </c>
      <c r="HR69" s="7" t="str">
        <f t="shared" si="240"/>
        <v/>
      </c>
      <c r="HS69" s="7" t="str">
        <f t="shared" si="241"/>
        <v/>
      </c>
      <c r="HT69" s="7" t="str">
        <f>IF(AND(Include_study?="Yes",Sufficient_data="Yes"),COUNTIFS(HR$2:HR68,"&lt;"&amp;HR69,HS$2:HS68,"&lt;"&amp;HS69)+COUNTIFS(HR70:HR$201,"&lt;"&amp;HR69,HS70:HS$201,"&lt;"&amp;HS69)+COUNTIFS(HR$2:HR68,"&gt;"&amp;HR69,HS$2:HS68,"&gt;"&amp;HS69)+COUNTIFS(HR70:HR$201,"&gt;"&amp;HR69,HS70:HS$201,"&gt;"&amp;HS69),"")</f>
        <v/>
      </c>
      <c r="HU69" s="104" t="str">
        <f>IF(AND(Include_study?="Yes",Sufficient_data="Yes"),COUNTIFS(HR$2:HR68,"&lt;"&amp;HR69,HS$2:HS68,"&gt;"&amp;HS69)+COUNTIFS(HR70:HR$201,"&lt;"&amp;HR69,HS70:HS$201,"&gt;"&amp;HS69)+COUNTIFS(HR$2:HR68,"&gt;"&amp;HR69,HS$2:HS68,"&lt;"&amp;HS69)+COUNTIFS(HR70:HR$201,"&gt;"&amp;HR69,HS70:HS$201,"&lt;"&amp;HS69),"")</f>
        <v/>
      </c>
      <c r="HW69" s="176"/>
      <c r="IB69" s="176"/>
      <c r="IC69" s="146" t="e">
        <f t="shared" si="320"/>
        <v>#N/A</v>
      </c>
      <c r="ID69" s="137" t="e">
        <f t="shared" si="321"/>
        <v>#N/A</v>
      </c>
      <c r="IE69" s="137" t="str">
        <f t="shared" si="322"/>
        <v/>
      </c>
      <c r="IF69" s="95" t="str">
        <f t="shared" si="323"/>
        <v/>
      </c>
      <c r="IK69" s="176"/>
      <c r="IL69" s="69" t="e">
        <f>IF(AND(Include_study?="Yes",Sufficient_data="Yes"),'Publication Bias Analysis'!AV:AV,NA())</f>
        <v>#N/A</v>
      </c>
      <c r="IM69" s="158" t="e">
        <f>IF(AND(Sufficient_data="Yes",Include_study?="Yes"),'Publication Bias Analysis'!AU:AU,NA())</f>
        <v>#N/A</v>
      </c>
      <c r="IN69" s="69" t="str">
        <f t="shared" si="219"/>
        <v/>
      </c>
      <c r="IO69" s="74" t="str">
        <f>IF(AND(Include_study?="Yes",Sufficient_data="Yes"),Z_score-('Publication Bias Analysis'!AY$30+'Publication Bias Analysis'!AY$31*Inverse_standard_error),"")</f>
        <v/>
      </c>
      <c r="IU69" s="176"/>
      <c r="IV69" s="7" t="str">
        <f>IF('Publication Bias Analysis'!BG:BG&lt;&gt;"",RANK('Publication Bias Analysis'!BG:BG,'Publication Bias Analysis'!BG:BG,1)+COUNTIF('Publication Bias Analysis'!BG$2:BG68,'Publication Bias Analysis'!BG69),"")</f>
        <v/>
      </c>
      <c r="IW69" s="124" t="str">
        <f t="shared" si="324"/>
        <v/>
      </c>
      <c r="IX69" s="125" t="e">
        <f>IF('Publication Bias Analysis'!BF69&lt;&gt;"",'Publication Bias Analysis'!BF69,NA())</f>
        <v>#N/A</v>
      </c>
      <c r="IY69" s="125" t="e">
        <f>IF('Publication Bias Analysis'!BG69&lt;&gt;"",'Publication Bias Analysis'!BG69,NA())</f>
        <v>#N/A</v>
      </c>
      <c r="IZ69" s="69" t="str">
        <f>IF(AND(Include_study?="Yes",Sufficient_data="Yes"),'Publication Bias Analysis'!BF:BF-AVERAGE('Publication Bias Analysis'!BF:BF),"")</f>
        <v/>
      </c>
      <c r="JA69" s="74" t="str">
        <f>IF(AND(Include_study?="Yes",Sufficient_data="Yes"),'Publication Bias Analysis'!BG:BG-('Publication Bias Analysis'!BJ$30+'Publication Bias Analysis'!BJ$31*'Publication Bias Analysis'!BF:BF),"")</f>
        <v/>
      </c>
      <c r="JG69" s="176"/>
      <c r="JH69" s="39" t="str">
        <f t="shared" si="325"/>
        <v/>
      </c>
      <c r="JI69" s="148" t="str">
        <f t="shared" si="332"/>
        <v/>
      </c>
      <c r="JJ69" s="74" t="str">
        <f t="shared" si="333"/>
        <v/>
      </c>
    </row>
    <row r="70" spans="1:270" x14ac:dyDescent="0.2">
      <c r="A70" s="56" t="str">
        <f t="shared" si="126"/>
        <v/>
      </c>
      <c r="B70" s="7" t="str">
        <f>IF(AND(Include_study?="Yes",Sufficient_data="Yes"),IF(Input!a_&lt;&gt;"",Input!a_,Input!n1_-Input!b_),"")</f>
        <v/>
      </c>
      <c r="C70" s="7" t="str">
        <f>IF(AND(Include_study?="Yes",Sufficient_data="Yes"),IF(Input!b_&lt;&gt;"",Input!b_,Input!n1_-Input!a_),"")</f>
        <v/>
      </c>
      <c r="D70" s="7" t="str">
        <f>IF(AND(Include_study?="Yes",Sufficient_data="Yes"),IF(Input!c_&lt;&gt;"",Input!c_,Input!n2_-Input!d_),"")</f>
        <v/>
      </c>
      <c r="E70" s="7" t="str">
        <f>IF(AND(Include_study?="Yes",Sufficient_data="Yes"),IF(Input!d_&lt;&gt;"",Input!d_,Input!n2_-Input!c_),"")</f>
        <v/>
      </c>
      <c r="F70" s="74" t="str">
        <f t="shared" si="244"/>
        <v/>
      </c>
      <c r="H70" s="196"/>
      <c r="I70" s="182"/>
      <c r="J70" s="146" t="str">
        <f t="shared" si="245"/>
        <v/>
      </c>
      <c r="K70" s="39" t="str">
        <f t="shared" si="246"/>
        <v/>
      </c>
      <c r="L70" s="39" t="str">
        <f t="shared" si="247"/>
        <v/>
      </c>
      <c r="M70" s="39" t="str">
        <f t="shared" si="248"/>
        <v/>
      </c>
      <c r="N70" s="74" t="str">
        <f t="shared" si="249"/>
        <v/>
      </c>
      <c r="P70" s="176"/>
      <c r="Q70" s="130" t="str">
        <f t="shared" si="250"/>
        <v/>
      </c>
      <c r="R70" s="39" t="str">
        <f t="shared" si="251"/>
        <v/>
      </c>
      <c r="S70" s="39" t="str">
        <f t="shared" si="252"/>
        <v/>
      </c>
      <c r="T70" s="74" t="str">
        <f t="shared" si="253"/>
        <v/>
      </c>
      <c r="V70" s="176"/>
      <c r="W70" s="130" t="str">
        <f t="shared" si="254"/>
        <v/>
      </c>
      <c r="X70" s="39" t="str">
        <f t="shared" si="255"/>
        <v/>
      </c>
      <c r="Y70" s="39" t="str">
        <f t="shared" si="256"/>
        <v/>
      </c>
      <c r="Z70" s="74" t="str">
        <f t="shared" si="257"/>
        <v/>
      </c>
      <c r="AB70" s="176"/>
      <c r="AC70" s="130" t="str">
        <f t="shared" si="258"/>
        <v/>
      </c>
      <c r="AD70" s="39" t="str">
        <f t="shared" si="259"/>
        <v/>
      </c>
      <c r="AE70" s="39" t="str">
        <f t="shared" si="260"/>
        <v/>
      </c>
      <c r="AF70" s="39" t="str">
        <f t="shared" si="261"/>
        <v/>
      </c>
      <c r="AG70" s="74" t="str">
        <f t="shared" si="262"/>
        <v/>
      </c>
      <c r="AI70" s="196"/>
      <c r="AJ7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0" s="136" t="str">
        <f>IF(AJ70&lt;&gt;"",IF(AJ70=0,COUNTIF(AJ$2:AJ69,0)+1,COUNTIF(AJ$2:AJ69,AJ70)+AJ70+COUNTIF(AJ:AJ,0)),"")</f>
        <v/>
      </c>
      <c r="AL70" s="136" t="str">
        <f t="shared" si="263"/>
        <v/>
      </c>
      <c r="AM70" s="155" t="str">
        <f>IF(AND(Include_study?="Yes",Sufficient_data="Yes",Input!Study_name&lt;&gt;""),Input!Study_name,"")</f>
        <v/>
      </c>
      <c r="AN70" s="136" t="str">
        <f t="shared" si="264"/>
        <v/>
      </c>
      <c r="AO70" s="19" t="str">
        <f t="shared" si="265"/>
        <v/>
      </c>
      <c r="AP70" s="158" t="str">
        <f t="shared" si="266"/>
        <v/>
      </c>
      <c r="AQ70" s="158" t="str">
        <f t="shared" si="267"/>
        <v/>
      </c>
      <c r="AR70" s="39" t="str">
        <f t="shared" si="268"/>
        <v/>
      </c>
      <c r="AS70" s="158" t="str">
        <f t="shared" si="269"/>
        <v/>
      </c>
      <c r="AT70" s="39" t="str">
        <f t="shared" si="270"/>
        <v/>
      </c>
      <c r="AU70" s="172" t="str">
        <f t="shared" si="271"/>
        <v/>
      </c>
      <c r="AV70" s="45"/>
      <c r="AW70" s="84" t="e">
        <f t="shared" si="152"/>
        <v>#N/A</v>
      </c>
      <c r="AX70" s="69" t="e">
        <f t="shared" si="272"/>
        <v>#N/A</v>
      </c>
      <c r="AY70" s="74" t="e">
        <f t="shared" si="273"/>
        <v>#N/A</v>
      </c>
      <c r="AZ70" s="45"/>
      <c r="BA70" s="45"/>
      <c r="BB70" s="45"/>
      <c r="BC70" s="45"/>
      <c r="BD70" s="196"/>
      <c r="BE70" s="182"/>
      <c r="BF70" s="69" t="str">
        <f t="shared" si="155"/>
        <v/>
      </c>
      <c r="BG70" s="69" t="str">
        <f t="shared" si="156"/>
        <v/>
      </c>
      <c r="BH70" s="69" t="str">
        <f t="shared" si="157"/>
        <v/>
      </c>
      <c r="BI70" s="39" t="str">
        <f t="shared" si="158"/>
        <v/>
      </c>
      <c r="BJ70" s="95" t="str">
        <f t="shared" si="274"/>
        <v/>
      </c>
      <c r="BO70" s="176"/>
      <c r="BP70" s="158" t="str">
        <f t="shared" si="275"/>
        <v/>
      </c>
      <c r="BQ70" s="158" t="str">
        <f t="shared" si="276"/>
        <v/>
      </c>
      <c r="BR70" s="158" t="str">
        <f t="shared" si="277"/>
        <v/>
      </c>
      <c r="BS70" s="158" t="str">
        <f>IF(AND(Sufficient_data="Yes",Include_study?="Yes"),IF(Add_0_5="Yes",(a_+d_+1)*(ab_+0.5)*(c_+0.5)/(Number_of_subjects+2)^2,(a_+d_)*b_*c_/Number_of_subjects^2),"")</f>
        <v/>
      </c>
      <c r="BT70" s="158" t="str">
        <f t="shared" si="278"/>
        <v/>
      </c>
      <c r="BU70" s="158" t="str">
        <f t="shared" si="279"/>
        <v/>
      </c>
      <c r="BV70" s="158" t="str">
        <f t="shared" si="280"/>
        <v/>
      </c>
      <c r="BW70" s="69" t="str">
        <f t="shared" si="166"/>
        <v/>
      </c>
      <c r="BX70" s="137" t="str">
        <f t="shared" si="167"/>
        <v/>
      </c>
      <c r="BY70" s="95" t="str">
        <f t="shared" si="281"/>
        <v/>
      </c>
      <c r="CD70" s="176"/>
      <c r="CE70" s="130" t="str">
        <f t="shared" si="282"/>
        <v/>
      </c>
      <c r="CF70" s="39" t="str">
        <f t="shared" si="283"/>
        <v/>
      </c>
      <c r="CG70" s="39" t="str">
        <f t="shared" si="284"/>
        <v/>
      </c>
      <c r="CH70" s="39" t="str">
        <f t="shared" si="285"/>
        <v/>
      </c>
      <c r="CI70" s="39" t="str">
        <f t="shared" si="286"/>
        <v/>
      </c>
      <c r="CJ70" s="39" t="str">
        <f t="shared" si="287"/>
        <v/>
      </c>
      <c r="CK70" s="95" t="str">
        <f t="shared" si="288"/>
        <v/>
      </c>
      <c r="CP70" s="176"/>
      <c r="CQ70" s="99" t="str">
        <f t="shared" si="175"/>
        <v/>
      </c>
      <c r="CX70" s="196"/>
      <c r="CY70" s="89" t="e">
        <f t="shared" si="289"/>
        <v>#N/A</v>
      </c>
      <c r="CZ70" s="136" t="str">
        <f t="shared" si="290"/>
        <v/>
      </c>
      <c r="DA70" s="140" t="str">
        <f t="shared" si="291"/>
        <v/>
      </c>
      <c r="DB70" s="39" t="str">
        <f t="shared" si="292"/>
        <v/>
      </c>
      <c r="DC70" s="39" t="str">
        <f t="shared" si="293"/>
        <v/>
      </c>
      <c r="DD70" s="39" t="str">
        <f t="shared" si="294"/>
        <v/>
      </c>
      <c r="DE70" s="39" t="str">
        <f t="shared" si="295"/>
        <v/>
      </c>
      <c r="DF70" s="141" t="str">
        <f t="shared" si="296"/>
        <v/>
      </c>
      <c r="DG70" s="39" t="str">
        <f t="shared" si="297"/>
        <v/>
      </c>
      <c r="DH70" s="39" t="str">
        <f t="shared" si="298"/>
        <v/>
      </c>
      <c r="DI70" s="39" t="str">
        <f t="shared" si="299"/>
        <v/>
      </c>
      <c r="DJ70" s="74" t="str">
        <f t="shared" si="300"/>
        <v/>
      </c>
      <c r="DK70" s="45"/>
      <c r="DL70" s="84" t="e">
        <f t="shared" si="222"/>
        <v>#N/A</v>
      </c>
      <c r="DM70" s="39" t="e">
        <f t="shared" si="301"/>
        <v>#N/A</v>
      </c>
      <c r="DN70" s="74" t="e">
        <f t="shared" si="302"/>
        <v>#N/A</v>
      </c>
      <c r="DO70" s="45"/>
      <c r="DP70" s="89" t="str">
        <f t="shared" si="326"/>
        <v/>
      </c>
      <c r="DQ70" s="26" t="str">
        <f>IF(AND(Sufficient_data="Yes",Subgroup&lt;&gt;""),IF(COUNTIFS(Input!J$2:J69,"="&amp;"Yes",Input!C$2:C69,"="&amp;"Yes",Input!K$2:K69,"="&amp;Subgroup)&gt;0,"",Subgroup),"")</f>
        <v/>
      </c>
      <c r="DR70" s="7" t="str">
        <f t="shared" si="327"/>
        <v/>
      </c>
      <c r="DS70" s="7" t="str">
        <f t="shared" si="303"/>
        <v/>
      </c>
      <c r="DT70" s="19" t="str">
        <f t="shared" si="304"/>
        <v/>
      </c>
      <c r="DU70" s="12" t="str">
        <f t="shared" si="223"/>
        <v/>
      </c>
      <c r="DV70" s="11" t="str">
        <f t="shared" si="224"/>
        <v/>
      </c>
      <c r="DW70" s="12" t="str">
        <f t="shared" si="225"/>
        <v/>
      </c>
      <c r="DX70" s="12" t="str">
        <f t="shared" si="305"/>
        <v/>
      </c>
      <c r="DY70" s="19" t="str">
        <f t="shared" si="226"/>
        <v/>
      </c>
      <c r="DZ70" s="12" t="str">
        <f t="shared" si="227"/>
        <v/>
      </c>
      <c r="EA70" s="19" t="str">
        <f t="shared" si="306"/>
        <v/>
      </c>
      <c r="EB70" s="7" t="str">
        <f t="shared" si="307"/>
        <v/>
      </c>
      <c r="EC70" s="19" t="str">
        <f t="shared" si="308"/>
        <v/>
      </c>
      <c r="ED70" s="19" t="str">
        <f t="shared" si="309"/>
        <v/>
      </c>
      <c r="EE70" s="19" t="str">
        <f t="shared" si="228"/>
        <v/>
      </c>
      <c r="EF70" s="19" t="str">
        <f t="shared" si="229"/>
        <v/>
      </c>
      <c r="EG70" s="19" t="str">
        <f t="shared" si="230"/>
        <v/>
      </c>
      <c r="EH70" s="19" t="str">
        <f t="shared" si="231"/>
        <v/>
      </c>
      <c r="EI70" s="19" t="str">
        <f t="shared" si="232"/>
        <v/>
      </c>
      <c r="EJ70" s="19" t="str">
        <f t="shared" si="310"/>
        <v/>
      </c>
      <c r="EK70" s="19" t="str">
        <f t="shared" si="311"/>
        <v/>
      </c>
      <c r="EL70" s="19" t="str">
        <f t="shared" si="233"/>
        <v/>
      </c>
      <c r="EM70" s="19" t="str">
        <f t="shared" si="234"/>
        <v/>
      </c>
      <c r="EN70" s="19" t="str">
        <f t="shared" si="235"/>
        <v/>
      </c>
      <c r="EO70" s="19" t="str">
        <f t="shared" si="236"/>
        <v/>
      </c>
      <c r="EP70" s="19" t="str">
        <f t="shared" si="237"/>
        <v/>
      </c>
      <c r="EQ70" s="19" t="e">
        <f t="shared" si="238"/>
        <v>#N/A</v>
      </c>
      <c r="ER70" s="11" t="str">
        <f t="shared" si="328"/>
        <v/>
      </c>
      <c r="ES70" s="19" t="str">
        <f t="shared" si="329"/>
        <v/>
      </c>
      <c r="ET70" s="156" t="str">
        <f t="shared" si="312"/>
        <v/>
      </c>
      <c r="EU70" s="39" t="str">
        <f t="shared" si="239"/>
        <v/>
      </c>
      <c r="EV70" s="74" t="str">
        <f t="shared" si="313"/>
        <v/>
      </c>
      <c r="FA70" s="196"/>
      <c r="FB70" s="84" t="e">
        <f>IF(AND(Include_study?="Yes",Sufficient_data="Yes",Moderator&lt;&gt;""),'Moderator Analysis'!E70,NA())</f>
        <v>#N/A</v>
      </c>
      <c r="FC70" s="39" t="e">
        <f>IF(AND(Include_study?="Yes",Sufficient_data="Yes",Moderator&lt;&gt;""),'Moderator Analysis'!F70,NA())</f>
        <v>#N/A</v>
      </c>
      <c r="FD70" s="39" t="str">
        <f t="shared" si="314"/>
        <v/>
      </c>
      <c r="FE70" s="39" t="str">
        <f t="shared" si="315"/>
        <v/>
      </c>
      <c r="FF70" s="39" t="str">
        <f>IF(AND(Include_study?="Yes",Sufficient_data="Yes",Moderator&lt;&gt;""),'Moderator Analysis'!F:F-FP$2,"")</f>
        <v/>
      </c>
      <c r="FG70" s="39" t="str">
        <f>IF(AND(Include_study?="Yes",Sufficient_data="Yes",Moderator&lt;&gt;""),'Moderator Analysis'!E:E-FP$3,"")</f>
        <v/>
      </c>
      <c r="FH70" s="74" t="str">
        <f>IF(AND(Include_study?="Yes",Sufficient_data="Yes",Moderator&lt;&gt;""),FE:FE*('Moderator Analysis'!F:F-FP$5-FP$4*'Moderator Analysis'!E:E)^2,"")</f>
        <v/>
      </c>
      <c r="FI70" s="128"/>
      <c r="FJ70" s="92" t="str">
        <f t="shared" si="316"/>
        <v/>
      </c>
      <c r="FK70" s="137" t="str">
        <f>IF(AND(Include_study?="Yes",Sufficient_data="Yes",Moderator&lt;&gt;""),'Moderator Analysis'!F:F-'Moderator Analysis'!J$37,"")</f>
        <v/>
      </c>
      <c r="FL70" s="137" t="str">
        <f>IF(AND(Include_study?="Yes",Sufficient_data="Yes",Moderator&lt;&gt;""),'Moderator Analysis'!E:E-SUMPRODUCT('Moderator Analysis'!E:E,FJ:FJ)/SUM(FJ:FJ),"")</f>
        <v/>
      </c>
      <c r="FM70" s="95" t="str">
        <f>IF(AND(Include_study?="Yes",Sufficient_data="Yes",Moderator&lt;&gt;""),FJ:FJ*('Moderator Analysis'!F:F-'Moderator Analysis'!J$29-'Moderator Analysis'!J$30*'Moderator Analysis'!E:E)^2,"")</f>
        <v/>
      </c>
      <c r="FR70" s="196"/>
      <c r="FS70" s="182"/>
      <c r="FT7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0" s="39" t="str">
        <f>IF(AND(Include_study?="Yes",Sufficient_data="Yes"),1/('Publication Bias Analysis'!F:F^2+IF(Additional_model="Fixed effect",0,Calculations!GH$12)),"")</f>
        <v/>
      </c>
      <c r="FV70" s="39" t="str">
        <f>IF(AND(Include_study?="Yes",Sufficient_data="Yes"),1/('Publication Bias Analysis'!F:F^2+IF(Additional_model="Fixed effect",0,'Publication Bias Analysis'!L$32)),"")</f>
        <v/>
      </c>
      <c r="FW70" s="39" t="str">
        <f>IF(AND(Include_study?="Yes",Sufficient_data="Yes"),'Publication Bias Analysis'!E:E-'Publication Bias Analysis'!I$37,"")</f>
        <v/>
      </c>
      <c r="FX70" s="39" t="str">
        <f>IF(AND(Include_study?="Yes",Sufficient_data="Yes"),IF(Additional_model="Fixed effect",1/'Publication Bias Analysis'!F:F,1/SQRT('Publication Bias Analysis'!F:F^2+GH$12)),"")</f>
        <v/>
      </c>
      <c r="FY7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0" s="136" t="str">
        <f t="shared" si="317"/>
        <v/>
      </c>
      <c r="GA70" s="144" t="str">
        <f>IF(AND(Include_study?="Yes",Sufficient_data="Yes"),FZ:FZ+IF(GL:GL&lt;0,-1,1)*COUNTIF(FZ$2:FZ69,FZ:FZ),"")</f>
        <v/>
      </c>
      <c r="GB70" s="144" t="str">
        <f>IF(AND(Include_study?="Yes",Sufficient_data="Yes"),RANK(GP:GP,GP:GP,1)*IF(GO:GO&lt;0,-1,1)+IF(GO:GO&lt;0,-1,1)*COUNTIF(FZ$2:FZ69,FZ:FZ),"")</f>
        <v/>
      </c>
      <c r="GC70" s="144" t="str">
        <f>IF(AND(Include_study?="Yes",Sufficient_data="Yes"),RANK(GS:GS,GS:GS,1)*IF(GR:GR&lt;0,-1,1)+IF(GR:GR&lt;0,-1,1)*COUNTIF(FZ$2:FZ69,FZ:FZ),"")</f>
        <v/>
      </c>
      <c r="GD70" s="39" t="e">
        <f>IF(AND(Include_study?="Yes",Sufficient_data="Yes"),'Publication Bias Analysis'!E70,NA())</f>
        <v>#N/A</v>
      </c>
      <c r="GE70" s="74" t="e">
        <f>IF(AND(Include_study?="Yes",Sufficient_data="Yes"),'Publication Bias Analysis'!F70,NA())</f>
        <v>#N/A</v>
      </c>
      <c r="GK70" s="176"/>
      <c r="GL7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0" s="39" t="str">
        <f t="shared" si="318"/>
        <v/>
      </c>
      <c r="GN7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0" s="39" t="str">
        <f>IF(AND(Include_study?="Yes",Sufficient_data="Yes"),IF('Publication Bias Analysis'!L$38="Left",'Publication Bias Analysis'!E:E-GW$3,GW$3-'Publication Bias Analysis'!E:E),"")</f>
        <v/>
      </c>
      <c r="GP70" s="39" t="str">
        <f t="shared" si="330"/>
        <v/>
      </c>
      <c r="GQ7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0" s="39" t="str">
        <f>IF(AND(Include_study?="Yes",Sufficient_data="Yes"),IF('Publication Bias Analysis'!L$38="Left",'Publication Bias Analysis'!E:E-GW$10,GW$10-'Publication Bias Analysis'!E:E),"")</f>
        <v/>
      </c>
      <c r="GS70" s="39" t="str">
        <f t="shared" si="331"/>
        <v/>
      </c>
      <c r="GT7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0" s="176"/>
      <c r="HL70" s="69" t="str">
        <f t="shared" si="319"/>
        <v/>
      </c>
      <c r="HM70" s="74" t="str">
        <f>IF(AND(Include_study?="Yes",Sufficient_data="Yes"),Z_score-('Publication Bias Analysis'!P$3+'Publication Bias Analysis'!P$4*Inverse_standard_error),"")</f>
        <v/>
      </c>
      <c r="HO70" s="176"/>
      <c r="HP70" s="69" t="str">
        <f>IF(AND(Include_study?="Yes",Sufficient_data="Yes"),(GD:GD-SUMPRODUCT(Calculations!FT:FT,'Publication Bias Analysis'!E:E)/SUM(Calculations!FT:FT))/SQRT(Calculations!HQ:HQ),"")</f>
        <v/>
      </c>
      <c r="HQ70" s="69" t="str">
        <f>IF(AND(Include_study?="Yes",Sufficient_data="Yes"),GE:GE^2-1/SUM(Calculations!FT:FT),"")</f>
        <v/>
      </c>
      <c r="HR70" s="7" t="str">
        <f t="shared" si="240"/>
        <v/>
      </c>
      <c r="HS70" s="7" t="str">
        <f t="shared" si="241"/>
        <v/>
      </c>
      <c r="HT70" s="7" t="str">
        <f>IF(AND(Include_study?="Yes",Sufficient_data="Yes"),COUNTIFS(HR$2:HR69,"&lt;"&amp;HR70,HS$2:HS69,"&lt;"&amp;HS70)+COUNTIFS(HR71:HR$201,"&lt;"&amp;HR70,HS71:HS$201,"&lt;"&amp;HS70)+COUNTIFS(HR$2:HR69,"&gt;"&amp;HR70,HS$2:HS69,"&gt;"&amp;HS70)+COUNTIFS(HR71:HR$201,"&gt;"&amp;HR70,HS71:HS$201,"&gt;"&amp;HS70),"")</f>
        <v/>
      </c>
      <c r="HU70" s="104" t="str">
        <f>IF(AND(Include_study?="Yes",Sufficient_data="Yes"),COUNTIFS(HR$2:HR69,"&lt;"&amp;HR70,HS$2:HS69,"&gt;"&amp;HS70)+COUNTIFS(HR71:HR$201,"&lt;"&amp;HR70,HS71:HS$201,"&gt;"&amp;HS70)+COUNTIFS(HR$2:HR69,"&gt;"&amp;HR70,HS$2:HS69,"&lt;"&amp;HS70)+COUNTIFS(HR71:HR$201,"&gt;"&amp;HR70,HS71:HS$201,"&lt;"&amp;HS70),"")</f>
        <v/>
      </c>
      <c r="HW70" s="176"/>
      <c r="IB70" s="176"/>
      <c r="IC70" s="146" t="e">
        <f t="shared" si="320"/>
        <v>#N/A</v>
      </c>
      <c r="ID70" s="137" t="e">
        <f t="shared" si="321"/>
        <v>#N/A</v>
      </c>
      <c r="IE70" s="137" t="str">
        <f t="shared" si="322"/>
        <v/>
      </c>
      <c r="IF70" s="95" t="str">
        <f t="shared" si="323"/>
        <v/>
      </c>
      <c r="IK70" s="176"/>
      <c r="IL70" s="69" t="e">
        <f>IF(AND(Include_study?="Yes",Sufficient_data="Yes"),'Publication Bias Analysis'!AV:AV,NA())</f>
        <v>#N/A</v>
      </c>
      <c r="IM70" s="158" t="e">
        <f>IF(AND(Sufficient_data="Yes",Include_study?="Yes"),'Publication Bias Analysis'!AU:AU,NA())</f>
        <v>#N/A</v>
      </c>
      <c r="IN70" s="69" t="str">
        <f t="shared" si="219"/>
        <v/>
      </c>
      <c r="IO70" s="74" t="str">
        <f>IF(AND(Include_study?="Yes",Sufficient_data="Yes"),Z_score-('Publication Bias Analysis'!AY$30+'Publication Bias Analysis'!AY$31*Inverse_standard_error),"")</f>
        <v/>
      </c>
      <c r="IU70" s="176"/>
      <c r="IV70" s="7" t="str">
        <f>IF('Publication Bias Analysis'!BG:BG&lt;&gt;"",RANK('Publication Bias Analysis'!BG:BG,'Publication Bias Analysis'!BG:BG,1)+COUNTIF('Publication Bias Analysis'!BG$2:BG69,'Publication Bias Analysis'!BG70),"")</f>
        <v/>
      </c>
      <c r="IW70" s="124" t="str">
        <f t="shared" si="324"/>
        <v/>
      </c>
      <c r="IX70" s="125" t="e">
        <f>IF('Publication Bias Analysis'!BF70&lt;&gt;"",'Publication Bias Analysis'!BF70,NA())</f>
        <v>#N/A</v>
      </c>
      <c r="IY70" s="125" t="e">
        <f>IF('Publication Bias Analysis'!BG70&lt;&gt;"",'Publication Bias Analysis'!BG70,NA())</f>
        <v>#N/A</v>
      </c>
      <c r="IZ70" s="69" t="str">
        <f>IF(AND(Include_study?="Yes",Sufficient_data="Yes"),'Publication Bias Analysis'!BF:BF-AVERAGE('Publication Bias Analysis'!BF:BF),"")</f>
        <v/>
      </c>
      <c r="JA70" s="74" t="str">
        <f>IF(AND(Include_study?="Yes",Sufficient_data="Yes"),'Publication Bias Analysis'!BG:BG-('Publication Bias Analysis'!BJ$30+'Publication Bias Analysis'!BJ$31*'Publication Bias Analysis'!BF:BF),"")</f>
        <v/>
      </c>
      <c r="JG70" s="176"/>
      <c r="JH70" s="39" t="str">
        <f t="shared" si="325"/>
        <v/>
      </c>
      <c r="JI70" s="148" t="str">
        <f t="shared" si="332"/>
        <v/>
      </c>
      <c r="JJ70" s="74" t="str">
        <f t="shared" si="333"/>
        <v/>
      </c>
    </row>
    <row r="71" spans="1:270" x14ac:dyDescent="0.2">
      <c r="A71" s="56" t="str">
        <f t="shared" si="126"/>
        <v/>
      </c>
      <c r="B71" s="7" t="str">
        <f>IF(AND(Include_study?="Yes",Sufficient_data="Yes"),IF(Input!a_&lt;&gt;"",Input!a_,Input!n1_-Input!b_),"")</f>
        <v/>
      </c>
      <c r="C71" s="7" t="str">
        <f>IF(AND(Include_study?="Yes",Sufficient_data="Yes"),IF(Input!b_&lt;&gt;"",Input!b_,Input!n1_-Input!a_),"")</f>
        <v/>
      </c>
      <c r="D71" s="7" t="str">
        <f>IF(AND(Include_study?="Yes",Sufficient_data="Yes"),IF(Input!c_&lt;&gt;"",Input!c_,Input!n2_-Input!d_),"")</f>
        <v/>
      </c>
      <c r="E71" s="7" t="str">
        <f>IF(AND(Include_study?="Yes",Sufficient_data="Yes"),IF(Input!d_&lt;&gt;"",Input!d_,Input!n2_-Input!c_),"")</f>
        <v/>
      </c>
      <c r="F71" s="74" t="str">
        <f t="shared" si="244"/>
        <v/>
      </c>
      <c r="H71" s="196"/>
      <c r="I71" s="182"/>
      <c r="J71" s="146" t="str">
        <f t="shared" si="245"/>
        <v/>
      </c>
      <c r="K71" s="39" t="str">
        <f t="shared" si="246"/>
        <v/>
      </c>
      <c r="L71" s="39" t="str">
        <f t="shared" si="247"/>
        <v/>
      </c>
      <c r="M71" s="39" t="str">
        <f t="shared" si="248"/>
        <v/>
      </c>
      <c r="N71" s="74" t="str">
        <f t="shared" si="249"/>
        <v/>
      </c>
      <c r="P71" s="176"/>
      <c r="Q71" s="130" t="str">
        <f t="shared" si="250"/>
        <v/>
      </c>
      <c r="R71" s="39" t="str">
        <f t="shared" si="251"/>
        <v/>
      </c>
      <c r="S71" s="39" t="str">
        <f t="shared" si="252"/>
        <v/>
      </c>
      <c r="T71" s="74" t="str">
        <f t="shared" si="253"/>
        <v/>
      </c>
      <c r="V71" s="176"/>
      <c r="W71" s="130" t="str">
        <f t="shared" si="254"/>
        <v/>
      </c>
      <c r="X71" s="39" t="str">
        <f t="shared" si="255"/>
        <v/>
      </c>
      <c r="Y71" s="39" t="str">
        <f t="shared" si="256"/>
        <v/>
      </c>
      <c r="Z71" s="74" t="str">
        <f t="shared" si="257"/>
        <v/>
      </c>
      <c r="AB71" s="176"/>
      <c r="AC71" s="130" t="str">
        <f t="shared" si="258"/>
        <v/>
      </c>
      <c r="AD71" s="39" t="str">
        <f t="shared" si="259"/>
        <v/>
      </c>
      <c r="AE71" s="39" t="str">
        <f t="shared" si="260"/>
        <v/>
      </c>
      <c r="AF71" s="39" t="str">
        <f t="shared" si="261"/>
        <v/>
      </c>
      <c r="AG71" s="74" t="str">
        <f t="shared" si="262"/>
        <v/>
      </c>
      <c r="AI71" s="196"/>
      <c r="AJ7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1" s="136" t="str">
        <f>IF(AJ71&lt;&gt;"",IF(AJ71=0,COUNTIF(AJ$2:AJ70,0)+1,COUNTIF(AJ$2:AJ70,AJ71)+AJ71+COUNTIF(AJ:AJ,0)),"")</f>
        <v/>
      </c>
      <c r="AL71" s="136" t="str">
        <f t="shared" si="263"/>
        <v/>
      </c>
      <c r="AM71" s="155" t="str">
        <f>IF(AND(Include_study?="Yes",Sufficient_data="Yes",Input!Study_name&lt;&gt;""),Input!Study_name,"")</f>
        <v/>
      </c>
      <c r="AN71" s="136" t="str">
        <f t="shared" si="264"/>
        <v/>
      </c>
      <c r="AO71" s="19" t="str">
        <f t="shared" si="265"/>
        <v/>
      </c>
      <c r="AP71" s="158" t="str">
        <f t="shared" si="266"/>
        <v/>
      </c>
      <c r="AQ71" s="158" t="str">
        <f t="shared" si="267"/>
        <v/>
      </c>
      <c r="AR71" s="39" t="str">
        <f t="shared" si="268"/>
        <v/>
      </c>
      <c r="AS71" s="158" t="str">
        <f t="shared" si="269"/>
        <v/>
      </c>
      <c r="AT71" s="39" t="str">
        <f t="shared" si="270"/>
        <v/>
      </c>
      <c r="AU71" s="172" t="str">
        <f t="shared" si="271"/>
        <v/>
      </c>
      <c r="AV71" s="45"/>
      <c r="AW71" s="84" t="e">
        <f t="shared" si="152"/>
        <v>#N/A</v>
      </c>
      <c r="AX71" s="69" t="e">
        <f t="shared" si="272"/>
        <v>#N/A</v>
      </c>
      <c r="AY71" s="74" t="e">
        <f t="shared" si="273"/>
        <v>#N/A</v>
      </c>
      <c r="AZ71" s="45"/>
      <c r="BA71" s="45"/>
      <c r="BB71" s="45"/>
      <c r="BC71" s="45"/>
      <c r="BD71" s="196"/>
      <c r="BE71" s="182"/>
      <c r="BF71" s="69" t="str">
        <f t="shared" si="155"/>
        <v/>
      </c>
      <c r="BG71" s="69" t="str">
        <f t="shared" si="156"/>
        <v/>
      </c>
      <c r="BH71" s="69" t="str">
        <f t="shared" si="157"/>
        <v/>
      </c>
      <c r="BI71" s="39" t="str">
        <f t="shared" si="158"/>
        <v/>
      </c>
      <c r="BJ71" s="95" t="str">
        <f t="shared" si="274"/>
        <v/>
      </c>
      <c r="BO71" s="176"/>
      <c r="BP71" s="158" t="str">
        <f t="shared" si="275"/>
        <v/>
      </c>
      <c r="BQ71" s="158" t="str">
        <f t="shared" si="276"/>
        <v/>
      </c>
      <c r="BR71" s="158" t="str">
        <f t="shared" si="277"/>
        <v/>
      </c>
      <c r="BS71" s="158" t="str">
        <f>IF(AND(Sufficient_data="Yes",Include_study?="Yes"),IF(Add_0_5="Yes",(a_+d_+1)*(ab_+0.5)*(c_+0.5)/(Number_of_subjects+2)^2,(a_+d_)*b_*c_/Number_of_subjects^2),"")</f>
        <v/>
      </c>
      <c r="BT71" s="158" t="str">
        <f t="shared" si="278"/>
        <v/>
      </c>
      <c r="BU71" s="158" t="str">
        <f t="shared" si="279"/>
        <v/>
      </c>
      <c r="BV71" s="158" t="str">
        <f t="shared" si="280"/>
        <v/>
      </c>
      <c r="BW71" s="69" t="str">
        <f t="shared" si="166"/>
        <v/>
      </c>
      <c r="BX71" s="137" t="str">
        <f t="shared" si="167"/>
        <v/>
      </c>
      <c r="BY71" s="95" t="str">
        <f t="shared" si="281"/>
        <v/>
      </c>
      <c r="CD71" s="176"/>
      <c r="CE71" s="130" t="str">
        <f t="shared" si="282"/>
        <v/>
      </c>
      <c r="CF71" s="39" t="str">
        <f t="shared" si="283"/>
        <v/>
      </c>
      <c r="CG71" s="39" t="str">
        <f t="shared" si="284"/>
        <v/>
      </c>
      <c r="CH71" s="39" t="str">
        <f t="shared" si="285"/>
        <v/>
      </c>
      <c r="CI71" s="39" t="str">
        <f t="shared" si="286"/>
        <v/>
      </c>
      <c r="CJ71" s="39" t="str">
        <f t="shared" si="287"/>
        <v/>
      </c>
      <c r="CK71" s="95" t="str">
        <f t="shared" si="288"/>
        <v/>
      </c>
      <c r="CP71" s="176"/>
      <c r="CQ71" s="99" t="str">
        <f t="shared" si="175"/>
        <v/>
      </c>
      <c r="CX71" s="196"/>
      <c r="CY71" s="89" t="e">
        <f t="shared" si="289"/>
        <v>#N/A</v>
      </c>
      <c r="CZ71" s="136" t="str">
        <f t="shared" si="290"/>
        <v/>
      </c>
      <c r="DA71" s="140" t="str">
        <f t="shared" si="291"/>
        <v/>
      </c>
      <c r="DB71" s="39" t="str">
        <f t="shared" si="292"/>
        <v/>
      </c>
      <c r="DC71" s="39" t="str">
        <f t="shared" si="293"/>
        <v/>
      </c>
      <c r="DD71" s="39" t="str">
        <f t="shared" si="294"/>
        <v/>
      </c>
      <c r="DE71" s="39" t="str">
        <f t="shared" si="295"/>
        <v/>
      </c>
      <c r="DF71" s="141" t="str">
        <f t="shared" si="296"/>
        <v/>
      </c>
      <c r="DG71" s="39" t="str">
        <f t="shared" si="297"/>
        <v/>
      </c>
      <c r="DH71" s="39" t="str">
        <f t="shared" si="298"/>
        <v/>
      </c>
      <c r="DI71" s="39" t="str">
        <f t="shared" si="299"/>
        <v/>
      </c>
      <c r="DJ71" s="74" t="str">
        <f t="shared" si="300"/>
        <v/>
      </c>
      <c r="DK71" s="45"/>
      <c r="DL71" s="84" t="e">
        <f t="shared" si="222"/>
        <v>#N/A</v>
      </c>
      <c r="DM71" s="39" t="e">
        <f t="shared" si="301"/>
        <v>#N/A</v>
      </c>
      <c r="DN71" s="74" t="e">
        <f t="shared" si="302"/>
        <v>#N/A</v>
      </c>
      <c r="DO71" s="45"/>
      <c r="DP71" s="89" t="str">
        <f t="shared" si="326"/>
        <v/>
      </c>
      <c r="DQ71" s="26" t="str">
        <f>IF(AND(Sufficient_data="Yes",Subgroup&lt;&gt;""),IF(COUNTIFS(Input!J$2:J70,"="&amp;"Yes",Input!C$2:C70,"="&amp;"Yes",Input!K$2:K70,"="&amp;Subgroup)&gt;0,"",Subgroup),"")</f>
        <v/>
      </c>
      <c r="DR71" s="7" t="str">
        <f t="shared" si="327"/>
        <v/>
      </c>
      <c r="DS71" s="7" t="str">
        <f t="shared" si="303"/>
        <v/>
      </c>
      <c r="DT71" s="19" t="str">
        <f t="shared" si="304"/>
        <v/>
      </c>
      <c r="DU71" s="12" t="str">
        <f t="shared" si="223"/>
        <v/>
      </c>
      <c r="DV71" s="11" t="str">
        <f t="shared" si="224"/>
        <v/>
      </c>
      <c r="DW71" s="12" t="str">
        <f t="shared" si="225"/>
        <v/>
      </c>
      <c r="DX71" s="12" t="str">
        <f t="shared" si="305"/>
        <v/>
      </c>
      <c r="DY71" s="19" t="str">
        <f t="shared" si="226"/>
        <v/>
      </c>
      <c r="DZ71" s="12" t="str">
        <f t="shared" si="227"/>
        <v/>
      </c>
      <c r="EA71" s="19" t="str">
        <f t="shared" si="306"/>
        <v/>
      </c>
      <c r="EB71" s="7" t="str">
        <f t="shared" si="307"/>
        <v/>
      </c>
      <c r="EC71" s="19" t="str">
        <f t="shared" si="308"/>
        <v/>
      </c>
      <c r="ED71" s="19" t="str">
        <f t="shared" si="309"/>
        <v/>
      </c>
      <c r="EE71" s="19" t="str">
        <f t="shared" si="228"/>
        <v/>
      </c>
      <c r="EF71" s="19" t="str">
        <f t="shared" si="229"/>
        <v/>
      </c>
      <c r="EG71" s="19" t="str">
        <f t="shared" si="230"/>
        <v/>
      </c>
      <c r="EH71" s="19" t="str">
        <f t="shared" si="231"/>
        <v/>
      </c>
      <c r="EI71" s="19" t="str">
        <f t="shared" si="232"/>
        <v/>
      </c>
      <c r="EJ71" s="19" t="str">
        <f t="shared" si="310"/>
        <v/>
      </c>
      <c r="EK71" s="19" t="str">
        <f t="shared" si="311"/>
        <v/>
      </c>
      <c r="EL71" s="19" t="str">
        <f t="shared" si="233"/>
        <v/>
      </c>
      <c r="EM71" s="19" t="str">
        <f t="shared" si="234"/>
        <v/>
      </c>
      <c r="EN71" s="19" t="str">
        <f t="shared" si="235"/>
        <v/>
      </c>
      <c r="EO71" s="19" t="str">
        <f t="shared" si="236"/>
        <v/>
      </c>
      <c r="EP71" s="19" t="str">
        <f t="shared" si="237"/>
        <v/>
      </c>
      <c r="EQ71" s="19" t="e">
        <f t="shared" si="238"/>
        <v>#N/A</v>
      </c>
      <c r="ER71" s="11" t="str">
        <f t="shared" si="328"/>
        <v/>
      </c>
      <c r="ES71" s="19" t="str">
        <f t="shared" si="329"/>
        <v/>
      </c>
      <c r="ET71" s="156" t="str">
        <f t="shared" si="312"/>
        <v/>
      </c>
      <c r="EU71" s="39" t="str">
        <f t="shared" si="239"/>
        <v/>
      </c>
      <c r="EV71" s="74" t="str">
        <f t="shared" si="313"/>
        <v/>
      </c>
      <c r="FA71" s="196"/>
      <c r="FB71" s="84" t="e">
        <f>IF(AND(Include_study?="Yes",Sufficient_data="Yes",Moderator&lt;&gt;""),'Moderator Analysis'!E71,NA())</f>
        <v>#N/A</v>
      </c>
      <c r="FC71" s="39" t="e">
        <f>IF(AND(Include_study?="Yes",Sufficient_data="Yes",Moderator&lt;&gt;""),'Moderator Analysis'!F71,NA())</f>
        <v>#N/A</v>
      </c>
      <c r="FD71" s="39" t="str">
        <f t="shared" si="314"/>
        <v/>
      </c>
      <c r="FE71" s="39" t="str">
        <f t="shared" si="315"/>
        <v/>
      </c>
      <c r="FF71" s="39" t="str">
        <f>IF(AND(Include_study?="Yes",Sufficient_data="Yes",Moderator&lt;&gt;""),'Moderator Analysis'!F:F-FP$2,"")</f>
        <v/>
      </c>
      <c r="FG71" s="39" t="str">
        <f>IF(AND(Include_study?="Yes",Sufficient_data="Yes",Moderator&lt;&gt;""),'Moderator Analysis'!E:E-FP$3,"")</f>
        <v/>
      </c>
      <c r="FH71" s="74" t="str">
        <f>IF(AND(Include_study?="Yes",Sufficient_data="Yes",Moderator&lt;&gt;""),FE:FE*('Moderator Analysis'!F:F-FP$5-FP$4*'Moderator Analysis'!E:E)^2,"")</f>
        <v/>
      </c>
      <c r="FI71" s="128"/>
      <c r="FJ71" s="92" t="str">
        <f t="shared" si="316"/>
        <v/>
      </c>
      <c r="FK71" s="137" t="str">
        <f>IF(AND(Include_study?="Yes",Sufficient_data="Yes",Moderator&lt;&gt;""),'Moderator Analysis'!F:F-'Moderator Analysis'!J$37,"")</f>
        <v/>
      </c>
      <c r="FL71" s="137" t="str">
        <f>IF(AND(Include_study?="Yes",Sufficient_data="Yes",Moderator&lt;&gt;""),'Moderator Analysis'!E:E-SUMPRODUCT('Moderator Analysis'!E:E,FJ:FJ)/SUM(FJ:FJ),"")</f>
        <v/>
      </c>
      <c r="FM71" s="95" t="str">
        <f>IF(AND(Include_study?="Yes",Sufficient_data="Yes",Moderator&lt;&gt;""),FJ:FJ*('Moderator Analysis'!F:F-'Moderator Analysis'!J$29-'Moderator Analysis'!J$30*'Moderator Analysis'!E:E)^2,"")</f>
        <v/>
      </c>
      <c r="FR71" s="196"/>
      <c r="FS71" s="182"/>
      <c r="FT7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1" s="39" t="str">
        <f>IF(AND(Include_study?="Yes",Sufficient_data="Yes"),1/('Publication Bias Analysis'!F:F^2+IF(Additional_model="Fixed effect",0,Calculations!GH$12)),"")</f>
        <v/>
      </c>
      <c r="FV71" s="39" t="str">
        <f>IF(AND(Include_study?="Yes",Sufficient_data="Yes"),1/('Publication Bias Analysis'!F:F^2+IF(Additional_model="Fixed effect",0,'Publication Bias Analysis'!L$32)),"")</f>
        <v/>
      </c>
      <c r="FW71" s="39" t="str">
        <f>IF(AND(Include_study?="Yes",Sufficient_data="Yes"),'Publication Bias Analysis'!E:E-'Publication Bias Analysis'!I$37,"")</f>
        <v/>
      </c>
      <c r="FX71" s="39" t="str">
        <f>IF(AND(Include_study?="Yes",Sufficient_data="Yes"),IF(Additional_model="Fixed effect",1/'Publication Bias Analysis'!F:F,1/SQRT('Publication Bias Analysis'!F:F^2+GH$12)),"")</f>
        <v/>
      </c>
      <c r="FY7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1" s="136" t="str">
        <f t="shared" si="317"/>
        <v/>
      </c>
      <c r="GA71" s="144" t="str">
        <f>IF(AND(Include_study?="Yes",Sufficient_data="Yes"),FZ:FZ+IF(GL:GL&lt;0,-1,1)*COUNTIF(FZ$2:FZ70,FZ:FZ),"")</f>
        <v/>
      </c>
      <c r="GB71" s="144" t="str">
        <f>IF(AND(Include_study?="Yes",Sufficient_data="Yes"),RANK(GP:GP,GP:GP,1)*IF(GO:GO&lt;0,-1,1)+IF(GO:GO&lt;0,-1,1)*COUNTIF(FZ$2:FZ70,FZ:FZ),"")</f>
        <v/>
      </c>
      <c r="GC71" s="144" t="str">
        <f>IF(AND(Include_study?="Yes",Sufficient_data="Yes"),RANK(GS:GS,GS:GS,1)*IF(GR:GR&lt;0,-1,1)+IF(GR:GR&lt;0,-1,1)*COUNTIF(FZ$2:FZ70,FZ:FZ),"")</f>
        <v/>
      </c>
      <c r="GD71" s="39" t="e">
        <f>IF(AND(Include_study?="Yes",Sufficient_data="Yes"),'Publication Bias Analysis'!E71,NA())</f>
        <v>#N/A</v>
      </c>
      <c r="GE71" s="74" t="e">
        <f>IF(AND(Include_study?="Yes",Sufficient_data="Yes"),'Publication Bias Analysis'!F71,NA())</f>
        <v>#N/A</v>
      </c>
      <c r="GK71" s="176"/>
      <c r="GL7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1" s="39" t="str">
        <f t="shared" si="318"/>
        <v/>
      </c>
      <c r="GN7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1" s="39" t="str">
        <f>IF(AND(Include_study?="Yes",Sufficient_data="Yes"),IF('Publication Bias Analysis'!L$38="Left",'Publication Bias Analysis'!E:E-GW$3,GW$3-'Publication Bias Analysis'!E:E),"")</f>
        <v/>
      </c>
      <c r="GP71" s="39" t="str">
        <f t="shared" si="330"/>
        <v/>
      </c>
      <c r="GQ7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1" s="39" t="str">
        <f>IF(AND(Include_study?="Yes",Sufficient_data="Yes"),IF('Publication Bias Analysis'!L$38="Left",'Publication Bias Analysis'!E:E-GW$10,GW$10-'Publication Bias Analysis'!E:E),"")</f>
        <v/>
      </c>
      <c r="GS71" s="39" t="str">
        <f t="shared" si="331"/>
        <v/>
      </c>
      <c r="GT7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1" s="176"/>
      <c r="HL71" s="69" t="str">
        <f t="shared" si="319"/>
        <v/>
      </c>
      <c r="HM71" s="74" t="str">
        <f>IF(AND(Include_study?="Yes",Sufficient_data="Yes"),Z_score-('Publication Bias Analysis'!P$3+'Publication Bias Analysis'!P$4*Inverse_standard_error),"")</f>
        <v/>
      </c>
      <c r="HO71" s="176"/>
      <c r="HP71" s="69" t="str">
        <f>IF(AND(Include_study?="Yes",Sufficient_data="Yes"),(GD:GD-SUMPRODUCT(Calculations!FT:FT,'Publication Bias Analysis'!E:E)/SUM(Calculations!FT:FT))/SQRT(Calculations!HQ:HQ),"")</f>
        <v/>
      </c>
      <c r="HQ71" s="69" t="str">
        <f>IF(AND(Include_study?="Yes",Sufficient_data="Yes"),GE:GE^2-1/SUM(Calculations!FT:FT),"")</f>
        <v/>
      </c>
      <c r="HR71" s="7" t="str">
        <f t="shared" si="240"/>
        <v/>
      </c>
      <c r="HS71" s="7" t="str">
        <f t="shared" si="241"/>
        <v/>
      </c>
      <c r="HT71" s="7" t="str">
        <f>IF(AND(Include_study?="Yes",Sufficient_data="Yes"),COUNTIFS(HR$2:HR70,"&lt;"&amp;HR71,HS$2:HS70,"&lt;"&amp;HS71)+COUNTIFS(HR72:HR$201,"&lt;"&amp;HR71,HS72:HS$201,"&lt;"&amp;HS71)+COUNTIFS(HR$2:HR70,"&gt;"&amp;HR71,HS$2:HS70,"&gt;"&amp;HS71)+COUNTIFS(HR72:HR$201,"&gt;"&amp;HR71,HS72:HS$201,"&gt;"&amp;HS71),"")</f>
        <v/>
      </c>
      <c r="HU71" s="104" t="str">
        <f>IF(AND(Include_study?="Yes",Sufficient_data="Yes"),COUNTIFS(HR$2:HR70,"&lt;"&amp;HR71,HS$2:HS70,"&gt;"&amp;HS71)+COUNTIFS(HR72:HR$201,"&lt;"&amp;HR71,HS72:HS$201,"&gt;"&amp;HS71)+COUNTIFS(HR$2:HR70,"&gt;"&amp;HR71,HS$2:HS70,"&lt;"&amp;HS71)+COUNTIFS(HR72:HR$201,"&gt;"&amp;HR71,HS72:HS$201,"&lt;"&amp;HS71),"")</f>
        <v/>
      </c>
      <c r="HW71" s="176"/>
      <c r="IB71" s="176"/>
      <c r="IC71" s="146" t="e">
        <f t="shared" si="320"/>
        <v>#N/A</v>
      </c>
      <c r="ID71" s="137" t="e">
        <f t="shared" si="321"/>
        <v>#N/A</v>
      </c>
      <c r="IE71" s="137" t="str">
        <f t="shared" si="322"/>
        <v/>
      </c>
      <c r="IF71" s="95" t="str">
        <f t="shared" si="323"/>
        <v/>
      </c>
      <c r="IK71" s="176"/>
      <c r="IL71" s="69" t="e">
        <f>IF(AND(Include_study?="Yes",Sufficient_data="Yes"),'Publication Bias Analysis'!AV:AV,NA())</f>
        <v>#N/A</v>
      </c>
      <c r="IM71" s="158" t="e">
        <f>IF(AND(Sufficient_data="Yes",Include_study?="Yes"),'Publication Bias Analysis'!AU:AU,NA())</f>
        <v>#N/A</v>
      </c>
      <c r="IN71" s="69" t="str">
        <f t="shared" si="219"/>
        <v/>
      </c>
      <c r="IO71" s="74" t="str">
        <f>IF(AND(Include_study?="Yes",Sufficient_data="Yes"),Z_score-('Publication Bias Analysis'!AY$30+'Publication Bias Analysis'!AY$31*Inverse_standard_error),"")</f>
        <v/>
      </c>
      <c r="IU71" s="176"/>
      <c r="IV71" s="7" t="str">
        <f>IF('Publication Bias Analysis'!BG:BG&lt;&gt;"",RANK('Publication Bias Analysis'!BG:BG,'Publication Bias Analysis'!BG:BG,1)+COUNTIF('Publication Bias Analysis'!BG$2:BG70,'Publication Bias Analysis'!BG71),"")</f>
        <v/>
      </c>
      <c r="IW71" s="124" t="str">
        <f t="shared" si="324"/>
        <v/>
      </c>
      <c r="IX71" s="125" t="e">
        <f>IF('Publication Bias Analysis'!BF71&lt;&gt;"",'Publication Bias Analysis'!BF71,NA())</f>
        <v>#N/A</v>
      </c>
      <c r="IY71" s="125" t="e">
        <f>IF('Publication Bias Analysis'!BG71&lt;&gt;"",'Publication Bias Analysis'!BG71,NA())</f>
        <v>#N/A</v>
      </c>
      <c r="IZ71" s="69" t="str">
        <f>IF(AND(Include_study?="Yes",Sufficient_data="Yes"),'Publication Bias Analysis'!BF:BF-AVERAGE('Publication Bias Analysis'!BF:BF),"")</f>
        <v/>
      </c>
      <c r="JA71" s="74" t="str">
        <f>IF(AND(Include_study?="Yes",Sufficient_data="Yes"),'Publication Bias Analysis'!BG:BG-('Publication Bias Analysis'!BJ$30+'Publication Bias Analysis'!BJ$31*'Publication Bias Analysis'!BF:BF),"")</f>
        <v/>
      </c>
      <c r="JG71" s="176"/>
      <c r="JH71" s="39" t="str">
        <f t="shared" si="325"/>
        <v/>
      </c>
      <c r="JI71" s="148" t="str">
        <f t="shared" si="332"/>
        <v/>
      </c>
      <c r="JJ71" s="74" t="str">
        <f t="shared" si="333"/>
        <v/>
      </c>
    </row>
    <row r="72" spans="1:270" x14ac:dyDescent="0.2">
      <c r="A72" s="56" t="str">
        <f t="shared" si="126"/>
        <v/>
      </c>
      <c r="B72" s="7" t="str">
        <f>IF(AND(Include_study?="Yes",Sufficient_data="Yes"),IF(Input!a_&lt;&gt;"",Input!a_,Input!n1_-Input!b_),"")</f>
        <v/>
      </c>
      <c r="C72" s="7" t="str">
        <f>IF(AND(Include_study?="Yes",Sufficient_data="Yes"),IF(Input!b_&lt;&gt;"",Input!b_,Input!n1_-Input!a_),"")</f>
        <v/>
      </c>
      <c r="D72" s="7" t="str">
        <f>IF(AND(Include_study?="Yes",Sufficient_data="Yes"),IF(Input!c_&lt;&gt;"",Input!c_,Input!n2_-Input!d_),"")</f>
        <v/>
      </c>
      <c r="E72" s="7" t="str">
        <f>IF(AND(Include_study?="Yes",Sufficient_data="Yes"),IF(Input!d_&lt;&gt;"",Input!d_,Input!n2_-Input!c_),"")</f>
        <v/>
      </c>
      <c r="F72" s="74" t="str">
        <f t="shared" si="244"/>
        <v/>
      </c>
      <c r="H72" s="196"/>
      <c r="I72" s="182"/>
      <c r="J72" s="146" t="str">
        <f t="shared" si="245"/>
        <v/>
      </c>
      <c r="K72" s="39" t="str">
        <f t="shared" si="246"/>
        <v/>
      </c>
      <c r="L72" s="39" t="str">
        <f t="shared" si="247"/>
        <v/>
      </c>
      <c r="M72" s="39" t="str">
        <f t="shared" si="248"/>
        <v/>
      </c>
      <c r="N72" s="74" t="str">
        <f t="shared" si="249"/>
        <v/>
      </c>
      <c r="P72" s="176"/>
      <c r="Q72" s="130" t="str">
        <f t="shared" si="250"/>
        <v/>
      </c>
      <c r="R72" s="39" t="str">
        <f t="shared" si="251"/>
        <v/>
      </c>
      <c r="S72" s="39" t="str">
        <f t="shared" si="252"/>
        <v/>
      </c>
      <c r="T72" s="74" t="str">
        <f t="shared" si="253"/>
        <v/>
      </c>
      <c r="V72" s="176"/>
      <c r="W72" s="130" t="str">
        <f t="shared" si="254"/>
        <v/>
      </c>
      <c r="X72" s="39" t="str">
        <f t="shared" si="255"/>
        <v/>
      </c>
      <c r="Y72" s="39" t="str">
        <f t="shared" si="256"/>
        <v/>
      </c>
      <c r="Z72" s="74" t="str">
        <f t="shared" si="257"/>
        <v/>
      </c>
      <c r="AB72" s="176"/>
      <c r="AC72" s="130" t="str">
        <f t="shared" si="258"/>
        <v/>
      </c>
      <c r="AD72" s="39" t="str">
        <f t="shared" si="259"/>
        <v/>
      </c>
      <c r="AE72" s="39" t="str">
        <f t="shared" si="260"/>
        <v/>
      </c>
      <c r="AF72" s="39" t="str">
        <f t="shared" si="261"/>
        <v/>
      </c>
      <c r="AG72" s="74" t="str">
        <f t="shared" si="262"/>
        <v/>
      </c>
      <c r="AI72" s="196"/>
      <c r="AJ7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2" s="136" t="str">
        <f>IF(AJ72&lt;&gt;"",IF(AJ72=0,COUNTIF(AJ$2:AJ71,0)+1,COUNTIF(AJ$2:AJ71,AJ72)+AJ72+COUNTIF(AJ:AJ,0)),"")</f>
        <v/>
      </c>
      <c r="AL72" s="136" t="str">
        <f t="shared" si="263"/>
        <v/>
      </c>
      <c r="AM72" s="155" t="str">
        <f>IF(AND(Include_study?="Yes",Sufficient_data="Yes",Input!Study_name&lt;&gt;""),Input!Study_name,"")</f>
        <v/>
      </c>
      <c r="AN72" s="136" t="str">
        <f t="shared" si="264"/>
        <v/>
      </c>
      <c r="AO72" s="19" t="str">
        <f t="shared" si="265"/>
        <v/>
      </c>
      <c r="AP72" s="158" t="str">
        <f t="shared" si="266"/>
        <v/>
      </c>
      <c r="AQ72" s="158" t="str">
        <f t="shared" si="267"/>
        <v/>
      </c>
      <c r="AR72" s="39" t="str">
        <f t="shared" si="268"/>
        <v/>
      </c>
      <c r="AS72" s="158" t="str">
        <f t="shared" si="269"/>
        <v/>
      </c>
      <c r="AT72" s="39" t="str">
        <f t="shared" si="270"/>
        <v/>
      </c>
      <c r="AU72" s="172" t="str">
        <f t="shared" si="271"/>
        <v/>
      </c>
      <c r="AV72" s="45"/>
      <c r="AW72" s="84" t="e">
        <f t="shared" si="152"/>
        <v>#N/A</v>
      </c>
      <c r="AX72" s="69" t="e">
        <f t="shared" si="272"/>
        <v>#N/A</v>
      </c>
      <c r="AY72" s="74" t="e">
        <f t="shared" si="273"/>
        <v>#N/A</v>
      </c>
      <c r="AZ72" s="45"/>
      <c r="BA72" s="45"/>
      <c r="BB72" s="45"/>
      <c r="BC72" s="45"/>
      <c r="BD72" s="196"/>
      <c r="BE72" s="182"/>
      <c r="BF72" s="69" t="str">
        <f t="shared" si="155"/>
        <v/>
      </c>
      <c r="BG72" s="69" t="str">
        <f t="shared" si="156"/>
        <v/>
      </c>
      <c r="BH72" s="69" t="str">
        <f t="shared" si="157"/>
        <v/>
      </c>
      <c r="BI72" s="39" t="str">
        <f t="shared" si="158"/>
        <v/>
      </c>
      <c r="BJ72" s="95" t="str">
        <f t="shared" si="274"/>
        <v/>
      </c>
      <c r="BO72" s="176"/>
      <c r="BP72" s="158" t="str">
        <f t="shared" si="275"/>
        <v/>
      </c>
      <c r="BQ72" s="158" t="str">
        <f t="shared" si="276"/>
        <v/>
      </c>
      <c r="BR72" s="158" t="str">
        <f t="shared" si="277"/>
        <v/>
      </c>
      <c r="BS72" s="158" t="str">
        <f>IF(AND(Sufficient_data="Yes",Include_study?="Yes"),IF(Add_0_5="Yes",(a_+d_+1)*(ab_+0.5)*(c_+0.5)/(Number_of_subjects+2)^2,(a_+d_)*b_*c_/Number_of_subjects^2),"")</f>
        <v/>
      </c>
      <c r="BT72" s="158" t="str">
        <f t="shared" si="278"/>
        <v/>
      </c>
      <c r="BU72" s="158" t="str">
        <f t="shared" si="279"/>
        <v/>
      </c>
      <c r="BV72" s="158" t="str">
        <f t="shared" si="280"/>
        <v/>
      </c>
      <c r="BW72" s="69" t="str">
        <f t="shared" si="166"/>
        <v/>
      </c>
      <c r="BX72" s="137" t="str">
        <f t="shared" si="167"/>
        <v/>
      </c>
      <c r="BY72" s="95" t="str">
        <f t="shared" si="281"/>
        <v/>
      </c>
      <c r="CD72" s="176"/>
      <c r="CE72" s="130" t="str">
        <f t="shared" si="282"/>
        <v/>
      </c>
      <c r="CF72" s="39" t="str">
        <f t="shared" si="283"/>
        <v/>
      </c>
      <c r="CG72" s="39" t="str">
        <f t="shared" si="284"/>
        <v/>
      </c>
      <c r="CH72" s="39" t="str">
        <f t="shared" si="285"/>
        <v/>
      </c>
      <c r="CI72" s="39" t="str">
        <f t="shared" si="286"/>
        <v/>
      </c>
      <c r="CJ72" s="39" t="str">
        <f t="shared" si="287"/>
        <v/>
      </c>
      <c r="CK72" s="95" t="str">
        <f t="shared" si="288"/>
        <v/>
      </c>
      <c r="CP72" s="176"/>
      <c r="CQ72" s="99" t="str">
        <f t="shared" si="175"/>
        <v/>
      </c>
      <c r="CX72" s="196"/>
      <c r="CY72" s="89" t="e">
        <f t="shared" si="289"/>
        <v>#N/A</v>
      </c>
      <c r="CZ72" s="136" t="str">
        <f t="shared" si="290"/>
        <v/>
      </c>
      <c r="DA72" s="140" t="str">
        <f t="shared" si="291"/>
        <v/>
      </c>
      <c r="DB72" s="39" t="str">
        <f t="shared" si="292"/>
        <v/>
      </c>
      <c r="DC72" s="39" t="str">
        <f t="shared" si="293"/>
        <v/>
      </c>
      <c r="DD72" s="39" t="str">
        <f t="shared" si="294"/>
        <v/>
      </c>
      <c r="DE72" s="39" t="str">
        <f t="shared" si="295"/>
        <v/>
      </c>
      <c r="DF72" s="141" t="str">
        <f t="shared" si="296"/>
        <v/>
      </c>
      <c r="DG72" s="39" t="str">
        <f t="shared" si="297"/>
        <v/>
      </c>
      <c r="DH72" s="39" t="str">
        <f t="shared" si="298"/>
        <v/>
      </c>
      <c r="DI72" s="39" t="str">
        <f t="shared" si="299"/>
        <v/>
      </c>
      <c r="DJ72" s="74" t="str">
        <f t="shared" si="300"/>
        <v/>
      </c>
      <c r="DK72" s="45"/>
      <c r="DL72" s="84" t="e">
        <f t="shared" si="222"/>
        <v>#N/A</v>
      </c>
      <c r="DM72" s="39" t="e">
        <f t="shared" si="301"/>
        <v>#N/A</v>
      </c>
      <c r="DN72" s="74" t="e">
        <f t="shared" si="302"/>
        <v>#N/A</v>
      </c>
      <c r="DO72" s="45"/>
      <c r="DP72" s="89" t="str">
        <f t="shared" si="326"/>
        <v/>
      </c>
      <c r="DQ72" s="26" t="str">
        <f>IF(AND(Sufficient_data="Yes",Subgroup&lt;&gt;""),IF(COUNTIFS(Input!J$2:J71,"="&amp;"Yes",Input!C$2:C71,"="&amp;"Yes",Input!K$2:K71,"="&amp;Subgroup)&gt;0,"",Subgroup),"")</f>
        <v/>
      </c>
      <c r="DR72" s="7" t="str">
        <f t="shared" si="327"/>
        <v/>
      </c>
      <c r="DS72" s="7" t="str">
        <f t="shared" si="303"/>
        <v/>
      </c>
      <c r="DT72" s="19" t="str">
        <f t="shared" si="304"/>
        <v/>
      </c>
      <c r="DU72" s="12" t="str">
        <f t="shared" si="223"/>
        <v/>
      </c>
      <c r="DV72" s="11" t="str">
        <f t="shared" si="224"/>
        <v/>
      </c>
      <c r="DW72" s="12" t="str">
        <f t="shared" si="225"/>
        <v/>
      </c>
      <c r="DX72" s="12" t="str">
        <f t="shared" si="305"/>
        <v/>
      </c>
      <c r="DY72" s="19" t="str">
        <f t="shared" si="226"/>
        <v/>
      </c>
      <c r="DZ72" s="12" t="str">
        <f t="shared" si="227"/>
        <v/>
      </c>
      <c r="EA72" s="19" t="str">
        <f t="shared" si="306"/>
        <v/>
      </c>
      <c r="EB72" s="7" t="str">
        <f t="shared" si="307"/>
        <v/>
      </c>
      <c r="EC72" s="19" t="str">
        <f t="shared" si="308"/>
        <v/>
      </c>
      <c r="ED72" s="19" t="str">
        <f t="shared" si="309"/>
        <v/>
      </c>
      <c r="EE72" s="19" t="str">
        <f t="shared" si="228"/>
        <v/>
      </c>
      <c r="EF72" s="19" t="str">
        <f t="shared" si="229"/>
        <v/>
      </c>
      <c r="EG72" s="19" t="str">
        <f t="shared" si="230"/>
        <v/>
      </c>
      <c r="EH72" s="19" t="str">
        <f t="shared" si="231"/>
        <v/>
      </c>
      <c r="EI72" s="19" t="str">
        <f t="shared" si="232"/>
        <v/>
      </c>
      <c r="EJ72" s="19" t="str">
        <f t="shared" si="310"/>
        <v/>
      </c>
      <c r="EK72" s="19" t="str">
        <f t="shared" si="311"/>
        <v/>
      </c>
      <c r="EL72" s="19" t="str">
        <f t="shared" si="233"/>
        <v/>
      </c>
      <c r="EM72" s="19" t="str">
        <f t="shared" si="234"/>
        <v/>
      </c>
      <c r="EN72" s="19" t="str">
        <f t="shared" si="235"/>
        <v/>
      </c>
      <c r="EO72" s="19" t="str">
        <f t="shared" si="236"/>
        <v/>
      </c>
      <c r="EP72" s="19" t="str">
        <f t="shared" si="237"/>
        <v/>
      </c>
      <c r="EQ72" s="19" t="e">
        <f t="shared" si="238"/>
        <v>#N/A</v>
      </c>
      <c r="ER72" s="11" t="str">
        <f t="shared" si="328"/>
        <v/>
      </c>
      <c r="ES72" s="19" t="str">
        <f t="shared" si="329"/>
        <v/>
      </c>
      <c r="ET72" s="156" t="str">
        <f t="shared" si="312"/>
        <v/>
      </c>
      <c r="EU72" s="39" t="str">
        <f t="shared" si="239"/>
        <v/>
      </c>
      <c r="EV72" s="74" t="str">
        <f t="shared" si="313"/>
        <v/>
      </c>
      <c r="FA72" s="196"/>
      <c r="FB72" s="84" t="e">
        <f>IF(AND(Include_study?="Yes",Sufficient_data="Yes",Moderator&lt;&gt;""),'Moderator Analysis'!E72,NA())</f>
        <v>#N/A</v>
      </c>
      <c r="FC72" s="39" t="e">
        <f>IF(AND(Include_study?="Yes",Sufficient_data="Yes",Moderator&lt;&gt;""),'Moderator Analysis'!F72,NA())</f>
        <v>#N/A</v>
      </c>
      <c r="FD72" s="39" t="str">
        <f t="shared" si="314"/>
        <v/>
      </c>
      <c r="FE72" s="39" t="str">
        <f t="shared" si="315"/>
        <v/>
      </c>
      <c r="FF72" s="39" t="str">
        <f>IF(AND(Include_study?="Yes",Sufficient_data="Yes",Moderator&lt;&gt;""),'Moderator Analysis'!F:F-FP$2,"")</f>
        <v/>
      </c>
      <c r="FG72" s="39" t="str">
        <f>IF(AND(Include_study?="Yes",Sufficient_data="Yes",Moderator&lt;&gt;""),'Moderator Analysis'!E:E-FP$3,"")</f>
        <v/>
      </c>
      <c r="FH72" s="74" t="str">
        <f>IF(AND(Include_study?="Yes",Sufficient_data="Yes",Moderator&lt;&gt;""),FE:FE*('Moderator Analysis'!F:F-FP$5-FP$4*'Moderator Analysis'!E:E)^2,"")</f>
        <v/>
      </c>
      <c r="FI72" s="128"/>
      <c r="FJ72" s="92" t="str">
        <f t="shared" si="316"/>
        <v/>
      </c>
      <c r="FK72" s="137" t="str">
        <f>IF(AND(Include_study?="Yes",Sufficient_data="Yes",Moderator&lt;&gt;""),'Moderator Analysis'!F:F-'Moderator Analysis'!J$37,"")</f>
        <v/>
      </c>
      <c r="FL72" s="137" t="str">
        <f>IF(AND(Include_study?="Yes",Sufficient_data="Yes",Moderator&lt;&gt;""),'Moderator Analysis'!E:E-SUMPRODUCT('Moderator Analysis'!E:E,FJ:FJ)/SUM(FJ:FJ),"")</f>
        <v/>
      </c>
      <c r="FM72" s="95" t="str">
        <f>IF(AND(Include_study?="Yes",Sufficient_data="Yes",Moderator&lt;&gt;""),FJ:FJ*('Moderator Analysis'!F:F-'Moderator Analysis'!J$29-'Moderator Analysis'!J$30*'Moderator Analysis'!E:E)^2,"")</f>
        <v/>
      </c>
      <c r="FR72" s="196"/>
      <c r="FS72" s="182"/>
      <c r="FT7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2" s="39" t="str">
        <f>IF(AND(Include_study?="Yes",Sufficient_data="Yes"),1/('Publication Bias Analysis'!F:F^2+IF(Additional_model="Fixed effect",0,Calculations!GH$12)),"")</f>
        <v/>
      </c>
      <c r="FV72" s="39" t="str">
        <f>IF(AND(Include_study?="Yes",Sufficient_data="Yes"),1/('Publication Bias Analysis'!F:F^2+IF(Additional_model="Fixed effect",0,'Publication Bias Analysis'!L$32)),"")</f>
        <v/>
      </c>
      <c r="FW72" s="39" t="str">
        <f>IF(AND(Include_study?="Yes",Sufficient_data="Yes"),'Publication Bias Analysis'!E:E-'Publication Bias Analysis'!I$37,"")</f>
        <v/>
      </c>
      <c r="FX72" s="39" t="str">
        <f>IF(AND(Include_study?="Yes",Sufficient_data="Yes"),IF(Additional_model="Fixed effect",1/'Publication Bias Analysis'!F:F,1/SQRT('Publication Bias Analysis'!F:F^2+GH$12)),"")</f>
        <v/>
      </c>
      <c r="FY7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2" s="136" t="str">
        <f t="shared" si="317"/>
        <v/>
      </c>
      <c r="GA72" s="144" t="str">
        <f>IF(AND(Include_study?="Yes",Sufficient_data="Yes"),FZ:FZ+IF(GL:GL&lt;0,-1,1)*COUNTIF(FZ$2:FZ71,FZ:FZ),"")</f>
        <v/>
      </c>
      <c r="GB72" s="144" t="str">
        <f>IF(AND(Include_study?="Yes",Sufficient_data="Yes"),RANK(GP:GP,GP:GP,1)*IF(GO:GO&lt;0,-1,1)+IF(GO:GO&lt;0,-1,1)*COUNTIF(FZ$2:FZ71,FZ:FZ),"")</f>
        <v/>
      </c>
      <c r="GC72" s="144" t="str">
        <f>IF(AND(Include_study?="Yes",Sufficient_data="Yes"),RANK(GS:GS,GS:GS,1)*IF(GR:GR&lt;0,-1,1)+IF(GR:GR&lt;0,-1,1)*COUNTIF(FZ$2:FZ71,FZ:FZ),"")</f>
        <v/>
      </c>
      <c r="GD72" s="39" t="e">
        <f>IF(AND(Include_study?="Yes",Sufficient_data="Yes"),'Publication Bias Analysis'!E72,NA())</f>
        <v>#N/A</v>
      </c>
      <c r="GE72" s="74" t="e">
        <f>IF(AND(Include_study?="Yes",Sufficient_data="Yes"),'Publication Bias Analysis'!F72,NA())</f>
        <v>#N/A</v>
      </c>
      <c r="GK72" s="176"/>
      <c r="GL7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2" s="39" t="str">
        <f t="shared" si="318"/>
        <v/>
      </c>
      <c r="GN7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2" s="39" t="str">
        <f>IF(AND(Include_study?="Yes",Sufficient_data="Yes"),IF('Publication Bias Analysis'!L$38="Left",'Publication Bias Analysis'!E:E-GW$3,GW$3-'Publication Bias Analysis'!E:E),"")</f>
        <v/>
      </c>
      <c r="GP72" s="39" t="str">
        <f t="shared" si="330"/>
        <v/>
      </c>
      <c r="GQ7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2" s="39" t="str">
        <f>IF(AND(Include_study?="Yes",Sufficient_data="Yes"),IF('Publication Bias Analysis'!L$38="Left",'Publication Bias Analysis'!E:E-GW$10,GW$10-'Publication Bias Analysis'!E:E),"")</f>
        <v/>
      </c>
      <c r="GS72" s="39" t="str">
        <f t="shared" si="331"/>
        <v/>
      </c>
      <c r="GT7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2" s="176"/>
      <c r="HL72" s="69" t="str">
        <f t="shared" si="319"/>
        <v/>
      </c>
      <c r="HM72" s="74" t="str">
        <f>IF(AND(Include_study?="Yes",Sufficient_data="Yes"),Z_score-('Publication Bias Analysis'!P$3+'Publication Bias Analysis'!P$4*Inverse_standard_error),"")</f>
        <v/>
      </c>
      <c r="HO72" s="176"/>
      <c r="HP72" s="69" t="str">
        <f>IF(AND(Include_study?="Yes",Sufficient_data="Yes"),(GD:GD-SUMPRODUCT(Calculations!FT:FT,'Publication Bias Analysis'!E:E)/SUM(Calculations!FT:FT))/SQRT(Calculations!HQ:HQ),"")</f>
        <v/>
      </c>
      <c r="HQ72" s="69" t="str">
        <f>IF(AND(Include_study?="Yes",Sufficient_data="Yes"),GE:GE^2-1/SUM(Calculations!FT:FT),"")</f>
        <v/>
      </c>
      <c r="HR72" s="7" t="str">
        <f t="shared" si="240"/>
        <v/>
      </c>
      <c r="HS72" s="7" t="str">
        <f t="shared" si="241"/>
        <v/>
      </c>
      <c r="HT72" s="7" t="str">
        <f>IF(AND(Include_study?="Yes",Sufficient_data="Yes"),COUNTIFS(HR$2:HR71,"&lt;"&amp;HR72,HS$2:HS71,"&lt;"&amp;HS72)+COUNTIFS(HR73:HR$201,"&lt;"&amp;HR72,HS73:HS$201,"&lt;"&amp;HS72)+COUNTIFS(HR$2:HR71,"&gt;"&amp;HR72,HS$2:HS71,"&gt;"&amp;HS72)+COUNTIFS(HR73:HR$201,"&gt;"&amp;HR72,HS73:HS$201,"&gt;"&amp;HS72),"")</f>
        <v/>
      </c>
      <c r="HU72" s="104" t="str">
        <f>IF(AND(Include_study?="Yes",Sufficient_data="Yes"),COUNTIFS(HR$2:HR71,"&lt;"&amp;HR72,HS$2:HS71,"&gt;"&amp;HS72)+COUNTIFS(HR73:HR$201,"&lt;"&amp;HR72,HS73:HS$201,"&gt;"&amp;HS72)+COUNTIFS(HR$2:HR71,"&gt;"&amp;HR72,HS$2:HS71,"&lt;"&amp;HS72)+COUNTIFS(HR73:HR$201,"&gt;"&amp;HR72,HS73:HS$201,"&lt;"&amp;HS72),"")</f>
        <v/>
      </c>
      <c r="HW72" s="176"/>
      <c r="IB72" s="176"/>
      <c r="IC72" s="146" t="e">
        <f t="shared" si="320"/>
        <v>#N/A</v>
      </c>
      <c r="ID72" s="137" t="e">
        <f t="shared" si="321"/>
        <v>#N/A</v>
      </c>
      <c r="IE72" s="137" t="str">
        <f t="shared" si="322"/>
        <v/>
      </c>
      <c r="IF72" s="95" t="str">
        <f t="shared" si="323"/>
        <v/>
      </c>
      <c r="IK72" s="176"/>
      <c r="IL72" s="69" t="e">
        <f>IF(AND(Include_study?="Yes",Sufficient_data="Yes"),'Publication Bias Analysis'!AV:AV,NA())</f>
        <v>#N/A</v>
      </c>
      <c r="IM72" s="158" t="e">
        <f>IF(AND(Sufficient_data="Yes",Include_study?="Yes"),'Publication Bias Analysis'!AU:AU,NA())</f>
        <v>#N/A</v>
      </c>
      <c r="IN72" s="69" t="str">
        <f t="shared" si="219"/>
        <v/>
      </c>
      <c r="IO72" s="74" t="str">
        <f>IF(AND(Include_study?="Yes",Sufficient_data="Yes"),Z_score-('Publication Bias Analysis'!AY$30+'Publication Bias Analysis'!AY$31*Inverse_standard_error),"")</f>
        <v/>
      </c>
      <c r="IU72" s="176"/>
      <c r="IV72" s="7" t="str">
        <f>IF('Publication Bias Analysis'!BG:BG&lt;&gt;"",RANK('Publication Bias Analysis'!BG:BG,'Publication Bias Analysis'!BG:BG,1)+COUNTIF('Publication Bias Analysis'!BG$2:BG71,'Publication Bias Analysis'!BG72),"")</f>
        <v/>
      </c>
      <c r="IW72" s="124" t="str">
        <f t="shared" si="324"/>
        <v/>
      </c>
      <c r="IX72" s="125" t="e">
        <f>IF('Publication Bias Analysis'!BF72&lt;&gt;"",'Publication Bias Analysis'!BF72,NA())</f>
        <v>#N/A</v>
      </c>
      <c r="IY72" s="125" t="e">
        <f>IF('Publication Bias Analysis'!BG72&lt;&gt;"",'Publication Bias Analysis'!BG72,NA())</f>
        <v>#N/A</v>
      </c>
      <c r="IZ72" s="69" t="str">
        <f>IF(AND(Include_study?="Yes",Sufficient_data="Yes"),'Publication Bias Analysis'!BF:BF-AVERAGE('Publication Bias Analysis'!BF:BF),"")</f>
        <v/>
      </c>
      <c r="JA72" s="74" t="str">
        <f>IF(AND(Include_study?="Yes",Sufficient_data="Yes"),'Publication Bias Analysis'!BG:BG-('Publication Bias Analysis'!BJ$30+'Publication Bias Analysis'!BJ$31*'Publication Bias Analysis'!BF:BF),"")</f>
        <v/>
      </c>
      <c r="JG72" s="176"/>
      <c r="JH72" s="39" t="str">
        <f t="shared" si="325"/>
        <v/>
      </c>
      <c r="JI72" s="148" t="str">
        <f t="shared" si="332"/>
        <v/>
      </c>
      <c r="JJ72" s="74" t="str">
        <f t="shared" si="333"/>
        <v/>
      </c>
    </row>
    <row r="73" spans="1:270" x14ac:dyDescent="0.2">
      <c r="A73" s="56" t="str">
        <f t="shared" si="126"/>
        <v/>
      </c>
      <c r="B73" s="7" t="str">
        <f>IF(AND(Include_study?="Yes",Sufficient_data="Yes"),IF(Input!a_&lt;&gt;"",Input!a_,Input!n1_-Input!b_),"")</f>
        <v/>
      </c>
      <c r="C73" s="7" t="str">
        <f>IF(AND(Include_study?="Yes",Sufficient_data="Yes"),IF(Input!b_&lt;&gt;"",Input!b_,Input!n1_-Input!a_),"")</f>
        <v/>
      </c>
      <c r="D73" s="7" t="str">
        <f>IF(AND(Include_study?="Yes",Sufficient_data="Yes"),IF(Input!c_&lt;&gt;"",Input!c_,Input!n2_-Input!d_),"")</f>
        <v/>
      </c>
      <c r="E73" s="7" t="str">
        <f>IF(AND(Include_study?="Yes",Sufficient_data="Yes"),IF(Input!d_&lt;&gt;"",Input!d_,Input!n2_-Input!c_),"")</f>
        <v/>
      </c>
      <c r="F73" s="74" t="str">
        <f t="shared" si="244"/>
        <v/>
      </c>
      <c r="H73" s="196"/>
      <c r="I73" s="182"/>
      <c r="J73" s="146" t="str">
        <f t="shared" si="245"/>
        <v/>
      </c>
      <c r="K73" s="39" t="str">
        <f t="shared" si="246"/>
        <v/>
      </c>
      <c r="L73" s="39" t="str">
        <f t="shared" si="247"/>
        <v/>
      </c>
      <c r="M73" s="39" t="str">
        <f t="shared" si="248"/>
        <v/>
      </c>
      <c r="N73" s="74" t="str">
        <f t="shared" si="249"/>
        <v/>
      </c>
      <c r="P73" s="176"/>
      <c r="Q73" s="130" t="str">
        <f t="shared" si="250"/>
        <v/>
      </c>
      <c r="R73" s="39" t="str">
        <f t="shared" si="251"/>
        <v/>
      </c>
      <c r="S73" s="39" t="str">
        <f t="shared" si="252"/>
        <v/>
      </c>
      <c r="T73" s="74" t="str">
        <f t="shared" si="253"/>
        <v/>
      </c>
      <c r="V73" s="176"/>
      <c r="W73" s="130" t="str">
        <f t="shared" si="254"/>
        <v/>
      </c>
      <c r="X73" s="39" t="str">
        <f t="shared" si="255"/>
        <v/>
      </c>
      <c r="Y73" s="39" t="str">
        <f t="shared" si="256"/>
        <v/>
      </c>
      <c r="Z73" s="74" t="str">
        <f t="shared" si="257"/>
        <v/>
      </c>
      <c r="AB73" s="176"/>
      <c r="AC73" s="130" t="str">
        <f t="shared" si="258"/>
        <v/>
      </c>
      <c r="AD73" s="39" t="str">
        <f t="shared" si="259"/>
        <v/>
      </c>
      <c r="AE73" s="39" t="str">
        <f t="shared" si="260"/>
        <v/>
      </c>
      <c r="AF73" s="39" t="str">
        <f t="shared" si="261"/>
        <v/>
      </c>
      <c r="AG73" s="74" t="str">
        <f t="shared" si="262"/>
        <v/>
      </c>
      <c r="AI73" s="196"/>
      <c r="AJ7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3" s="136" t="str">
        <f>IF(AJ73&lt;&gt;"",IF(AJ73=0,COUNTIF(AJ$2:AJ72,0)+1,COUNTIF(AJ$2:AJ72,AJ73)+AJ73+COUNTIF(AJ:AJ,0)),"")</f>
        <v/>
      </c>
      <c r="AL73" s="136" t="str">
        <f t="shared" si="263"/>
        <v/>
      </c>
      <c r="AM73" s="155" t="str">
        <f>IF(AND(Include_study?="Yes",Sufficient_data="Yes",Input!Study_name&lt;&gt;""),Input!Study_name,"")</f>
        <v/>
      </c>
      <c r="AN73" s="136" t="str">
        <f t="shared" si="264"/>
        <v/>
      </c>
      <c r="AO73" s="19" t="str">
        <f t="shared" si="265"/>
        <v/>
      </c>
      <c r="AP73" s="158" t="str">
        <f t="shared" si="266"/>
        <v/>
      </c>
      <c r="AQ73" s="158" t="str">
        <f t="shared" si="267"/>
        <v/>
      </c>
      <c r="AR73" s="39" t="str">
        <f t="shared" si="268"/>
        <v/>
      </c>
      <c r="AS73" s="158" t="str">
        <f t="shared" si="269"/>
        <v/>
      </c>
      <c r="AT73" s="39" t="str">
        <f t="shared" si="270"/>
        <v/>
      </c>
      <c r="AU73" s="172" t="str">
        <f t="shared" si="271"/>
        <v/>
      </c>
      <c r="AV73" s="45"/>
      <c r="AW73" s="84" t="e">
        <f t="shared" si="152"/>
        <v>#N/A</v>
      </c>
      <c r="AX73" s="69" t="e">
        <f t="shared" si="272"/>
        <v>#N/A</v>
      </c>
      <c r="AY73" s="74" t="e">
        <f t="shared" si="273"/>
        <v>#N/A</v>
      </c>
      <c r="AZ73" s="45"/>
      <c r="BA73" s="45"/>
      <c r="BB73" s="45"/>
      <c r="BC73" s="45"/>
      <c r="BD73" s="196"/>
      <c r="BE73" s="182"/>
      <c r="BF73" s="69" t="str">
        <f t="shared" si="155"/>
        <v/>
      </c>
      <c r="BG73" s="69" t="str">
        <f t="shared" si="156"/>
        <v/>
      </c>
      <c r="BH73" s="69" t="str">
        <f t="shared" si="157"/>
        <v/>
      </c>
      <c r="BI73" s="39" t="str">
        <f t="shared" si="158"/>
        <v/>
      </c>
      <c r="BJ73" s="95" t="str">
        <f t="shared" si="274"/>
        <v/>
      </c>
      <c r="BO73" s="176"/>
      <c r="BP73" s="158" t="str">
        <f t="shared" si="275"/>
        <v/>
      </c>
      <c r="BQ73" s="158" t="str">
        <f t="shared" si="276"/>
        <v/>
      </c>
      <c r="BR73" s="158" t="str">
        <f t="shared" si="277"/>
        <v/>
      </c>
      <c r="BS73" s="158" t="str">
        <f>IF(AND(Sufficient_data="Yes",Include_study?="Yes"),IF(Add_0_5="Yes",(a_+d_+1)*(ab_+0.5)*(c_+0.5)/(Number_of_subjects+2)^2,(a_+d_)*b_*c_/Number_of_subjects^2),"")</f>
        <v/>
      </c>
      <c r="BT73" s="158" t="str">
        <f t="shared" si="278"/>
        <v/>
      </c>
      <c r="BU73" s="158" t="str">
        <f t="shared" si="279"/>
        <v/>
      </c>
      <c r="BV73" s="158" t="str">
        <f t="shared" si="280"/>
        <v/>
      </c>
      <c r="BW73" s="69" t="str">
        <f t="shared" si="166"/>
        <v/>
      </c>
      <c r="BX73" s="137" t="str">
        <f t="shared" si="167"/>
        <v/>
      </c>
      <c r="BY73" s="95" t="str">
        <f t="shared" si="281"/>
        <v/>
      </c>
      <c r="CD73" s="176"/>
      <c r="CE73" s="130" t="str">
        <f t="shared" si="282"/>
        <v/>
      </c>
      <c r="CF73" s="39" t="str">
        <f t="shared" si="283"/>
        <v/>
      </c>
      <c r="CG73" s="39" t="str">
        <f t="shared" si="284"/>
        <v/>
      </c>
      <c r="CH73" s="39" t="str">
        <f t="shared" si="285"/>
        <v/>
      </c>
      <c r="CI73" s="39" t="str">
        <f t="shared" si="286"/>
        <v/>
      </c>
      <c r="CJ73" s="39" t="str">
        <f t="shared" si="287"/>
        <v/>
      </c>
      <c r="CK73" s="95" t="str">
        <f t="shared" si="288"/>
        <v/>
      </c>
      <c r="CP73" s="176"/>
      <c r="CQ73" s="99" t="str">
        <f t="shared" si="175"/>
        <v/>
      </c>
      <c r="CX73" s="196"/>
      <c r="CY73" s="89" t="e">
        <f t="shared" si="289"/>
        <v>#N/A</v>
      </c>
      <c r="CZ73" s="136" t="str">
        <f t="shared" si="290"/>
        <v/>
      </c>
      <c r="DA73" s="140" t="str">
        <f t="shared" si="291"/>
        <v/>
      </c>
      <c r="DB73" s="39" t="str">
        <f t="shared" si="292"/>
        <v/>
      </c>
      <c r="DC73" s="39" t="str">
        <f t="shared" si="293"/>
        <v/>
      </c>
      <c r="DD73" s="39" t="str">
        <f t="shared" si="294"/>
        <v/>
      </c>
      <c r="DE73" s="39" t="str">
        <f t="shared" si="295"/>
        <v/>
      </c>
      <c r="DF73" s="141" t="str">
        <f t="shared" si="296"/>
        <v/>
      </c>
      <c r="DG73" s="39" t="str">
        <f t="shared" si="297"/>
        <v/>
      </c>
      <c r="DH73" s="39" t="str">
        <f t="shared" si="298"/>
        <v/>
      </c>
      <c r="DI73" s="39" t="str">
        <f t="shared" si="299"/>
        <v/>
      </c>
      <c r="DJ73" s="74" t="str">
        <f t="shared" si="300"/>
        <v/>
      </c>
      <c r="DK73" s="45"/>
      <c r="DL73" s="84" t="e">
        <f t="shared" si="222"/>
        <v>#N/A</v>
      </c>
      <c r="DM73" s="39" t="e">
        <f t="shared" si="301"/>
        <v>#N/A</v>
      </c>
      <c r="DN73" s="74" t="e">
        <f t="shared" si="302"/>
        <v>#N/A</v>
      </c>
      <c r="DO73" s="45"/>
      <c r="DP73" s="89" t="str">
        <f t="shared" si="326"/>
        <v/>
      </c>
      <c r="DQ73" s="26" t="str">
        <f>IF(AND(Sufficient_data="Yes",Subgroup&lt;&gt;""),IF(COUNTIFS(Input!J$2:J72,"="&amp;"Yes",Input!C$2:C72,"="&amp;"Yes",Input!K$2:K72,"="&amp;Subgroup)&gt;0,"",Subgroup),"")</f>
        <v/>
      </c>
      <c r="DR73" s="7" t="str">
        <f t="shared" si="327"/>
        <v/>
      </c>
      <c r="DS73" s="7" t="str">
        <f t="shared" si="303"/>
        <v/>
      </c>
      <c r="DT73" s="19" t="str">
        <f t="shared" si="304"/>
        <v/>
      </c>
      <c r="DU73" s="12" t="str">
        <f t="shared" si="223"/>
        <v/>
      </c>
      <c r="DV73" s="11" t="str">
        <f t="shared" si="224"/>
        <v/>
      </c>
      <c r="DW73" s="12" t="str">
        <f t="shared" si="225"/>
        <v/>
      </c>
      <c r="DX73" s="12" t="str">
        <f t="shared" si="305"/>
        <v/>
      </c>
      <c r="DY73" s="19" t="str">
        <f t="shared" si="226"/>
        <v/>
      </c>
      <c r="DZ73" s="12" t="str">
        <f t="shared" si="227"/>
        <v/>
      </c>
      <c r="EA73" s="19" t="str">
        <f t="shared" si="306"/>
        <v/>
      </c>
      <c r="EB73" s="7" t="str">
        <f t="shared" si="307"/>
        <v/>
      </c>
      <c r="EC73" s="19" t="str">
        <f t="shared" si="308"/>
        <v/>
      </c>
      <c r="ED73" s="19" t="str">
        <f t="shared" si="309"/>
        <v/>
      </c>
      <c r="EE73" s="19" t="str">
        <f t="shared" si="228"/>
        <v/>
      </c>
      <c r="EF73" s="19" t="str">
        <f t="shared" si="229"/>
        <v/>
      </c>
      <c r="EG73" s="19" t="str">
        <f t="shared" si="230"/>
        <v/>
      </c>
      <c r="EH73" s="19" t="str">
        <f t="shared" si="231"/>
        <v/>
      </c>
      <c r="EI73" s="19" t="str">
        <f t="shared" si="232"/>
        <v/>
      </c>
      <c r="EJ73" s="19" t="str">
        <f t="shared" si="310"/>
        <v/>
      </c>
      <c r="EK73" s="19" t="str">
        <f t="shared" si="311"/>
        <v/>
      </c>
      <c r="EL73" s="19" t="str">
        <f t="shared" si="233"/>
        <v/>
      </c>
      <c r="EM73" s="19" t="str">
        <f t="shared" si="234"/>
        <v/>
      </c>
      <c r="EN73" s="19" t="str">
        <f t="shared" si="235"/>
        <v/>
      </c>
      <c r="EO73" s="19" t="str">
        <f t="shared" si="236"/>
        <v/>
      </c>
      <c r="EP73" s="19" t="str">
        <f t="shared" si="237"/>
        <v/>
      </c>
      <c r="EQ73" s="19" t="e">
        <f t="shared" si="238"/>
        <v>#N/A</v>
      </c>
      <c r="ER73" s="11" t="str">
        <f t="shared" si="328"/>
        <v/>
      </c>
      <c r="ES73" s="19" t="str">
        <f t="shared" si="329"/>
        <v/>
      </c>
      <c r="ET73" s="156" t="str">
        <f t="shared" si="312"/>
        <v/>
      </c>
      <c r="EU73" s="39" t="str">
        <f t="shared" si="239"/>
        <v/>
      </c>
      <c r="EV73" s="74" t="str">
        <f t="shared" si="313"/>
        <v/>
      </c>
      <c r="FA73" s="196"/>
      <c r="FB73" s="84" t="e">
        <f>IF(AND(Include_study?="Yes",Sufficient_data="Yes",Moderator&lt;&gt;""),'Moderator Analysis'!E73,NA())</f>
        <v>#N/A</v>
      </c>
      <c r="FC73" s="39" t="e">
        <f>IF(AND(Include_study?="Yes",Sufficient_data="Yes",Moderator&lt;&gt;""),'Moderator Analysis'!F73,NA())</f>
        <v>#N/A</v>
      </c>
      <c r="FD73" s="39" t="str">
        <f t="shared" si="314"/>
        <v/>
      </c>
      <c r="FE73" s="39" t="str">
        <f t="shared" si="315"/>
        <v/>
      </c>
      <c r="FF73" s="39" t="str">
        <f>IF(AND(Include_study?="Yes",Sufficient_data="Yes",Moderator&lt;&gt;""),'Moderator Analysis'!F:F-FP$2,"")</f>
        <v/>
      </c>
      <c r="FG73" s="39" t="str">
        <f>IF(AND(Include_study?="Yes",Sufficient_data="Yes",Moderator&lt;&gt;""),'Moderator Analysis'!E:E-FP$3,"")</f>
        <v/>
      </c>
      <c r="FH73" s="74" t="str">
        <f>IF(AND(Include_study?="Yes",Sufficient_data="Yes",Moderator&lt;&gt;""),FE:FE*('Moderator Analysis'!F:F-FP$5-FP$4*'Moderator Analysis'!E:E)^2,"")</f>
        <v/>
      </c>
      <c r="FI73" s="128"/>
      <c r="FJ73" s="92" t="str">
        <f t="shared" si="316"/>
        <v/>
      </c>
      <c r="FK73" s="137" t="str">
        <f>IF(AND(Include_study?="Yes",Sufficient_data="Yes",Moderator&lt;&gt;""),'Moderator Analysis'!F:F-'Moderator Analysis'!J$37,"")</f>
        <v/>
      </c>
      <c r="FL73" s="137" t="str">
        <f>IF(AND(Include_study?="Yes",Sufficient_data="Yes",Moderator&lt;&gt;""),'Moderator Analysis'!E:E-SUMPRODUCT('Moderator Analysis'!E:E,FJ:FJ)/SUM(FJ:FJ),"")</f>
        <v/>
      </c>
      <c r="FM73" s="95" t="str">
        <f>IF(AND(Include_study?="Yes",Sufficient_data="Yes",Moderator&lt;&gt;""),FJ:FJ*('Moderator Analysis'!F:F-'Moderator Analysis'!J$29-'Moderator Analysis'!J$30*'Moderator Analysis'!E:E)^2,"")</f>
        <v/>
      </c>
      <c r="FR73" s="196"/>
      <c r="FS73" s="182"/>
      <c r="FT7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3" s="39" t="str">
        <f>IF(AND(Include_study?="Yes",Sufficient_data="Yes"),1/('Publication Bias Analysis'!F:F^2+IF(Additional_model="Fixed effect",0,Calculations!GH$12)),"")</f>
        <v/>
      </c>
      <c r="FV73" s="39" t="str">
        <f>IF(AND(Include_study?="Yes",Sufficient_data="Yes"),1/('Publication Bias Analysis'!F:F^2+IF(Additional_model="Fixed effect",0,'Publication Bias Analysis'!L$32)),"")</f>
        <v/>
      </c>
      <c r="FW73" s="39" t="str">
        <f>IF(AND(Include_study?="Yes",Sufficient_data="Yes"),'Publication Bias Analysis'!E:E-'Publication Bias Analysis'!I$37,"")</f>
        <v/>
      </c>
      <c r="FX73" s="39" t="str">
        <f>IF(AND(Include_study?="Yes",Sufficient_data="Yes"),IF(Additional_model="Fixed effect",1/'Publication Bias Analysis'!F:F,1/SQRT('Publication Bias Analysis'!F:F^2+GH$12)),"")</f>
        <v/>
      </c>
      <c r="FY7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3" s="136" t="str">
        <f t="shared" si="317"/>
        <v/>
      </c>
      <c r="GA73" s="144" t="str">
        <f>IF(AND(Include_study?="Yes",Sufficient_data="Yes"),FZ:FZ+IF(GL:GL&lt;0,-1,1)*COUNTIF(FZ$2:FZ72,FZ:FZ),"")</f>
        <v/>
      </c>
      <c r="GB73" s="144" t="str">
        <f>IF(AND(Include_study?="Yes",Sufficient_data="Yes"),RANK(GP:GP,GP:GP,1)*IF(GO:GO&lt;0,-1,1)+IF(GO:GO&lt;0,-1,1)*COUNTIF(FZ$2:FZ72,FZ:FZ),"")</f>
        <v/>
      </c>
      <c r="GC73" s="144" t="str">
        <f>IF(AND(Include_study?="Yes",Sufficient_data="Yes"),RANK(GS:GS,GS:GS,1)*IF(GR:GR&lt;0,-1,1)+IF(GR:GR&lt;0,-1,1)*COUNTIF(FZ$2:FZ72,FZ:FZ),"")</f>
        <v/>
      </c>
      <c r="GD73" s="39" t="e">
        <f>IF(AND(Include_study?="Yes",Sufficient_data="Yes"),'Publication Bias Analysis'!E73,NA())</f>
        <v>#N/A</v>
      </c>
      <c r="GE73" s="74" t="e">
        <f>IF(AND(Include_study?="Yes",Sufficient_data="Yes"),'Publication Bias Analysis'!F73,NA())</f>
        <v>#N/A</v>
      </c>
      <c r="GK73" s="176"/>
      <c r="GL7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3" s="39" t="str">
        <f t="shared" si="318"/>
        <v/>
      </c>
      <c r="GN7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3" s="39" t="str">
        <f>IF(AND(Include_study?="Yes",Sufficient_data="Yes"),IF('Publication Bias Analysis'!L$38="Left",'Publication Bias Analysis'!E:E-GW$3,GW$3-'Publication Bias Analysis'!E:E),"")</f>
        <v/>
      </c>
      <c r="GP73" s="39" t="str">
        <f t="shared" si="330"/>
        <v/>
      </c>
      <c r="GQ7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3" s="39" t="str">
        <f>IF(AND(Include_study?="Yes",Sufficient_data="Yes"),IF('Publication Bias Analysis'!L$38="Left",'Publication Bias Analysis'!E:E-GW$10,GW$10-'Publication Bias Analysis'!E:E),"")</f>
        <v/>
      </c>
      <c r="GS73" s="39" t="str">
        <f t="shared" si="331"/>
        <v/>
      </c>
      <c r="GT7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3" s="176"/>
      <c r="HL73" s="69" t="str">
        <f t="shared" si="319"/>
        <v/>
      </c>
      <c r="HM73" s="74" t="str">
        <f>IF(AND(Include_study?="Yes",Sufficient_data="Yes"),Z_score-('Publication Bias Analysis'!P$3+'Publication Bias Analysis'!P$4*Inverse_standard_error),"")</f>
        <v/>
      </c>
      <c r="HO73" s="176"/>
      <c r="HP73" s="69" t="str">
        <f>IF(AND(Include_study?="Yes",Sufficient_data="Yes"),(GD:GD-SUMPRODUCT(Calculations!FT:FT,'Publication Bias Analysis'!E:E)/SUM(Calculations!FT:FT))/SQRT(Calculations!HQ:HQ),"")</f>
        <v/>
      </c>
      <c r="HQ73" s="69" t="str">
        <f>IF(AND(Include_study?="Yes",Sufficient_data="Yes"),GE:GE^2-1/SUM(Calculations!FT:FT),"")</f>
        <v/>
      </c>
      <c r="HR73" s="7" t="str">
        <f t="shared" si="240"/>
        <v/>
      </c>
      <c r="HS73" s="7" t="str">
        <f t="shared" si="241"/>
        <v/>
      </c>
      <c r="HT73" s="7" t="str">
        <f>IF(AND(Include_study?="Yes",Sufficient_data="Yes"),COUNTIFS(HR$2:HR72,"&lt;"&amp;HR73,HS$2:HS72,"&lt;"&amp;HS73)+COUNTIFS(HR74:HR$201,"&lt;"&amp;HR73,HS74:HS$201,"&lt;"&amp;HS73)+COUNTIFS(HR$2:HR72,"&gt;"&amp;HR73,HS$2:HS72,"&gt;"&amp;HS73)+COUNTIFS(HR74:HR$201,"&gt;"&amp;HR73,HS74:HS$201,"&gt;"&amp;HS73),"")</f>
        <v/>
      </c>
      <c r="HU73" s="104" t="str">
        <f>IF(AND(Include_study?="Yes",Sufficient_data="Yes"),COUNTIFS(HR$2:HR72,"&lt;"&amp;HR73,HS$2:HS72,"&gt;"&amp;HS73)+COUNTIFS(HR74:HR$201,"&lt;"&amp;HR73,HS74:HS$201,"&gt;"&amp;HS73)+COUNTIFS(HR$2:HR72,"&gt;"&amp;HR73,HS$2:HS72,"&lt;"&amp;HS73)+COUNTIFS(HR74:HR$201,"&gt;"&amp;HR73,HS74:HS$201,"&lt;"&amp;HS73),"")</f>
        <v/>
      </c>
      <c r="HW73" s="176"/>
      <c r="IB73" s="176"/>
      <c r="IC73" s="146" t="e">
        <f t="shared" si="320"/>
        <v>#N/A</v>
      </c>
      <c r="ID73" s="137" t="e">
        <f t="shared" si="321"/>
        <v>#N/A</v>
      </c>
      <c r="IE73" s="137" t="str">
        <f t="shared" si="322"/>
        <v/>
      </c>
      <c r="IF73" s="95" t="str">
        <f t="shared" si="323"/>
        <v/>
      </c>
      <c r="IK73" s="176"/>
      <c r="IL73" s="69" t="e">
        <f>IF(AND(Include_study?="Yes",Sufficient_data="Yes"),'Publication Bias Analysis'!AV:AV,NA())</f>
        <v>#N/A</v>
      </c>
      <c r="IM73" s="158" t="e">
        <f>IF(AND(Sufficient_data="Yes",Include_study?="Yes"),'Publication Bias Analysis'!AU:AU,NA())</f>
        <v>#N/A</v>
      </c>
      <c r="IN73" s="69" t="str">
        <f t="shared" si="219"/>
        <v/>
      </c>
      <c r="IO73" s="74" t="str">
        <f>IF(AND(Include_study?="Yes",Sufficient_data="Yes"),Z_score-('Publication Bias Analysis'!AY$30+'Publication Bias Analysis'!AY$31*Inverse_standard_error),"")</f>
        <v/>
      </c>
      <c r="IU73" s="176"/>
      <c r="IV73" s="7" t="str">
        <f>IF('Publication Bias Analysis'!BG:BG&lt;&gt;"",RANK('Publication Bias Analysis'!BG:BG,'Publication Bias Analysis'!BG:BG,1)+COUNTIF('Publication Bias Analysis'!BG$2:BG72,'Publication Bias Analysis'!BG73),"")</f>
        <v/>
      </c>
      <c r="IW73" s="124" t="str">
        <f t="shared" si="324"/>
        <v/>
      </c>
      <c r="IX73" s="125" t="e">
        <f>IF('Publication Bias Analysis'!BF73&lt;&gt;"",'Publication Bias Analysis'!BF73,NA())</f>
        <v>#N/A</v>
      </c>
      <c r="IY73" s="125" t="e">
        <f>IF('Publication Bias Analysis'!BG73&lt;&gt;"",'Publication Bias Analysis'!BG73,NA())</f>
        <v>#N/A</v>
      </c>
      <c r="IZ73" s="69" t="str">
        <f>IF(AND(Include_study?="Yes",Sufficient_data="Yes"),'Publication Bias Analysis'!BF:BF-AVERAGE('Publication Bias Analysis'!BF:BF),"")</f>
        <v/>
      </c>
      <c r="JA73" s="74" t="str">
        <f>IF(AND(Include_study?="Yes",Sufficient_data="Yes"),'Publication Bias Analysis'!BG:BG-('Publication Bias Analysis'!BJ$30+'Publication Bias Analysis'!BJ$31*'Publication Bias Analysis'!BF:BF),"")</f>
        <v/>
      </c>
      <c r="JG73" s="176"/>
      <c r="JH73" s="39" t="str">
        <f t="shared" si="325"/>
        <v/>
      </c>
      <c r="JI73" s="148" t="str">
        <f t="shared" si="332"/>
        <v/>
      </c>
      <c r="JJ73" s="74" t="str">
        <f t="shared" si="333"/>
        <v/>
      </c>
    </row>
    <row r="74" spans="1:270" x14ac:dyDescent="0.2">
      <c r="A74" s="56" t="str">
        <f t="shared" si="126"/>
        <v/>
      </c>
      <c r="B74" s="7" t="str">
        <f>IF(AND(Include_study?="Yes",Sufficient_data="Yes"),IF(Input!a_&lt;&gt;"",Input!a_,Input!n1_-Input!b_),"")</f>
        <v/>
      </c>
      <c r="C74" s="7" t="str">
        <f>IF(AND(Include_study?="Yes",Sufficient_data="Yes"),IF(Input!b_&lt;&gt;"",Input!b_,Input!n1_-Input!a_),"")</f>
        <v/>
      </c>
      <c r="D74" s="7" t="str">
        <f>IF(AND(Include_study?="Yes",Sufficient_data="Yes"),IF(Input!c_&lt;&gt;"",Input!c_,Input!n2_-Input!d_),"")</f>
        <v/>
      </c>
      <c r="E74" s="7" t="str">
        <f>IF(AND(Include_study?="Yes",Sufficient_data="Yes"),IF(Input!d_&lt;&gt;"",Input!d_,Input!n2_-Input!c_),"")</f>
        <v/>
      </c>
      <c r="F74" s="74" t="str">
        <f t="shared" si="244"/>
        <v/>
      </c>
      <c r="H74" s="196"/>
      <c r="I74" s="182"/>
      <c r="J74" s="146" t="str">
        <f t="shared" si="245"/>
        <v/>
      </c>
      <c r="K74" s="39" t="str">
        <f t="shared" si="246"/>
        <v/>
      </c>
      <c r="L74" s="39" t="str">
        <f t="shared" si="247"/>
        <v/>
      </c>
      <c r="M74" s="39" t="str">
        <f t="shared" si="248"/>
        <v/>
      </c>
      <c r="N74" s="74" t="str">
        <f t="shared" si="249"/>
        <v/>
      </c>
      <c r="P74" s="176"/>
      <c r="Q74" s="130" t="str">
        <f t="shared" si="250"/>
        <v/>
      </c>
      <c r="R74" s="39" t="str">
        <f t="shared" si="251"/>
        <v/>
      </c>
      <c r="S74" s="39" t="str">
        <f t="shared" si="252"/>
        <v/>
      </c>
      <c r="T74" s="74" t="str">
        <f t="shared" si="253"/>
        <v/>
      </c>
      <c r="V74" s="176"/>
      <c r="W74" s="130" t="str">
        <f t="shared" si="254"/>
        <v/>
      </c>
      <c r="X74" s="39" t="str">
        <f t="shared" si="255"/>
        <v/>
      </c>
      <c r="Y74" s="39" t="str">
        <f t="shared" si="256"/>
        <v/>
      </c>
      <c r="Z74" s="74" t="str">
        <f t="shared" si="257"/>
        <v/>
      </c>
      <c r="AB74" s="176"/>
      <c r="AC74" s="130" t="str">
        <f t="shared" si="258"/>
        <v/>
      </c>
      <c r="AD74" s="39" t="str">
        <f t="shared" si="259"/>
        <v/>
      </c>
      <c r="AE74" s="39" t="str">
        <f t="shared" si="260"/>
        <v/>
      </c>
      <c r="AF74" s="39" t="str">
        <f t="shared" si="261"/>
        <v/>
      </c>
      <c r="AG74" s="74" t="str">
        <f t="shared" si="262"/>
        <v/>
      </c>
      <c r="AI74" s="196"/>
      <c r="AJ7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4" s="136" t="str">
        <f>IF(AJ74&lt;&gt;"",IF(AJ74=0,COUNTIF(AJ$2:AJ73,0)+1,COUNTIF(AJ$2:AJ73,AJ74)+AJ74+COUNTIF(AJ:AJ,0)),"")</f>
        <v/>
      </c>
      <c r="AL74" s="136" t="str">
        <f t="shared" si="263"/>
        <v/>
      </c>
      <c r="AM74" s="155" t="str">
        <f>IF(AND(Include_study?="Yes",Sufficient_data="Yes",Input!Study_name&lt;&gt;""),Input!Study_name,"")</f>
        <v/>
      </c>
      <c r="AN74" s="136" t="str">
        <f t="shared" si="264"/>
        <v/>
      </c>
      <c r="AO74" s="19" t="str">
        <f t="shared" si="265"/>
        <v/>
      </c>
      <c r="AP74" s="158" t="str">
        <f t="shared" si="266"/>
        <v/>
      </c>
      <c r="AQ74" s="158" t="str">
        <f t="shared" si="267"/>
        <v/>
      </c>
      <c r="AR74" s="39" t="str">
        <f t="shared" si="268"/>
        <v/>
      </c>
      <c r="AS74" s="158" t="str">
        <f t="shared" si="269"/>
        <v/>
      </c>
      <c r="AT74" s="39" t="str">
        <f t="shared" si="270"/>
        <v/>
      </c>
      <c r="AU74" s="172" t="str">
        <f t="shared" si="271"/>
        <v/>
      </c>
      <c r="AV74" s="45"/>
      <c r="AW74" s="84" t="e">
        <f t="shared" si="152"/>
        <v>#N/A</v>
      </c>
      <c r="AX74" s="69" t="e">
        <f t="shared" si="272"/>
        <v>#N/A</v>
      </c>
      <c r="AY74" s="74" t="e">
        <f t="shared" si="273"/>
        <v>#N/A</v>
      </c>
      <c r="AZ74" s="45"/>
      <c r="BA74" s="45"/>
      <c r="BB74" s="45"/>
      <c r="BC74" s="45"/>
      <c r="BD74" s="196"/>
      <c r="BE74" s="182"/>
      <c r="BF74" s="69" t="str">
        <f t="shared" si="155"/>
        <v/>
      </c>
      <c r="BG74" s="69" t="str">
        <f t="shared" si="156"/>
        <v/>
      </c>
      <c r="BH74" s="69" t="str">
        <f t="shared" si="157"/>
        <v/>
      </c>
      <c r="BI74" s="39" t="str">
        <f t="shared" si="158"/>
        <v/>
      </c>
      <c r="BJ74" s="95" t="str">
        <f t="shared" si="274"/>
        <v/>
      </c>
      <c r="BO74" s="176"/>
      <c r="BP74" s="158" t="str">
        <f t="shared" si="275"/>
        <v/>
      </c>
      <c r="BQ74" s="158" t="str">
        <f t="shared" si="276"/>
        <v/>
      </c>
      <c r="BR74" s="158" t="str">
        <f t="shared" si="277"/>
        <v/>
      </c>
      <c r="BS74" s="158" t="str">
        <f>IF(AND(Sufficient_data="Yes",Include_study?="Yes"),IF(Add_0_5="Yes",(a_+d_+1)*(ab_+0.5)*(c_+0.5)/(Number_of_subjects+2)^2,(a_+d_)*b_*c_/Number_of_subjects^2),"")</f>
        <v/>
      </c>
      <c r="BT74" s="158" t="str">
        <f t="shared" si="278"/>
        <v/>
      </c>
      <c r="BU74" s="158" t="str">
        <f t="shared" si="279"/>
        <v/>
      </c>
      <c r="BV74" s="158" t="str">
        <f t="shared" si="280"/>
        <v/>
      </c>
      <c r="BW74" s="69" t="str">
        <f t="shared" si="166"/>
        <v/>
      </c>
      <c r="BX74" s="137" t="str">
        <f t="shared" si="167"/>
        <v/>
      </c>
      <c r="BY74" s="95" t="str">
        <f t="shared" si="281"/>
        <v/>
      </c>
      <c r="CD74" s="176"/>
      <c r="CE74" s="130" t="str">
        <f t="shared" si="282"/>
        <v/>
      </c>
      <c r="CF74" s="39" t="str">
        <f t="shared" si="283"/>
        <v/>
      </c>
      <c r="CG74" s="39" t="str">
        <f t="shared" si="284"/>
        <v/>
      </c>
      <c r="CH74" s="39" t="str">
        <f t="shared" si="285"/>
        <v/>
      </c>
      <c r="CI74" s="39" t="str">
        <f t="shared" si="286"/>
        <v/>
      </c>
      <c r="CJ74" s="39" t="str">
        <f t="shared" si="287"/>
        <v/>
      </c>
      <c r="CK74" s="95" t="str">
        <f t="shared" si="288"/>
        <v/>
      </c>
      <c r="CP74" s="176"/>
      <c r="CQ74" s="99" t="str">
        <f t="shared" si="175"/>
        <v/>
      </c>
      <c r="CX74" s="196"/>
      <c r="CY74" s="89" t="e">
        <f t="shared" si="289"/>
        <v>#N/A</v>
      </c>
      <c r="CZ74" s="136" t="str">
        <f t="shared" si="290"/>
        <v/>
      </c>
      <c r="DA74" s="140" t="str">
        <f t="shared" si="291"/>
        <v/>
      </c>
      <c r="DB74" s="39" t="str">
        <f t="shared" si="292"/>
        <v/>
      </c>
      <c r="DC74" s="39" t="str">
        <f t="shared" si="293"/>
        <v/>
      </c>
      <c r="DD74" s="39" t="str">
        <f t="shared" si="294"/>
        <v/>
      </c>
      <c r="DE74" s="39" t="str">
        <f t="shared" si="295"/>
        <v/>
      </c>
      <c r="DF74" s="141" t="str">
        <f t="shared" si="296"/>
        <v/>
      </c>
      <c r="DG74" s="39" t="str">
        <f t="shared" si="297"/>
        <v/>
      </c>
      <c r="DH74" s="39" t="str">
        <f t="shared" si="298"/>
        <v/>
      </c>
      <c r="DI74" s="39" t="str">
        <f t="shared" si="299"/>
        <v/>
      </c>
      <c r="DJ74" s="74" t="str">
        <f t="shared" si="300"/>
        <v/>
      </c>
      <c r="DK74" s="45"/>
      <c r="DL74" s="84" t="e">
        <f t="shared" si="222"/>
        <v>#N/A</v>
      </c>
      <c r="DM74" s="39" t="e">
        <f t="shared" si="301"/>
        <v>#N/A</v>
      </c>
      <c r="DN74" s="74" t="e">
        <f t="shared" si="302"/>
        <v>#N/A</v>
      </c>
      <c r="DO74" s="45"/>
      <c r="DP74" s="89" t="str">
        <f t="shared" si="326"/>
        <v/>
      </c>
      <c r="DQ74" s="26" t="str">
        <f>IF(AND(Sufficient_data="Yes",Subgroup&lt;&gt;""),IF(COUNTIFS(Input!J$2:J73,"="&amp;"Yes",Input!C$2:C73,"="&amp;"Yes",Input!K$2:K73,"="&amp;Subgroup)&gt;0,"",Subgroup),"")</f>
        <v/>
      </c>
      <c r="DR74" s="7" t="str">
        <f t="shared" si="327"/>
        <v/>
      </c>
      <c r="DS74" s="7" t="str">
        <f t="shared" si="303"/>
        <v/>
      </c>
      <c r="DT74" s="19" t="str">
        <f t="shared" si="304"/>
        <v/>
      </c>
      <c r="DU74" s="12" t="str">
        <f t="shared" si="223"/>
        <v/>
      </c>
      <c r="DV74" s="11" t="str">
        <f t="shared" si="224"/>
        <v/>
      </c>
      <c r="DW74" s="12" t="str">
        <f t="shared" si="225"/>
        <v/>
      </c>
      <c r="DX74" s="12" t="str">
        <f t="shared" si="305"/>
        <v/>
      </c>
      <c r="DY74" s="19" t="str">
        <f t="shared" si="226"/>
        <v/>
      </c>
      <c r="DZ74" s="12" t="str">
        <f t="shared" si="227"/>
        <v/>
      </c>
      <c r="EA74" s="19" t="str">
        <f t="shared" si="306"/>
        <v/>
      </c>
      <c r="EB74" s="7" t="str">
        <f t="shared" si="307"/>
        <v/>
      </c>
      <c r="EC74" s="19" t="str">
        <f t="shared" si="308"/>
        <v/>
      </c>
      <c r="ED74" s="19" t="str">
        <f t="shared" si="309"/>
        <v/>
      </c>
      <c r="EE74" s="19" t="str">
        <f t="shared" si="228"/>
        <v/>
      </c>
      <c r="EF74" s="19" t="str">
        <f t="shared" si="229"/>
        <v/>
      </c>
      <c r="EG74" s="19" t="str">
        <f t="shared" si="230"/>
        <v/>
      </c>
      <c r="EH74" s="19" t="str">
        <f t="shared" si="231"/>
        <v/>
      </c>
      <c r="EI74" s="19" t="str">
        <f t="shared" si="232"/>
        <v/>
      </c>
      <c r="EJ74" s="19" t="str">
        <f t="shared" si="310"/>
        <v/>
      </c>
      <c r="EK74" s="19" t="str">
        <f t="shared" si="311"/>
        <v/>
      </c>
      <c r="EL74" s="19" t="str">
        <f t="shared" si="233"/>
        <v/>
      </c>
      <c r="EM74" s="19" t="str">
        <f t="shared" si="234"/>
        <v/>
      </c>
      <c r="EN74" s="19" t="str">
        <f t="shared" si="235"/>
        <v/>
      </c>
      <c r="EO74" s="19" t="str">
        <f t="shared" si="236"/>
        <v/>
      </c>
      <c r="EP74" s="19" t="str">
        <f t="shared" si="237"/>
        <v/>
      </c>
      <c r="EQ74" s="19" t="e">
        <f t="shared" si="238"/>
        <v>#N/A</v>
      </c>
      <c r="ER74" s="11" t="str">
        <f t="shared" si="328"/>
        <v/>
      </c>
      <c r="ES74" s="19" t="str">
        <f t="shared" si="329"/>
        <v/>
      </c>
      <c r="ET74" s="156" t="str">
        <f t="shared" si="312"/>
        <v/>
      </c>
      <c r="EU74" s="39" t="str">
        <f t="shared" si="239"/>
        <v/>
      </c>
      <c r="EV74" s="74" t="str">
        <f t="shared" si="313"/>
        <v/>
      </c>
      <c r="FA74" s="196"/>
      <c r="FB74" s="84" t="e">
        <f>IF(AND(Include_study?="Yes",Sufficient_data="Yes",Moderator&lt;&gt;""),'Moderator Analysis'!E74,NA())</f>
        <v>#N/A</v>
      </c>
      <c r="FC74" s="39" t="e">
        <f>IF(AND(Include_study?="Yes",Sufficient_data="Yes",Moderator&lt;&gt;""),'Moderator Analysis'!F74,NA())</f>
        <v>#N/A</v>
      </c>
      <c r="FD74" s="39" t="str">
        <f t="shared" si="314"/>
        <v/>
      </c>
      <c r="FE74" s="39" t="str">
        <f t="shared" si="315"/>
        <v/>
      </c>
      <c r="FF74" s="39" t="str">
        <f>IF(AND(Include_study?="Yes",Sufficient_data="Yes",Moderator&lt;&gt;""),'Moderator Analysis'!F:F-FP$2,"")</f>
        <v/>
      </c>
      <c r="FG74" s="39" t="str">
        <f>IF(AND(Include_study?="Yes",Sufficient_data="Yes",Moderator&lt;&gt;""),'Moderator Analysis'!E:E-FP$3,"")</f>
        <v/>
      </c>
      <c r="FH74" s="74" t="str">
        <f>IF(AND(Include_study?="Yes",Sufficient_data="Yes",Moderator&lt;&gt;""),FE:FE*('Moderator Analysis'!F:F-FP$5-FP$4*'Moderator Analysis'!E:E)^2,"")</f>
        <v/>
      </c>
      <c r="FI74" s="128"/>
      <c r="FJ74" s="92" t="str">
        <f t="shared" si="316"/>
        <v/>
      </c>
      <c r="FK74" s="137" t="str">
        <f>IF(AND(Include_study?="Yes",Sufficient_data="Yes",Moderator&lt;&gt;""),'Moderator Analysis'!F:F-'Moderator Analysis'!J$37,"")</f>
        <v/>
      </c>
      <c r="FL74" s="137" t="str">
        <f>IF(AND(Include_study?="Yes",Sufficient_data="Yes",Moderator&lt;&gt;""),'Moderator Analysis'!E:E-SUMPRODUCT('Moderator Analysis'!E:E,FJ:FJ)/SUM(FJ:FJ),"")</f>
        <v/>
      </c>
      <c r="FM74" s="95" t="str">
        <f>IF(AND(Include_study?="Yes",Sufficient_data="Yes",Moderator&lt;&gt;""),FJ:FJ*('Moderator Analysis'!F:F-'Moderator Analysis'!J$29-'Moderator Analysis'!J$30*'Moderator Analysis'!E:E)^2,"")</f>
        <v/>
      </c>
      <c r="FR74" s="196"/>
      <c r="FS74" s="182"/>
      <c r="FT7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4" s="39" t="str">
        <f>IF(AND(Include_study?="Yes",Sufficient_data="Yes"),1/('Publication Bias Analysis'!F:F^2+IF(Additional_model="Fixed effect",0,Calculations!GH$12)),"")</f>
        <v/>
      </c>
      <c r="FV74" s="39" t="str">
        <f>IF(AND(Include_study?="Yes",Sufficient_data="Yes"),1/('Publication Bias Analysis'!F:F^2+IF(Additional_model="Fixed effect",0,'Publication Bias Analysis'!L$32)),"")</f>
        <v/>
      </c>
      <c r="FW74" s="39" t="str">
        <f>IF(AND(Include_study?="Yes",Sufficient_data="Yes"),'Publication Bias Analysis'!E:E-'Publication Bias Analysis'!I$37,"")</f>
        <v/>
      </c>
      <c r="FX74" s="39" t="str">
        <f>IF(AND(Include_study?="Yes",Sufficient_data="Yes"),IF(Additional_model="Fixed effect",1/'Publication Bias Analysis'!F:F,1/SQRT('Publication Bias Analysis'!F:F^2+GH$12)),"")</f>
        <v/>
      </c>
      <c r="FY7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4" s="136" t="str">
        <f t="shared" si="317"/>
        <v/>
      </c>
      <c r="GA74" s="144" t="str">
        <f>IF(AND(Include_study?="Yes",Sufficient_data="Yes"),FZ:FZ+IF(GL:GL&lt;0,-1,1)*COUNTIF(FZ$2:FZ73,FZ:FZ),"")</f>
        <v/>
      </c>
      <c r="GB74" s="144" t="str">
        <f>IF(AND(Include_study?="Yes",Sufficient_data="Yes"),RANK(GP:GP,GP:GP,1)*IF(GO:GO&lt;0,-1,1)+IF(GO:GO&lt;0,-1,1)*COUNTIF(FZ$2:FZ73,FZ:FZ),"")</f>
        <v/>
      </c>
      <c r="GC74" s="144" t="str">
        <f>IF(AND(Include_study?="Yes",Sufficient_data="Yes"),RANK(GS:GS,GS:GS,1)*IF(GR:GR&lt;0,-1,1)+IF(GR:GR&lt;0,-1,1)*COUNTIF(FZ$2:FZ73,FZ:FZ),"")</f>
        <v/>
      </c>
      <c r="GD74" s="39" t="e">
        <f>IF(AND(Include_study?="Yes",Sufficient_data="Yes"),'Publication Bias Analysis'!E74,NA())</f>
        <v>#N/A</v>
      </c>
      <c r="GE74" s="74" t="e">
        <f>IF(AND(Include_study?="Yes",Sufficient_data="Yes"),'Publication Bias Analysis'!F74,NA())</f>
        <v>#N/A</v>
      </c>
      <c r="GK74" s="176"/>
      <c r="GL7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4" s="39" t="str">
        <f t="shared" si="318"/>
        <v/>
      </c>
      <c r="GN7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4" s="39" t="str">
        <f>IF(AND(Include_study?="Yes",Sufficient_data="Yes"),IF('Publication Bias Analysis'!L$38="Left",'Publication Bias Analysis'!E:E-GW$3,GW$3-'Publication Bias Analysis'!E:E),"")</f>
        <v/>
      </c>
      <c r="GP74" s="39" t="str">
        <f t="shared" si="330"/>
        <v/>
      </c>
      <c r="GQ7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4" s="39" t="str">
        <f>IF(AND(Include_study?="Yes",Sufficient_data="Yes"),IF('Publication Bias Analysis'!L$38="Left",'Publication Bias Analysis'!E:E-GW$10,GW$10-'Publication Bias Analysis'!E:E),"")</f>
        <v/>
      </c>
      <c r="GS74" s="39" t="str">
        <f t="shared" si="331"/>
        <v/>
      </c>
      <c r="GT7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4" s="176"/>
      <c r="HL74" s="69" t="str">
        <f t="shared" si="319"/>
        <v/>
      </c>
      <c r="HM74" s="74" t="str">
        <f>IF(AND(Include_study?="Yes",Sufficient_data="Yes"),Z_score-('Publication Bias Analysis'!P$3+'Publication Bias Analysis'!P$4*Inverse_standard_error),"")</f>
        <v/>
      </c>
      <c r="HO74" s="176"/>
      <c r="HP74" s="69" t="str">
        <f>IF(AND(Include_study?="Yes",Sufficient_data="Yes"),(GD:GD-SUMPRODUCT(Calculations!FT:FT,'Publication Bias Analysis'!E:E)/SUM(Calculations!FT:FT))/SQRT(Calculations!HQ:HQ),"")</f>
        <v/>
      </c>
      <c r="HQ74" s="69" t="str">
        <f>IF(AND(Include_study?="Yes",Sufficient_data="Yes"),GE:GE^2-1/SUM(Calculations!FT:FT),"")</f>
        <v/>
      </c>
      <c r="HR74" s="7" t="str">
        <f t="shared" si="240"/>
        <v/>
      </c>
      <c r="HS74" s="7" t="str">
        <f t="shared" si="241"/>
        <v/>
      </c>
      <c r="HT74" s="7" t="str">
        <f>IF(AND(Include_study?="Yes",Sufficient_data="Yes"),COUNTIFS(HR$2:HR73,"&lt;"&amp;HR74,HS$2:HS73,"&lt;"&amp;HS74)+COUNTIFS(HR75:HR$201,"&lt;"&amp;HR74,HS75:HS$201,"&lt;"&amp;HS74)+COUNTIFS(HR$2:HR73,"&gt;"&amp;HR74,HS$2:HS73,"&gt;"&amp;HS74)+COUNTIFS(HR75:HR$201,"&gt;"&amp;HR74,HS75:HS$201,"&gt;"&amp;HS74),"")</f>
        <v/>
      </c>
      <c r="HU74" s="104" t="str">
        <f>IF(AND(Include_study?="Yes",Sufficient_data="Yes"),COUNTIFS(HR$2:HR73,"&lt;"&amp;HR74,HS$2:HS73,"&gt;"&amp;HS74)+COUNTIFS(HR75:HR$201,"&lt;"&amp;HR74,HS75:HS$201,"&gt;"&amp;HS74)+COUNTIFS(HR$2:HR73,"&gt;"&amp;HR74,HS$2:HS73,"&lt;"&amp;HS74)+COUNTIFS(HR75:HR$201,"&gt;"&amp;HR74,HS75:HS$201,"&lt;"&amp;HS74),"")</f>
        <v/>
      </c>
      <c r="HW74" s="176"/>
      <c r="IB74" s="176"/>
      <c r="IC74" s="146" t="e">
        <f t="shared" si="320"/>
        <v>#N/A</v>
      </c>
      <c r="ID74" s="137" t="e">
        <f t="shared" si="321"/>
        <v>#N/A</v>
      </c>
      <c r="IE74" s="137" t="str">
        <f t="shared" si="322"/>
        <v/>
      </c>
      <c r="IF74" s="95" t="str">
        <f t="shared" si="323"/>
        <v/>
      </c>
      <c r="IK74" s="176"/>
      <c r="IL74" s="69" t="e">
        <f>IF(AND(Include_study?="Yes",Sufficient_data="Yes"),'Publication Bias Analysis'!AV:AV,NA())</f>
        <v>#N/A</v>
      </c>
      <c r="IM74" s="158" t="e">
        <f>IF(AND(Sufficient_data="Yes",Include_study?="Yes"),'Publication Bias Analysis'!AU:AU,NA())</f>
        <v>#N/A</v>
      </c>
      <c r="IN74" s="69" t="str">
        <f t="shared" si="219"/>
        <v/>
      </c>
      <c r="IO74" s="74" t="str">
        <f>IF(AND(Include_study?="Yes",Sufficient_data="Yes"),Z_score-('Publication Bias Analysis'!AY$30+'Publication Bias Analysis'!AY$31*Inverse_standard_error),"")</f>
        <v/>
      </c>
      <c r="IU74" s="176"/>
      <c r="IV74" s="7" t="str">
        <f>IF('Publication Bias Analysis'!BG:BG&lt;&gt;"",RANK('Publication Bias Analysis'!BG:BG,'Publication Bias Analysis'!BG:BG,1)+COUNTIF('Publication Bias Analysis'!BG$2:BG73,'Publication Bias Analysis'!BG74),"")</f>
        <v/>
      </c>
      <c r="IW74" s="124" t="str">
        <f t="shared" si="324"/>
        <v/>
      </c>
      <c r="IX74" s="125" t="e">
        <f>IF('Publication Bias Analysis'!BF74&lt;&gt;"",'Publication Bias Analysis'!BF74,NA())</f>
        <v>#N/A</v>
      </c>
      <c r="IY74" s="125" t="e">
        <f>IF('Publication Bias Analysis'!BG74&lt;&gt;"",'Publication Bias Analysis'!BG74,NA())</f>
        <v>#N/A</v>
      </c>
      <c r="IZ74" s="69" t="str">
        <f>IF(AND(Include_study?="Yes",Sufficient_data="Yes"),'Publication Bias Analysis'!BF:BF-AVERAGE('Publication Bias Analysis'!BF:BF),"")</f>
        <v/>
      </c>
      <c r="JA74" s="74" t="str">
        <f>IF(AND(Include_study?="Yes",Sufficient_data="Yes"),'Publication Bias Analysis'!BG:BG-('Publication Bias Analysis'!BJ$30+'Publication Bias Analysis'!BJ$31*'Publication Bias Analysis'!BF:BF),"")</f>
        <v/>
      </c>
      <c r="JG74" s="176"/>
      <c r="JH74" s="39" t="str">
        <f t="shared" si="325"/>
        <v/>
      </c>
      <c r="JI74" s="148" t="str">
        <f t="shared" si="332"/>
        <v/>
      </c>
      <c r="JJ74" s="74" t="str">
        <f t="shared" si="333"/>
        <v/>
      </c>
    </row>
    <row r="75" spans="1:270" x14ac:dyDescent="0.2">
      <c r="A75" s="56" t="str">
        <f t="shared" si="126"/>
        <v/>
      </c>
      <c r="B75" s="7" t="str">
        <f>IF(AND(Include_study?="Yes",Sufficient_data="Yes"),IF(Input!a_&lt;&gt;"",Input!a_,Input!n1_-Input!b_),"")</f>
        <v/>
      </c>
      <c r="C75" s="7" t="str">
        <f>IF(AND(Include_study?="Yes",Sufficient_data="Yes"),IF(Input!b_&lt;&gt;"",Input!b_,Input!n1_-Input!a_),"")</f>
        <v/>
      </c>
      <c r="D75" s="7" t="str">
        <f>IF(AND(Include_study?="Yes",Sufficient_data="Yes"),IF(Input!c_&lt;&gt;"",Input!c_,Input!n2_-Input!d_),"")</f>
        <v/>
      </c>
      <c r="E75" s="7" t="str">
        <f>IF(AND(Include_study?="Yes",Sufficient_data="Yes"),IF(Input!d_&lt;&gt;"",Input!d_,Input!n2_-Input!c_),"")</f>
        <v/>
      </c>
      <c r="F75" s="74" t="str">
        <f t="shared" si="244"/>
        <v/>
      </c>
      <c r="H75" s="196"/>
      <c r="I75" s="182"/>
      <c r="J75" s="146" t="str">
        <f t="shared" si="245"/>
        <v/>
      </c>
      <c r="K75" s="39" t="str">
        <f t="shared" si="246"/>
        <v/>
      </c>
      <c r="L75" s="39" t="str">
        <f t="shared" si="247"/>
        <v/>
      </c>
      <c r="M75" s="39" t="str">
        <f t="shared" si="248"/>
        <v/>
      </c>
      <c r="N75" s="74" t="str">
        <f t="shared" si="249"/>
        <v/>
      </c>
      <c r="P75" s="176"/>
      <c r="Q75" s="130" t="str">
        <f t="shared" si="250"/>
        <v/>
      </c>
      <c r="R75" s="39" t="str">
        <f t="shared" si="251"/>
        <v/>
      </c>
      <c r="S75" s="39" t="str">
        <f t="shared" si="252"/>
        <v/>
      </c>
      <c r="T75" s="74" t="str">
        <f t="shared" si="253"/>
        <v/>
      </c>
      <c r="V75" s="176"/>
      <c r="W75" s="130" t="str">
        <f t="shared" si="254"/>
        <v/>
      </c>
      <c r="X75" s="39" t="str">
        <f t="shared" si="255"/>
        <v/>
      </c>
      <c r="Y75" s="39" t="str">
        <f t="shared" si="256"/>
        <v/>
      </c>
      <c r="Z75" s="74" t="str">
        <f t="shared" si="257"/>
        <v/>
      </c>
      <c r="AB75" s="176"/>
      <c r="AC75" s="130" t="str">
        <f t="shared" si="258"/>
        <v/>
      </c>
      <c r="AD75" s="39" t="str">
        <f t="shared" si="259"/>
        <v/>
      </c>
      <c r="AE75" s="39" t="str">
        <f t="shared" si="260"/>
        <v/>
      </c>
      <c r="AF75" s="39" t="str">
        <f t="shared" si="261"/>
        <v/>
      </c>
      <c r="AG75" s="74" t="str">
        <f t="shared" si="262"/>
        <v/>
      </c>
      <c r="AI75" s="196"/>
      <c r="AJ7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5" s="136" t="str">
        <f>IF(AJ75&lt;&gt;"",IF(AJ75=0,COUNTIF(AJ$2:AJ74,0)+1,COUNTIF(AJ$2:AJ74,AJ75)+AJ75+COUNTIF(AJ:AJ,0)),"")</f>
        <v/>
      </c>
      <c r="AL75" s="136" t="str">
        <f t="shared" si="263"/>
        <v/>
      </c>
      <c r="AM75" s="155" t="str">
        <f>IF(AND(Include_study?="Yes",Sufficient_data="Yes",Input!Study_name&lt;&gt;""),Input!Study_name,"")</f>
        <v/>
      </c>
      <c r="AN75" s="136" t="str">
        <f t="shared" si="264"/>
        <v/>
      </c>
      <c r="AO75" s="19" t="str">
        <f t="shared" si="265"/>
        <v/>
      </c>
      <c r="AP75" s="158" t="str">
        <f t="shared" si="266"/>
        <v/>
      </c>
      <c r="AQ75" s="158" t="str">
        <f t="shared" si="267"/>
        <v/>
      </c>
      <c r="AR75" s="39" t="str">
        <f t="shared" si="268"/>
        <v/>
      </c>
      <c r="AS75" s="158" t="str">
        <f t="shared" si="269"/>
        <v/>
      </c>
      <c r="AT75" s="39" t="str">
        <f t="shared" si="270"/>
        <v/>
      </c>
      <c r="AU75" s="172" t="str">
        <f t="shared" si="271"/>
        <v/>
      </c>
      <c r="AV75" s="45"/>
      <c r="AW75" s="84" t="e">
        <f t="shared" si="152"/>
        <v>#N/A</v>
      </c>
      <c r="AX75" s="69" t="e">
        <f t="shared" si="272"/>
        <v>#N/A</v>
      </c>
      <c r="AY75" s="74" t="e">
        <f t="shared" si="273"/>
        <v>#N/A</v>
      </c>
      <c r="AZ75" s="45"/>
      <c r="BA75" s="45"/>
      <c r="BB75" s="45"/>
      <c r="BC75" s="45"/>
      <c r="BD75" s="196"/>
      <c r="BE75" s="182"/>
      <c r="BF75" s="69" t="str">
        <f t="shared" si="155"/>
        <v/>
      </c>
      <c r="BG75" s="69" t="str">
        <f t="shared" si="156"/>
        <v/>
      </c>
      <c r="BH75" s="69" t="str">
        <f t="shared" si="157"/>
        <v/>
      </c>
      <c r="BI75" s="39" t="str">
        <f t="shared" si="158"/>
        <v/>
      </c>
      <c r="BJ75" s="95" t="str">
        <f t="shared" si="274"/>
        <v/>
      </c>
      <c r="BO75" s="176"/>
      <c r="BP75" s="158" t="str">
        <f t="shared" si="275"/>
        <v/>
      </c>
      <c r="BQ75" s="158" t="str">
        <f t="shared" si="276"/>
        <v/>
      </c>
      <c r="BR75" s="158" t="str">
        <f t="shared" si="277"/>
        <v/>
      </c>
      <c r="BS75" s="158" t="str">
        <f>IF(AND(Sufficient_data="Yes",Include_study?="Yes"),IF(Add_0_5="Yes",(a_+d_+1)*(ab_+0.5)*(c_+0.5)/(Number_of_subjects+2)^2,(a_+d_)*b_*c_/Number_of_subjects^2),"")</f>
        <v/>
      </c>
      <c r="BT75" s="158" t="str">
        <f t="shared" si="278"/>
        <v/>
      </c>
      <c r="BU75" s="158" t="str">
        <f t="shared" si="279"/>
        <v/>
      </c>
      <c r="BV75" s="158" t="str">
        <f t="shared" si="280"/>
        <v/>
      </c>
      <c r="BW75" s="69" t="str">
        <f t="shared" si="166"/>
        <v/>
      </c>
      <c r="BX75" s="137" t="str">
        <f t="shared" si="167"/>
        <v/>
      </c>
      <c r="BY75" s="95" t="str">
        <f t="shared" si="281"/>
        <v/>
      </c>
      <c r="CD75" s="176"/>
      <c r="CE75" s="130" t="str">
        <f t="shared" si="282"/>
        <v/>
      </c>
      <c r="CF75" s="39" t="str">
        <f t="shared" si="283"/>
        <v/>
      </c>
      <c r="CG75" s="39" t="str">
        <f t="shared" si="284"/>
        <v/>
      </c>
      <c r="CH75" s="39" t="str">
        <f t="shared" si="285"/>
        <v/>
      </c>
      <c r="CI75" s="39" t="str">
        <f t="shared" si="286"/>
        <v/>
      </c>
      <c r="CJ75" s="39" t="str">
        <f t="shared" si="287"/>
        <v/>
      </c>
      <c r="CK75" s="95" t="str">
        <f t="shared" si="288"/>
        <v/>
      </c>
      <c r="CP75" s="176"/>
      <c r="CQ75" s="99" t="str">
        <f t="shared" si="175"/>
        <v/>
      </c>
      <c r="CX75" s="196"/>
      <c r="CY75" s="89" t="e">
        <f t="shared" si="289"/>
        <v>#N/A</v>
      </c>
      <c r="CZ75" s="136" t="str">
        <f t="shared" si="290"/>
        <v/>
      </c>
      <c r="DA75" s="140" t="str">
        <f t="shared" si="291"/>
        <v/>
      </c>
      <c r="DB75" s="39" t="str">
        <f t="shared" si="292"/>
        <v/>
      </c>
      <c r="DC75" s="39" t="str">
        <f t="shared" si="293"/>
        <v/>
      </c>
      <c r="DD75" s="39" t="str">
        <f t="shared" si="294"/>
        <v/>
      </c>
      <c r="DE75" s="39" t="str">
        <f t="shared" si="295"/>
        <v/>
      </c>
      <c r="DF75" s="141" t="str">
        <f t="shared" si="296"/>
        <v/>
      </c>
      <c r="DG75" s="39" t="str">
        <f t="shared" si="297"/>
        <v/>
      </c>
      <c r="DH75" s="39" t="str">
        <f t="shared" si="298"/>
        <v/>
      </c>
      <c r="DI75" s="39" t="str">
        <f t="shared" si="299"/>
        <v/>
      </c>
      <c r="DJ75" s="74" t="str">
        <f t="shared" si="300"/>
        <v/>
      </c>
      <c r="DK75" s="45"/>
      <c r="DL75" s="84" t="e">
        <f t="shared" si="222"/>
        <v>#N/A</v>
      </c>
      <c r="DM75" s="39" t="e">
        <f t="shared" si="301"/>
        <v>#N/A</v>
      </c>
      <c r="DN75" s="74" t="e">
        <f t="shared" si="302"/>
        <v>#N/A</v>
      </c>
      <c r="DO75" s="45"/>
      <c r="DP75" s="89" t="str">
        <f t="shared" si="326"/>
        <v/>
      </c>
      <c r="DQ75" s="26" t="str">
        <f>IF(AND(Sufficient_data="Yes",Subgroup&lt;&gt;""),IF(COUNTIFS(Input!J$2:J74,"="&amp;"Yes",Input!C$2:C74,"="&amp;"Yes",Input!K$2:K74,"="&amp;Subgroup)&gt;0,"",Subgroup),"")</f>
        <v/>
      </c>
      <c r="DR75" s="7" t="str">
        <f t="shared" si="327"/>
        <v/>
      </c>
      <c r="DS75" s="7" t="str">
        <f t="shared" si="303"/>
        <v/>
      </c>
      <c r="DT75" s="19" t="str">
        <f t="shared" si="304"/>
        <v/>
      </c>
      <c r="DU75" s="12" t="str">
        <f t="shared" si="223"/>
        <v/>
      </c>
      <c r="DV75" s="11" t="str">
        <f t="shared" si="224"/>
        <v/>
      </c>
      <c r="DW75" s="12" t="str">
        <f t="shared" si="225"/>
        <v/>
      </c>
      <c r="DX75" s="12" t="str">
        <f t="shared" si="305"/>
        <v/>
      </c>
      <c r="DY75" s="19" t="str">
        <f t="shared" si="226"/>
        <v/>
      </c>
      <c r="DZ75" s="12" t="str">
        <f t="shared" si="227"/>
        <v/>
      </c>
      <c r="EA75" s="19" t="str">
        <f t="shared" si="306"/>
        <v/>
      </c>
      <c r="EB75" s="7" t="str">
        <f t="shared" si="307"/>
        <v/>
      </c>
      <c r="EC75" s="19" t="str">
        <f t="shared" si="308"/>
        <v/>
      </c>
      <c r="ED75" s="19" t="str">
        <f t="shared" si="309"/>
        <v/>
      </c>
      <c r="EE75" s="19" t="str">
        <f t="shared" si="228"/>
        <v/>
      </c>
      <c r="EF75" s="19" t="str">
        <f t="shared" si="229"/>
        <v/>
      </c>
      <c r="EG75" s="19" t="str">
        <f t="shared" si="230"/>
        <v/>
      </c>
      <c r="EH75" s="19" t="str">
        <f t="shared" si="231"/>
        <v/>
      </c>
      <c r="EI75" s="19" t="str">
        <f t="shared" si="232"/>
        <v/>
      </c>
      <c r="EJ75" s="19" t="str">
        <f t="shared" si="310"/>
        <v/>
      </c>
      <c r="EK75" s="19" t="str">
        <f t="shared" si="311"/>
        <v/>
      </c>
      <c r="EL75" s="19" t="str">
        <f t="shared" si="233"/>
        <v/>
      </c>
      <c r="EM75" s="19" t="str">
        <f t="shared" si="234"/>
        <v/>
      </c>
      <c r="EN75" s="19" t="str">
        <f t="shared" si="235"/>
        <v/>
      </c>
      <c r="EO75" s="19" t="str">
        <f t="shared" si="236"/>
        <v/>
      </c>
      <c r="EP75" s="19" t="str">
        <f t="shared" si="237"/>
        <v/>
      </c>
      <c r="EQ75" s="19" t="e">
        <f t="shared" si="238"/>
        <v>#N/A</v>
      </c>
      <c r="ER75" s="11" t="str">
        <f t="shared" si="328"/>
        <v/>
      </c>
      <c r="ES75" s="19" t="str">
        <f t="shared" si="329"/>
        <v/>
      </c>
      <c r="ET75" s="156" t="str">
        <f t="shared" si="312"/>
        <v/>
      </c>
      <c r="EU75" s="39" t="str">
        <f t="shared" si="239"/>
        <v/>
      </c>
      <c r="EV75" s="74" t="str">
        <f t="shared" si="313"/>
        <v/>
      </c>
      <c r="FA75" s="196"/>
      <c r="FB75" s="84" t="e">
        <f>IF(AND(Include_study?="Yes",Sufficient_data="Yes",Moderator&lt;&gt;""),'Moderator Analysis'!E75,NA())</f>
        <v>#N/A</v>
      </c>
      <c r="FC75" s="39" t="e">
        <f>IF(AND(Include_study?="Yes",Sufficient_data="Yes",Moderator&lt;&gt;""),'Moderator Analysis'!F75,NA())</f>
        <v>#N/A</v>
      </c>
      <c r="FD75" s="39" t="str">
        <f t="shared" si="314"/>
        <v/>
      </c>
      <c r="FE75" s="39" t="str">
        <f t="shared" si="315"/>
        <v/>
      </c>
      <c r="FF75" s="39" t="str">
        <f>IF(AND(Include_study?="Yes",Sufficient_data="Yes",Moderator&lt;&gt;""),'Moderator Analysis'!F:F-FP$2,"")</f>
        <v/>
      </c>
      <c r="FG75" s="39" t="str">
        <f>IF(AND(Include_study?="Yes",Sufficient_data="Yes",Moderator&lt;&gt;""),'Moderator Analysis'!E:E-FP$3,"")</f>
        <v/>
      </c>
      <c r="FH75" s="74" t="str">
        <f>IF(AND(Include_study?="Yes",Sufficient_data="Yes",Moderator&lt;&gt;""),FE:FE*('Moderator Analysis'!F:F-FP$5-FP$4*'Moderator Analysis'!E:E)^2,"")</f>
        <v/>
      </c>
      <c r="FI75" s="128"/>
      <c r="FJ75" s="92" t="str">
        <f t="shared" si="316"/>
        <v/>
      </c>
      <c r="FK75" s="137" t="str">
        <f>IF(AND(Include_study?="Yes",Sufficient_data="Yes",Moderator&lt;&gt;""),'Moderator Analysis'!F:F-'Moderator Analysis'!J$37,"")</f>
        <v/>
      </c>
      <c r="FL75" s="137" t="str">
        <f>IF(AND(Include_study?="Yes",Sufficient_data="Yes",Moderator&lt;&gt;""),'Moderator Analysis'!E:E-SUMPRODUCT('Moderator Analysis'!E:E,FJ:FJ)/SUM(FJ:FJ),"")</f>
        <v/>
      </c>
      <c r="FM75" s="95" t="str">
        <f>IF(AND(Include_study?="Yes",Sufficient_data="Yes",Moderator&lt;&gt;""),FJ:FJ*('Moderator Analysis'!F:F-'Moderator Analysis'!J$29-'Moderator Analysis'!J$30*'Moderator Analysis'!E:E)^2,"")</f>
        <v/>
      </c>
      <c r="FR75" s="196"/>
      <c r="FS75" s="182"/>
      <c r="FT7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5" s="39" t="str">
        <f>IF(AND(Include_study?="Yes",Sufficient_data="Yes"),1/('Publication Bias Analysis'!F:F^2+IF(Additional_model="Fixed effect",0,Calculations!GH$12)),"")</f>
        <v/>
      </c>
      <c r="FV75" s="39" t="str">
        <f>IF(AND(Include_study?="Yes",Sufficient_data="Yes"),1/('Publication Bias Analysis'!F:F^2+IF(Additional_model="Fixed effect",0,'Publication Bias Analysis'!L$32)),"")</f>
        <v/>
      </c>
      <c r="FW75" s="39" t="str">
        <f>IF(AND(Include_study?="Yes",Sufficient_data="Yes"),'Publication Bias Analysis'!E:E-'Publication Bias Analysis'!I$37,"")</f>
        <v/>
      </c>
      <c r="FX75" s="39" t="str">
        <f>IF(AND(Include_study?="Yes",Sufficient_data="Yes"),IF(Additional_model="Fixed effect",1/'Publication Bias Analysis'!F:F,1/SQRT('Publication Bias Analysis'!F:F^2+GH$12)),"")</f>
        <v/>
      </c>
      <c r="FY7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5" s="136" t="str">
        <f t="shared" si="317"/>
        <v/>
      </c>
      <c r="GA75" s="144" t="str">
        <f>IF(AND(Include_study?="Yes",Sufficient_data="Yes"),FZ:FZ+IF(GL:GL&lt;0,-1,1)*COUNTIF(FZ$2:FZ74,FZ:FZ),"")</f>
        <v/>
      </c>
      <c r="GB75" s="144" t="str">
        <f>IF(AND(Include_study?="Yes",Sufficient_data="Yes"),RANK(GP:GP,GP:GP,1)*IF(GO:GO&lt;0,-1,1)+IF(GO:GO&lt;0,-1,1)*COUNTIF(FZ$2:FZ74,FZ:FZ),"")</f>
        <v/>
      </c>
      <c r="GC75" s="144" t="str">
        <f>IF(AND(Include_study?="Yes",Sufficient_data="Yes"),RANK(GS:GS,GS:GS,1)*IF(GR:GR&lt;0,-1,1)+IF(GR:GR&lt;0,-1,1)*COUNTIF(FZ$2:FZ74,FZ:FZ),"")</f>
        <v/>
      </c>
      <c r="GD75" s="39" t="e">
        <f>IF(AND(Include_study?="Yes",Sufficient_data="Yes"),'Publication Bias Analysis'!E75,NA())</f>
        <v>#N/A</v>
      </c>
      <c r="GE75" s="74" t="e">
        <f>IF(AND(Include_study?="Yes",Sufficient_data="Yes"),'Publication Bias Analysis'!F75,NA())</f>
        <v>#N/A</v>
      </c>
      <c r="GK75" s="176"/>
      <c r="GL7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5" s="39" t="str">
        <f t="shared" si="318"/>
        <v/>
      </c>
      <c r="GN7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5" s="39" t="str">
        <f>IF(AND(Include_study?="Yes",Sufficient_data="Yes"),IF('Publication Bias Analysis'!L$38="Left",'Publication Bias Analysis'!E:E-GW$3,GW$3-'Publication Bias Analysis'!E:E),"")</f>
        <v/>
      </c>
      <c r="GP75" s="39" t="str">
        <f t="shared" si="330"/>
        <v/>
      </c>
      <c r="GQ7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5" s="39" t="str">
        <f>IF(AND(Include_study?="Yes",Sufficient_data="Yes"),IF('Publication Bias Analysis'!L$38="Left",'Publication Bias Analysis'!E:E-GW$10,GW$10-'Publication Bias Analysis'!E:E),"")</f>
        <v/>
      </c>
      <c r="GS75" s="39" t="str">
        <f t="shared" si="331"/>
        <v/>
      </c>
      <c r="GT7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5" s="176"/>
      <c r="HL75" s="69" t="str">
        <f t="shared" si="319"/>
        <v/>
      </c>
      <c r="HM75" s="74" t="str">
        <f>IF(AND(Include_study?="Yes",Sufficient_data="Yes"),Z_score-('Publication Bias Analysis'!P$3+'Publication Bias Analysis'!P$4*Inverse_standard_error),"")</f>
        <v/>
      </c>
      <c r="HO75" s="176"/>
      <c r="HP75" s="69" t="str">
        <f>IF(AND(Include_study?="Yes",Sufficient_data="Yes"),(GD:GD-SUMPRODUCT(Calculations!FT:FT,'Publication Bias Analysis'!E:E)/SUM(Calculations!FT:FT))/SQRT(Calculations!HQ:HQ),"")</f>
        <v/>
      </c>
      <c r="HQ75" s="69" t="str">
        <f>IF(AND(Include_study?="Yes",Sufficient_data="Yes"),GE:GE^2-1/SUM(Calculations!FT:FT),"")</f>
        <v/>
      </c>
      <c r="HR75" s="7" t="str">
        <f t="shared" si="240"/>
        <v/>
      </c>
      <c r="HS75" s="7" t="str">
        <f t="shared" si="241"/>
        <v/>
      </c>
      <c r="HT75" s="7" t="str">
        <f>IF(AND(Include_study?="Yes",Sufficient_data="Yes"),COUNTIFS(HR$2:HR74,"&lt;"&amp;HR75,HS$2:HS74,"&lt;"&amp;HS75)+COUNTIFS(HR76:HR$201,"&lt;"&amp;HR75,HS76:HS$201,"&lt;"&amp;HS75)+COUNTIFS(HR$2:HR74,"&gt;"&amp;HR75,HS$2:HS74,"&gt;"&amp;HS75)+COUNTIFS(HR76:HR$201,"&gt;"&amp;HR75,HS76:HS$201,"&gt;"&amp;HS75),"")</f>
        <v/>
      </c>
      <c r="HU75" s="104" t="str">
        <f>IF(AND(Include_study?="Yes",Sufficient_data="Yes"),COUNTIFS(HR$2:HR74,"&lt;"&amp;HR75,HS$2:HS74,"&gt;"&amp;HS75)+COUNTIFS(HR76:HR$201,"&lt;"&amp;HR75,HS76:HS$201,"&gt;"&amp;HS75)+COUNTIFS(HR$2:HR74,"&gt;"&amp;HR75,HS$2:HS74,"&lt;"&amp;HS75)+COUNTIFS(HR76:HR$201,"&gt;"&amp;HR75,HS76:HS$201,"&lt;"&amp;HS75),"")</f>
        <v/>
      </c>
      <c r="HW75" s="176"/>
      <c r="IB75" s="176"/>
      <c r="IC75" s="146" t="e">
        <f t="shared" si="320"/>
        <v>#N/A</v>
      </c>
      <c r="ID75" s="137" t="e">
        <f t="shared" si="321"/>
        <v>#N/A</v>
      </c>
      <c r="IE75" s="137" t="str">
        <f t="shared" si="322"/>
        <v/>
      </c>
      <c r="IF75" s="95" t="str">
        <f t="shared" si="323"/>
        <v/>
      </c>
      <c r="IK75" s="176"/>
      <c r="IL75" s="69" t="e">
        <f>IF(AND(Include_study?="Yes",Sufficient_data="Yes"),'Publication Bias Analysis'!AV:AV,NA())</f>
        <v>#N/A</v>
      </c>
      <c r="IM75" s="158" t="e">
        <f>IF(AND(Sufficient_data="Yes",Include_study?="Yes"),'Publication Bias Analysis'!AU:AU,NA())</f>
        <v>#N/A</v>
      </c>
      <c r="IN75" s="69" t="str">
        <f t="shared" si="219"/>
        <v/>
      </c>
      <c r="IO75" s="74" t="str">
        <f>IF(AND(Include_study?="Yes",Sufficient_data="Yes"),Z_score-('Publication Bias Analysis'!AY$30+'Publication Bias Analysis'!AY$31*Inverse_standard_error),"")</f>
        <v/>
      </c>
      <c r="IU75" s="176"/>
      <c r="IV75" s="7" t="str">
        <f>IF('Publication Bias Analysis'!BG:BG&lt;&gt;"",RANK('Publication Bias Analysis'!BG:BG,'Publication Bias Analysis'!BG:BG,1)+COUNTIF('Publication Bias Analysis'!BG$2:BG74,'Publication Bias Analysis'!BG75),"")</f>
        <v/>
      </c>
      <c r="IW75" s="124" t="str">
        <f t="shared" si="324"/>
        <v/>
      </c>
      <c r="IX75" s="125" t="e">
        <f>IF('Publication Bias Analysis'!BF75&lt;&gt;"",'Publication Bias Analysis'!BF75,NA())</f>
        <v>#N/A</v>
      </c>
      <c r="IY75" s="125" t="e">
        <f>IF('Publication Bias Analysis'!BG75&lt;&gt;"",'Publication Bias Analysis'!BG75,NA())</f>
        <v>#N/A</v>
      </c>
      <c r="IZ75" s="69" t="str">
        <f>IF(AND(Include_study?="Yes",Sufficient_data="Yes"),'Publication Bias Analysis'!BF:BF-AVERAGE('Publication Bias Analysis'!BF:BF),"")</f>
        <v/>
      </c>
      <c r="JA75" s="74" t="str">
        <f>IF(AND(Include_study?="Yes",Sufficient_data="Yes"),'Publication Bias Analysis'!BG:BG-('Publication Bias Analysis'!BJ$30+'Publication Bias Analysis'!BJ$31*'Publication Bias Analysis'!BF:BF),"")</f>
        <v/>
      </c>
      <c r="JG75" s="176"/>
      <c r="JH75" s="39" t="str">
        <f t="shared" si="325"/>
        <v/>
      </c>
      <c r="JI75" s="148" t="str">
        <f t="shared" si="332"/>
        <v/>
      </c>
      <c r="JJ75" s="74" t="str">
        <f t="shared" si="333"/>
        <v/>
      </c>
    </row>
    <row r="76" spans="1:270" x14ac:dyDescent="0.2">
      <c r="A76" s="56" t="str">
        <f t="shared" si="126"/>
        <v/>
      </c>
      <c r="B76" s="7" t="str">
        <f>IF(AND(Include_study?="Yes",Sufficient_data="Yes"),IF(Input!a_&lt;&gt;"",Input!a_,Input!n1_-Input!b_),"")</f>
        <v/>
      </c>
      <c r="C76" s="7" t="str">
        <f>IF(AND(Include_study?="Yes",Sufficient_data="Yes"),IF(Input!b_&lt;&gt;"",Input!b_,Input!n1_-Input!a_),"")</f>
        <v/>
      </c>
      <c r="D76" s="7" t="str">
        <f>IF(AND(Include_study?="Yes",Sufficient_data="Yes"),IF(Input!c_&lt;&gt;"",Input!c_,Input!n2_-Input!d_),"")</f>
        <v/>
      </c>
      <c r="E76" s="7" t="str">
        <f>IF(AND(Include_study?="Yes",Sufficient_data="Yes"),IF(Input!d_&lt;&gt;"",Input!d_,Input!n2_-Input!c_),"")</f>
        <v/>
      </c>
      <c r="F76" s="74" t="str">
        <f t="shared" si="244"/>
        <v/>
      </c>
      <c r="H76" s="196"/>
      <c r="I76" s="182"/>
      <c r="J76" s="146" t="str">
        <f t="shared" si="245"/>
        <v/>
      </c>
      <c r="K76" s="39" t="str">
        <f t="shared" si="246"/>
        <v/>
      </c>
      <c r="L76" s="39" t="str">
        <f t="shared" si="247"/>
        <v/>
      </c>
      <c r="M76" s="39" t="str">
        <f t="shared" si="248"/>
        <v/>
      </c>
      <c r="N76" s="74" t="str">
        <f t="shared" si="249"/>
        <v/>
      </c>
      <c r="P76" s="176"/>
      <c r="Q76" s="130" t="str">
        <f t="shared" si="250"/>
        <v/>
      </c>
      <c r="R76" s="39" t="str">
        <f t="shared" si="251"/>
        <v/>
      </c>
      <c r="S76" s="39" t="str">
        <f t="shared" si="252"/>
        <v/>
      </c>
      <c r="T76" s="74" t="str">
        <f t="shared" si="253"/>
        <v/>
      </c>
      <c r="V76" s="176"/>
      <c r="W76" s="130" t="str">
        <f t="shared" si="254"/>
        <v/>
      </c>
      <c r="X76" s="39" t="str">
        <f t="shared" si="255"/>
        <v/>
      </c>
      <c r="Y76" s="39" t="str">
        <f t="shared" si="256"/>
        <v/>
      </c>
      <c r="Z76" s="74" t="str">
        <f t="shared" si="257"/>
        <v/>
      </c>
      <c r="AB76" s="176"/>
      <c r="AC76" s="130" t="str">
        <f t="shared" si="258"/>
        <v/>
      </c>
      <c r="AD76" s="39" t="str">
        <f t="shared" si="259"/>
        <v/>
      </c>
      <c r="AE76" s="39" t="str">
        <f t="shared" si="260"/>
        <v/>
      </c>
      <c r="AF76" s="39" t="str">
        <f t="shared" si="261"/>
        <v/>
      </c>
      <c r="AG76" s="74" t="str">
        <f t="shared" si="262"/>
        <v/>
      </c>
      <c r="AI76" s="196"/>
      <c r="AJ7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6" s="136" t="str">
        <f>IF(AJ76&lt;&gt;"",IF(AJ76=0,COUNTIF(AJ$2:AJ75,0)+1,COUNTIF(AJ$2:AJ75,AJ76)+AJ76+COUNTIF(AJ:AJ,0)),"")</f>
        <v/>
      </c>
      <c r="AL76" s="136" t="str">
        <f t="shared" si="263"/>
        <v/>
      </c>
      <c r="AM76" s="155" t="str">
        <f>IF(AND(Include_study?="Yes",Sufficient_data="Yes",Input!Study_name&lt;&gt;""),Input!Study_name,"")</f>
        <v/>
      </c>
      <c r="AN76" s="136" t="str">
        <f t="shared" si="264"/>
        <v/>
      </c>
      <c r="AO76" s="19" t="str">
        <f t="shared" si="265"/>
        <v/>
      </c>
      <c r="AP76" s="158" t="str">
        <f t="shared" si="266"/>
        <v/>
      </c>
      <c r="AQ76" s="158" t="str">
        <f t="shared" si="267"/>
        <v/>
      </c>
      <c r="AR76" s="39" t="str">
        <f t="shared" si="268"/>
        <v/>
      </c>
      <c r="AS76" s="158" t="str">
        <f t="shared" si="269"/>
        <v/>
      </c>
      <c r="AT76" s="39" t="str">
        <f t="shared" si="270"/>
        <v/>
      </c>
      <c r="AU76" s="172" t="str">
        <f t="shared" si="271"/>
        <v/>
      </c>
      <c r="AV76" s="45"/>
      <c r="AW76" s="84" t="e">
        <f t="shared" si="152"/>
        <v>#N/A</v>
      </c>
      <c r="AX76" s="69" t="e">
        <f t="shared" si="272"/>
        <v>#N/A</v>
      </c>
      <c r="AY76" s="74" t="e">
        <f t="shared" si="273"/>
        <v>#N/A</v>
      </c>
      <c r="AZ76" s="45"/>
      <c r="BA76" s="45"/>
      <c r="BB76" s="45"/>
      <c r="BC76" s="45"/>
      <c r="BD76" s="196"/>
      <c r="BE76" s="182"/>
      <c r="BF76" s="69" t="str">
        <f t="shared" si="155"/>
        <v/>
      </c>
      <c r="BG76" s="69" t="str">
        <f t="shared" si="156"/>
        <v/>
      </c>
      <c r="BH76" s="69" t="str">
        <f t="shared" si="157"/>
        <v/>
      </c>
      <c r="BI76" s="39" t="str">
        <f t="shared" si="158"/>
        <v/>
      </c>
      <c r="BJ76" s="95" t="str">
        <f t="shared" si="274"/>
        <v/>
      </c>
      <c r="BO76" s="176"/>
      <c r="BP76" s="158" t="str">
        <f t="shared" si="275"/>
        <v/>
      </c>
      <c r="BQ76" s="158" t="str">
        <f t="shared" si="276"/>
        <v/>
      </c>
      <c r="BR76" s="158" t="str">
        <f t="shared" si="277"/>
        <v/>
      </c>
      <c r="BS76" s="158" t="str">
        <f>IF(AND(Sufficient_data="Yes",Include_study?="Yes"),IF(Add_0_5="Yes",(a_+d_+1)*(ab_+0.5)*(c_+0.5)/(Number_of_subjects+2)^2,(a_+d_)*b_*c_/Number_of_subjects^2),"")</f>
        <v/>
      </c>
      <c r="BT76" s="158" t="str">
        <f t="shared" si="278"/>
        <v/>
      </c>
      <c r="BU76" s="158" t="str">
        <f t="shared" si="279"/>
        <v/>
      </c>
      <c r="BV76" s="158" t="str">
        <f t="shared" si="280"/>
        <v/>
      </c>
      <c r="BW76" s="69" t="str">
        <f t="shared" si="166"/>
        <v/>
      </c>
      <c r="BX76" s="137" t="str">
        <f t="shared" si="167"/>
        <v/>
      </c>
      <c r="BY76" s="95" t="str">
        <f t="shared" si="281"/>
        <v/>
      </c>
      <c r="CD76" s="176"/>
      <c r="CE76" s="130" t="str">
        <f t="shared" si="282"/>
        <v/>
      </c>
      <c r="CF76" s="39" t="str">
        <f t="shared" si="283"/>
        <v/>
      </c>
      <c r="CG76" s="39" t="str">
        <f t="shared" si="284"/>
        <v/>
      </c>
      <c r="CH76" s="39" t="str">
        <f t="shared" si="285"/>
        <v/>
      </c>
      <c r="CI76" s="39" t="str">
        <f t="shared" si="286"/>
        <v/>
      </c>
      <c r="CJ76" s="39" t="str">
        <f t="shared" si="287"/>
        <v/>
      </c>
      <c r="CK76" s="95" t="str">
        <f t="shared" si="288"/>
        <v/>
      </c>
      <c r="CP76" s="176"/>
      <c r="CQ76" s="99" t="str">
        <f t="shared" si="175"/>
        <v/>
      </c>
      <c r="CX76" s="196"/>
      <c r="CY76" s="89" t="e">
        <f t="shared" si="289"/>
        <v>#N/A</v>
      </c>
      <c r="CZ76" s="136" t="str">
        <f t="shared" si="290"/>
        <v/>
      </c>
      <c r="DA76" s="140" t="str">
        <f t="shared" si="291"/>
        <v/>
      </c>
      <c r="DB76" s="39" t="str">
        <f t="shared" si="292"/>
        <v/>
      </c>
      <c r="DC76" s="39" t="str">
        <f t="shared" si="293"/>
        <v/>
      </c>
      <c r="DD76" s="39" t="str">
        <f t="shared" si="294"/>
        <v/>
      </c>
      <c r="DE76" s="39" t="str">
        <f t="shared" si="295"/>
        <v/>
      </c>
      <c r="DF76" s="141" t="str">
        <f t="shared" si="296"/>
        <v/>
      </c>
      <c r="DG76" s="39" t="str">
        <f t="shared" si="297"/>
        <v/>
      </c>
      <c r="DH76" s="39" t="str">
        <f t="shared" si="298"/>
        <v/>
      </c>
      <c r="DI76" s="39" t="str">
        <f t="shared" si="299"/>
        <v/>
      </c>
      <c r="DJ76" s="74" t="str">
        <f t="shared" si="300"/>
        <v/>
      </c>
      <c r="DK76" s="45"/>
      <c r="DL76" s="84" t="e">
        <f t="shared" si="222"/>
        <v>#N/A</v>
      </c>
      <c r="DM76" s="39" t="e">
        <f t="shared" si="301"/>
        <v>#N/A</v>
      </c>
      <c r="DN76" s="74" t="e">
        <f t="shared" si="302"/>
        <v>#N/A</v>
      </c>
      <c r="DO76" s="45"/>
      <c r="DP76" s="89" t="str">
        <f t="shared" si="326"/>
        <v/>
      </c>
      <c r="DQ76" s="26" t="str">
        <f>IF(AND(Sufficient_data="Yes",Subgroup&lt;&gt;""),IF(COUNTIFS(Input!J$2:J75,"="&amp;"Yes",Input!C$2:C75,"="&amp;"Yes",Input!K$2:K75,"="&amp;Subgroup)&gt;0,"",Subgroup),"")</f>
        <v/>
      </c>
      <c r="DR76" s="7" t="str">
        <f t="shared" si="327"/>
        <v/>
      </c>
      <c r="DS76" s="7" t="str">
        <f t="shared" si="303"/>
        <v/>
      </c>
      <c r="DT76" s="19" t="str">
        <f t="shared" si="304"/>
        <v/>
      </c>
      <c r="DU76" s="12" t="str">
        <f t="shared" si="223"/>
        <v/>
      </c>
      <c r="DV76" s="11" t="str">
        <f t="shared" si="224"/>
        <v/>
      </c>
      <c r="DW76" s="12" t="str">
        <f t="shared" si="225"/>
        <v/>
      </c>
      <c r="DX76" s="12" t="str">
        <f t="shared" si="305"/>
        <v/>
      </c>
      <c r="DY76" s="19" t="str">
        <f t="shared" si="226"/>
        <v/>
      </c>
      <c r="DZ76" s="12" t="str">
        <f t="shared" si="227"/>
        <v/>
      </c>
      <c r="EA76" s="19" t="str">
        <f t="shared" si="306"/>
        <v/>
      </c>
      <c r="EB76" s="7" t="str">
        <f t="shared" si="307"/>
        <v/>
      </c>
      <c r="EC76" s="19" t="str">
        <f t="shared" si="308"/>
        <v/>
      </c>
      <c r="ED76" s="19" t="str">
        <f t="shared" si="309"/>
        <v/>
      </c>
      <c r="EE76" s="19" t="str">
        <f t="shared" si="228"/>
        <v/>
      </c>
      <c r="EF76" s="19" t="str">
        <f t="shared" si="229"/>
        <v/>
      </c>
      <c r="EG76" s="19" t="str">
        <f t="shared" si="230"/>
        <v/>
      </c>
      <c r="EH76" s="19" t="str">
        <f t="shared" si="231"/>
        <v/>
      </c>
      <c r="EI76" s="19" t="str">
        <f t="shared" si="232"/>
        <v/>
      </c>
      <c r="EJ76" s="19" t="str">
        <f t="shared" si="310"/>
        <v/>
      </c>
      <c r="EK76" s="19" t="str">
        <f t="shared" si="311"/>
        <v/>
      </c>
      <c r="EL76" s="19" t="str">
        <f t="shared" si="233"/>
        <v/>
      </c>
      <c r="EM76" s="19" t="str">
        <f t="shared" si="234"/>
        <v/>
      </c>
      <c r="EN76" s="19" t="str">
        <f t="shared" si="235"/>
        <v/>
      </c>
      <c r="EO76" s="19" t="str">
        <f t="shared" si="236"/>
        <v/>
      </c>
      <c r="EP76" s="19" t="str">
        <f t="shared" si="237"/>
        <v/>
      </c>
      <c r="EQ76" s="19" t="e">
        <f t="shared" si="238"/>
        <v>#N/A</v>
      </c>
      <c r="ER76" s="11" t="str">
        <f t="shared" si="328"/>
        <v/>
      </c>
      <c r="ES76" s="19" t="str">
        <f t="shared" si="329"/>
        <v/>
      </c>
      <c r="ET76" s="156" t="str">
        <f t="shared" si="312"/>
        <v/>
      </c>
      <c r="EU76" s="39" t="str">
        <f t="shared" si="239"/>
        <v/>
      </c>
      <c r="EV76" s="74" t="str">
        <f t="shared" si="313"/>
        <v/>
      </c>
      <c r="FA76" s="196"/>
      <c r="FB76" s="84" t="e">
        <f>IF(AND(Include_study?="Yes",Sufficient_data="Yes",Moderator&lt;&gt;""),'Moderator Analysis'!E76,NA())</f>
        <v>#N/A</v>
      </c>
      <c r="FC76" s="39" t="e">
        <f>IF(AND(Include_study?="Yes",Sufficient_data="Yes",Moderator&lt;&gt;""),'Moderator Analysis'!F76,NA())</f>
        <v>#N/A</v>
      </c>
      <c r="FD76" s="39" t="str">
        <f t="shared" si="314"/>
        <v/>
      </c>
      <c r="FE76" s="39" t="str">
        <f t="shared" si="315"/>
        <v/>
      </c>
      <c r="FF76" s="39" t="str">
        <f>IF(AND(Include_study?="Yes",Sufficient_data="Yes",Moderator&lt;&gt;""),'Moderator Analysis'!F:F-FP$2,"")</f>
        <v/>
      </c>
      <c r="FG76" s="39" t="str">
        <f>IF(AND(Include_study?="Yes",Sufficient_data="Yes",Moderator&lt;&gt;""),'Moderator Analysis'!E:E-FP$3,"")</f>
        <v/>
      </c>
      <c r="FH76" s="74" t="str">
        <f>IF(AND(Include_study?="Yes",Sufficient_data="Yes",Moderator&lt;&gt;""),FE:FE*('Moderator Analysis'!F:F-FP$5-FP$4*'Moderator Analysis'!E:E)^2,"")</f>
        <v/>
      </c>
      <c r="FI76" s="128"/>
      <c r="FJ76" s="92" t="str">
        <f t="shared" si="316"/>
        <v/>
      </c>
      <c r="FK76" s="137" t="str">
        <f>IF(AND(Include_study?="Yes",Sufficient_data="Yes",Moderator&lt;&gt;""),'Moderator Analysis'!F:F-'Moderator Analysis'!J$37,"")</f>
        <v/>
      </c>
      <c r="FL76" s="137" t="str">
        <f>IF(AND(Include_study?="Yes",Sufficient_data="Yes",Moderator&lt;&gt;""),'Moderator Analysis'!E:E-SUMPRODUCT('Moderator Analysis'!E:E,FJ:FJ)/SUM(FJ:FJ),"")</f>
        <v/>
      </c>
      <c r="FM76" s="95" t="str">
        <f>IF(AND(Include_study?="Yes",Sufficient_data="Yes",Moderator&lt;&gt;""),FJ:FJ*('Moderator Analysis'!F:F-'Moderator Analysis'!J$29-'Moderator Analysis'!J$30*'Moderator Analysis'!E:E)^2,"")</f>
        <v/>
      </c>
      <c r="FR76" s="196"/>
      <c r="FS76" s="182"/>
      <c r="FT7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6" s="39" t="str">
        <f>IF(AND(Include_study?="Yes",Sufficient_data="Yes"),1/('Publication Bias Analysis'!F:F^2+IF(Additional_model="Fixed effect",0,Calculations!GH$12)),"")</f>
        <v/>
      </c>
      <c r="FV76" s="39" t="str">
        <f>IF(AND(Include_study?="Yes",Sufficient_data="Yes"),1/('Publication Bias Analysis'!F:F^2+IF(Additional_model="Fixed effect",0,'Publication Bias Analysis'!L$32)),"")</f>
        <v/>
      </c>
      <c r="FW76" s="39" t="str">
        <f>IF(AND(Include_study?="Yes",Sufficient_data="Yes"),'Publication Bias Analysis'!E:E-'Publication Bias Analysis'!I$37,"")</f>
        <v/>
      </c>
      <c r="FX76" s="39" t="str">
        <f>IF(AND(Include_study?="Yes",Sufficient_data="Yes"),IF(Additional_model="Fixed effect",1/'Publication Bias Analysis'!F:F,1/SQRT('Publication Bias Analysis'!F:F^2+GH$12)),"")</f>
        <v/>
      </c>
      <c r="FY7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6" s="136" t="str">
        <f t="shared" si="317"/>
        <v/>
      </c>
      <c r="GA76" s="144" t="str">
        <f>IF(AND(Include_study?="Yes",Sufficient_data="Yes"),FZ:FZ+IF(GL:GL&lt;0,-1,1)*COUNTIF(FZ$2:FZ75,FZ:FZ),"")</f>
        <v/>
      </c>
      <c r="GB76" s="144" t="str">
        <f>IF(AND(Include_study?="Yes",Sufficient_data="Yes"),RANK(GP:GP,GP:GP,1)*IF(GO:GO&lt;0,-1,1)+IF(GO:GO&lt;0,-1,1)*COUNTIF(FZ$2:FZ75,FZ:FZ),"")</f>
        <v/>
      </c>
      <c r="GC76" s="144" t="str">
        <f>IF(AND(Include_study?="Yes",Sufficient_data="Yes"),RANK(GS:GS,GS:GS,1)*IF(GR:GR&lt;0,-1,1)+IF(GR:GR&lt;0,-1,1)*COUNTIF(FZ$2:FZ75,FZ:FZ),"")</f>
        <v/>
      </c>
      <c r="GD76" s="39" t="e">
        <f>IF(AND(Include_study?="Yes",Sufficient_data="Yes"),'Publication Bias Analysis'!E76,NA())</f>
        <v>#N/A</v>
      </c>
      <c r="GE76" s="74" t="e">
        <f>IF(AND(Include_study?="Yes",Sufficient_data="Yes"),'Publication Bias Analysis'!F76,NA())</f>
        <v>#N/A</v>
      </c>
      <c r="GK76" s="176"/>
      <c r="GL7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6" s="39" t="str">
        <f t="shared" si="318"/>
        <v/>
      </c>
      <c r="GN7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6" s="39" t="str">
        <f>IF(AND(Include_study?="Yes",Sufficient_data="Yes"),IF('Publication Bias Analysis'!L$38="Left",'Publication Bias Analysis'!E:E-GW$3,GW$3-'Publication Bias Analysis'!E:E),"")</f>
        <v/>
      </c>
      <c r="GP76" s="39" t="str">
        <f t="shared" si="330"/>
        <v/>
      </c>
      <c r="GQ7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6" s="39" t="str">
        <f>IF(AND(Include_study?="Yes",Sufficient_data="Yes"),IF('Publication Bias Analysis'!L$38="Left",'Publication Bias Analysis'!E:E-GW$10,GW$10-'Publication Bias Analysis'!E:E),"")</f>
        <v/>
      </c>
      <c r="GS76" s="39" t="str">
        <f t="shared" si="331"/>
        <v/>
      </c>
      <c r="GT7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6" s="176"/>
      <c r="HL76" s="69" t="str">
        <f t="shared" si="319"/>
        <v/>
      </c>
      <c r="HM76" s="74" t="str">
        <f>IF(AND(Include_study?="Yes",Sufficient_data="Yes"),Z_score-('Publication Bias Analysis'!P$3+'Publication Bias Analysis'!P$4*Inverse_standard_error),"")</f>
        <v/>
      </c>
      <c r="HO76" s="176"/>
      <c r="HP76" s="69" t="str">
        <f>IF(AND(Include_study?="Yes",Sufficient_data="Yes"),(GD:GD-SUMPRODUCT(Calculations!FT:FT,'Publication Bias Analysis'!E:E)/SUM(Calculations!FT:FT))/SQRT(Calculations!HQ:HQ),"")</f>
        <v/>
      </c>
      <c r="HQ76" s="69" t="str">
        <f>IF(AND(Include_study?="Yes",Sufficient_data="Yes"),GE:GE^2-1/SUM(Calculations!FT:FT),"")</f>
        <v/>
      </c>
      <c r="HR76" s="7" t="str">
        <f t="shared" si="240"/>
        <v/>
      </c>
      <c r="HS76" s="7" t="str">
        <f t="shared" si="241"/>
        <v/>
      </c>
      <c r="HT76" s="7" t="str">
        <f>IF(AND(Include_study?="Yes",Sufficient_data="Yes"),COUNTIFS(HR$2:HR75,"&lt;"&amp;HR76,HS$2:HS75,"&lt;"&amp;HS76)+COUNTIFS(HR77:HR$201,"&lt;"&amp;HR76,HS77:HS$201,"&lt;"&amp;HS76)+COUNTIFS(HR$2:HR75,"&gt;"&amp;HR76,HS$2:HS75,"&gt;"&amp;HS76)+COUNTIFS(HR77:HR$201,"&gt;"&amp;HR76,HS77:HS$201,"&gt;"&amp;HS76),"")</f>
        <v/>
      </c>
      <c r="HU76" s="104" t="str">
        <f>IF(AND(Include_study?="Yes",Sufficient_data="Yes"),COUNTIFS(HR$2:HR75,"&lt;"&amp;HR76,HS$2:HS75,"&gt;"&amp;HS76)+COUNTIFS(HR77:HR$201,"&lt;"&amp;HR76,HS77:HS$201,"&gt;"&amp;HS76)+COUNTIFS(HR$2:HR75,"&gt;"&amp;HR76,HS$2:HS75,"&lt;"&amp;HS76)+COUNTIFS(HR77:HR$201,"&gt;"&amp;HR76,HS77:HS$201,"&lt;"&amp;HS76),"")</f>
        <v/>
      </c>
      <c r="HW76" s="176"/>
      <c r="IB76" s="176"/>
      <c r="IC76" s="146" t="e">
        <f t="shared" si="320"/>
        <v>#N/A</v>
      </c>
      <c r="ID76" s="137" t="e">
        <f t="shared" si="321"/>
        <v>#N/A</v>
      </c>
      <c r="IE76" s="137" t="str">
        <f t="shared" si="322"/>
        <v/>
      </c>
      <c r="IF76" s="95" t="str">
        <f t="shared" si="323"/>
        <v/>
      </c>
      <c r="IK76" s="176"/>
      <c r="IL76" s="69" t="e">
        <f>IF(AND(Include_study?="Yes",Sufficient_data="Yes"),'Publication Bias Analysis'!AV:AV,NA())</f>
        <v>#N/A</v>
      </c>
      <c r="IM76" s="158" t="e">
        <f>IF(AND(Sufficient_data="Yes",Include_study?="Yes"),'Publication Bias Analysis'!AU:AU,NA())</f>
        <v>#N/A</v>
      </c>
      <c r="IN76" s="69" t="str">
        <f t="shared" si="219"/>
        <v/>
      </c>
      <c r="IO76" s="74" t="str">
        <f>IF(AND(Include_study?="Yes",Sufficient_data="Yes"),Z_score-('Publication Bias Analysis'!AY$30+'Publication Bias Analysis'!AY$31*Inverse_standard_error),"")</f>
        <v/>
      </c>
      <c r="IU76" s="176"/>
      <c r="IV76" s="7" t="str">
        <f>IF('Publication Bias Analysis'!BG:BG&lt;&gt;"",RANK('Publication Bias Analysis'!BG:BG,'Publication Bias Analysis'!BG:BG,1)+COUNTIF('Publication Bias Analysis'!BG$2:BG75,'Publication Bias Analysis'!BG76),"")</f>
        <v/>
      </c>
      <c r="IW76" s="124" t="str">
        <f t="shared" si="324"/>
        <v/>
      </c>
      <c r="IX76" s="125" t="e">
        <f>IF('Publication Bias Analysis'!BF76&lt;&gt;"",'Publication Bias Analysis'!BF76,NA())</f>
        <v>#N/A</v>
      </c>
      <c r="IY76" s="125" t="e">
        <f>IF('Publication Bias Analysis'!BG76&lt;&gt;"",'Publication Bias Analysis'!BG76,NA())</f>
        <v>#N/A</v>
      </c>
      <c r="IZ76" s="69" t="str">
        <f>IF(AND(Include_study?="Yes",Sufficient_data="Yes"),'Publication Bias Analysis'!BF:BF-AVERAGE('Publication Bias Analysis'!BF:BF),"")</f>
        <v/>
      </c>
      <c r="JA76" s="74" t="str">
        <f>IF(AND(Include_study?="Yes",Sufficient_data="Yes"),'Publication Bias Analysis'!BG:BG-('Publication Bias Analysis'!BJ$30+'Publication Bias Analysis'!BJ$31*'Publication Bias Analysis'!BF:BF),"")</f>
        <v/>
      </c>
      <c r="JG76" s="176"/>
      <c r="JH76" s="39" t="str">
        <f t="shared" si="325"/>
        <v/>
      </c>
      <c r="JI76" s="148" t="str">
        <f t="shared" si="332"/>
        <v/>
      </c>
      <c r="JJ76" s="74" t="str">
        <f t="shared" si="333"/>
        <v/>
      </c>
    </row>
    <row r="77" spans="1:270" x14ac:dyDescent="0.2">
      <c r="A77" s="56" t="str">
        <f t="shared" si="126"/>
        <v/>
      </c>
      <c r="B77" s="7" t="str">
        <f>IF(AND(Include_study?="Yes",Sufficient_data="Yes"),IF(Input!a_&lt;&gt;"",Input!a_,Input!n1_-Input!b_),"")</f>
        <v/>
      </c>
      <c r="C77" s="7" t="str">
        <f>IF(AND(Include_study?="Yes",Sufficient_data="Yes"),IF(Input!b_&lt;&gt;"",Input!b_,Input!n1_-Input!a_),"")</f>
        <v/>
      </c>
      <c r="D77" s="7" t="str">
        <f>IF(AND(Include_study?="Yes",Sufficient_data="Yes"),IF(Input!c_&lt;&gt;"",Input!c_,Input!n2_-Input!d_),"")</f>
        <v/>
      </c>
      <c r="E77" s="7" t="str">
        <f>IF(AND(Include_study?="Yes",Sufficient_data="Yes"),IF(Input!d_&lt;&gt;"",Input!d_,Input!n2_-Input!c_),"")</f>
        <v/>
      </c>
      <c r="F77" s="74" t="str">
        <f t="shared" si="244"/>
        <v/>
      </c>
      <c r="H77" s="196"/>
      <c r="I77" s="182"/>
      <c r="J77" s="146" t="str">
        <f t="shared" si="245"/>
        <v/>
      </c>
      <c r="K77" s="39" t="str">
        <f t="shared" si="246"/>
        <v/>
      </c>
      <c r="L77" s="39" t="str">
        <f t="shared" si="247"/>
        <v/>
      </c>
      <c r="M77" s="39" t="str">
        <f t="shared" si="248"/>
        <v/>
      </c>
      <c r="N77" s="74" t="str">
        <f t="shared" si="249"/>
        <v/>
      </c>
      <c r="P77" s="176"/>
      <c r="Q77" s="130" t="str">
        <f t="shared" si="250"/>
        <v/>
      </c>
      <c r="R77" s="39" t="str">
        <f t="shared" si="251"/>
        <v/>
      </c>
      <c r="S77" s="39" t="str">
        <f t="shared" si="252"/>
        <v/>
      </c>
      <c r="T77" s="74" t="str">
        <f t="shared" si="253"/>
        <v/>
      </c>
      <c r="V77" s="176"/>
      <c r="W77" s="130" t="str">
        <f t="shared" si="254"/>
        <v/>
      </c>
      <c r="X77" s="39" t="str">
        <f t="shared" si="255"/>
        <v/>
      </c>
      <c r="Y77" s="39" t="str">
        <f t="shared" si="256"/>
        <v/>
      </c>
      <c r="Z77" s="74" t="str">
        <f t="shared" si="257"/>
        <v/>
      </c>
      <c r="AB77" s="176"/>
      <c r="AC77" s="130" t="str">
        <f t="shared" si="258"/>
        <v/>
      </c>
      <c r="AD77" s="39" t="str">
        <f t="shared" si="259"/>
        <v/>
      </c>
      <c r="AE77" s="39" t="str">
        <f t="shared" si="260"/>
        <v/>
      </c>
      <c r="AF77" s="39" t="str">
        <f t="shared" si="261"/>
        <v/>
      </c>
      <c r="AG77" s="74" t="str">
        <f t="shared" si="262"/>
        <v/>
      </c>
      <c r="AI77" s="196"/>
      <c r="AJ7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7" s="136" t="str">
        <f>IF(AJ77&lt;&gt;"",IF(AJ77=0,COUNTIF(AJ$2:AJ76,0)+1,COUNTIF(AJ$2:AJ76,AJ77)+AJ77+COUNTIF(AJ:AJ,0)),"")</f>
        <v/>
      </c>
      <c r="AL77" s="136" t="str">
        <f t="shared" si="263"/>
        <v/>
      </c>
      <c r="AM77" s="155" t="str">
        <f>IF(AND(Include_study?="Yes",Sufficient_data="Yes",Input!Study_name&lt;&gt;""),Input!Study_name,"")</f>
        <v/>
      </c>
      <c r="AN77" s="136" t="str">
        <f t="shared" si="264"/>
        <v/>
      </c>
      <c r="AO77" s="19" t="str">
        <f t="shared" si="265"/>
        <v/>
      </c>
      <c r="AP77" s="158" t="str">
        <f t="shared" si="266"/>
        <v/>
      </c>
      <c r="AQ77" s="158" t="str">
        <f t="shared" si="267"/>
        <v/>
      </c>
      <c r="AR77" s="39" t="str">
        <f t="shared" si="268"/>
        <v/>
      </c>
      <c r="AS77" s="158" t="str">
        <f t="shared" si="269"/>
        <v/>
      </c>
      <c r="AT77" s="39" t="str">
        <f t="shared" si="270"/>
        <v/>
      </c>
      <c r="AU77" s="172" t="str">
        <f t="shared" si="271"/>
        <v/>
      </c>
      <c r="AV77" s="45"/>
      <c r="AW77" s="84" t="e">
        <f t="shared" si="152"/>
        <v>#N/A</v>
      </c>
      <c r="AX77" s="69" t="e">
        <f t="shared" si="272"/>
        <v>#N/A</v>
      </c>
      <c r="AY77" s="74" t="e">
        <f t="shared" si="273"/>
        <v>#N/A</v>
      </c>
      <c r="AZ77" s="45"/>
      <c r="BA77" s="45"/>
      <c r="BB77" s="45"/>
      <c r="BC77" s="45"/>
      <c r="BD77" s="196"/>
      <c r="BE77" s="182"/>
      <c r="BF77" s="69" t="str">
        <f t="shared" si="155"/>
        <v/>
      </c>
      <c r="BG77" s="69" t="str">
        <f t="shared" si="156"/>
        <v/>
      </c>
      <c r="BH77" s="69" t="str">
        <f t="shared" si="157"/>
        <v/>
      </c>
      <c r="BI77" s="39" t="str">
        <f t="shared" si="158"/>
        <v/>
      </c>
      <c r="BJ77" s="95" t="str">
        <f t="shared" si="274"/>
        <v/>
      </c>
      <c r="BO77" s="176"/>
      <c r="BP77" s="158" t="str">
        <f t="shared" si="275"/>
        <v/>
      </c>
      <c r="BQ77" s="158" t="str">
        <f t="shared" si="276"/>
        <v/>
      </c>
      <c r="BR77" s="158" t="str">
        <f t="shared" si="277"/>
        <v/>
      </c>
      <c r="BS77" s="158" t="str">
        <f>IF(AND(Sufficient_data="Yes",Include_study?="Yes"),IF(Add_0_5="Yes",(a_+d_+1)*(ab_+0.5)*(c_+0.5)/(Number_of_subjects+2)^2,(a_+d_)*b_*c_/Number_of_subjects^2),"")</f>
        <v/>
      </c>
      <c r="BT77" s="158" t="str">
        <f t="shared" si="278"/>
        <v/>
      </c>
      <c r="BU77" s="158" t="str">
        <f t="shared" si="279"/>
        <v/>
      </c>
      <c r="BV77" s="158" t="str">
        <f t="shared" si="280"/>
        <v/>
      </c>
      <c r="BW77" s="69" t="str">
        <f t="shared" si="166"/>
        <v/>
      </c>
      <c r="BX77" s="137" t="str">
        <f t="shared" si="167"/>
        <v/>
      </c>
      <c r="BY77" s="95" t="str">
        <f t="shared" si="281"/>
        <v/>
      </c>
      <c r="CD77" s="176"/>
      <c r="CE77" s="130" t="str">
        <f t="shared" si="282"/>
        <v/>
      </c>
      <c r="CF77" s="39" t="str">
        <f t="shared" si="283"/>
        <v/>
      </c>
      <c r="CG77" s="39" t="str">
        <f t="shared" si="284"/>
        <v/>
      </c>
      <c r="CH77" s="39" t="str">
        <f t="shared" si="285"/>
        <v/>
      </c>
      <c r="CI77" s="39" t="str">
        <f t="shared" si="286"/>
        <v/>
      </c>
      <c r="CJ77" s="39" t="str">
        <f t="shared" si="287"/>
        <v/>
      </c>
      <c r="CK77" s="95" t="str">
        <f t="shared" si="288"/>
        <v/>
      </c>
      <c r="CP77" s="176"/>
      <c r="CQ77" s="99" t="str">
        <f t="shared" si="175"/>
        <v/>
      </c>
      <c r="CX77" s="196"/>
      <c r="CY77" s="89" t="e">
        <f t="shared" si="289"/>
        <v>#N/A</v>
      </c>
      <c r="CZ77" s="136" t="str">
        <f t="shared" si="290"/>
        <v/>
      </c>
      <c r="DA77" s="140" t="str">
        <f t="shared" si="291"/>
        <v/>
      </c>
      <c r="DB77" s="39" t="str">
        <f t="shared" si="292"/>
        <v/>
      </c>
      <c r="DC77" s="39" t="str">
        <f t="shared" si="293"/>
        <v/>
      </c>
      <c r="DD77" s="39" t="str">
        <f t="shared" si="294"/>
        <v/>
      </c>
      <c r="DE77" s="39" t="str">
        <f t="shared" si="295"/>
        <v/>
      </c>
      <c r="DF77" s="141" t="str">
        <f t="shared" si="296"/>
        <v/>
      </c>
      <c r="DG77" s="39" t="str">
        <f t="shared" si="297"/>
        <v/>
      </c>
      <c r="DH77" s="39" t="str">
        <f t="shared" si="298"/>
        <v/>
      </c>
      <c r="DI77" s="39" t="str">
        <f t="shared" si="299"/>
        <v/>
      </c>
      <c r="DJ77" s="74" t="str">
        <f t="shared" si="300"/>
        <v/>
      </c>
      <c r="DK77" s="45"/>
      <c r="DL77" s="84" t="e">
        <f t="shared" si="222"/>
        <v>#N/A</v>
      </c>
      <c r="DM77" s="39" t="e">
        <f t="shared" si="301"/>
        <v>#N/A</v>
      </c>
      <c r="DN77" s="74" t="e">
        <f t="shared" si="302"/>
        <v>#N/A</v>
      </c>
      <c r="DO77" s="45"/>
      <c r="DP77" s="89" t="str">
        <f t="shared" si="326"/>
        <v/>
      </c>
      <c r="DQ77" s="26" t="str">
        <f>IF(AND(Sufficient_data="Yes",Subgroup&lt;&gt;""),IF(COUNTIFS(Input!J$2:J76,"="&amp;"Yes",Input!C$2:C76,"="&amp;"Yes",Input!K$2:K76,"="&amp;Subgroup)&gt;0,"",Subgroup),"")</f>
        <v/>
      </c>
      <c r="DR77" s="7" t="str">
        <f t="shared" si="327"/>
        <v/>
      </c>
      <c r="DS77" s="7" t="str">
        <f t="shared" si="303"/>
        <v/>
      </c>
      <c r="DT77" s="19" t="str">
        <f t="shared" si="304"/>
        <v/>
      </c>
      <c r="DU77" s="12" t="str">
        <f t="shared" si="223"/>
        <v/>
      </c>
      <c r="DV77" s="11" t="str">
        <f t="shared" si="224"/>
        <v/>
      </c>
      <c r="DW77" s="12" t="str">
        <f t="shared" si="225"/>
        <v/>
      </c>
      <c r="DX77" s="12" t="str">
        <f t="shared" si="305"/>
        <v/>
      </c>
      <c r="DY77" s="19" t="str">
        <f t="shared" si="226"/>
        <v/>
      </c>
      <c r="DZ77" s="12" t="str">
        <f t="shared" si="227"/>
        <v/>
      </c>
      <c r="EA77" s="19" t="str">
        <f t="shared" si="306"/>
        <v/>
      </c>
      <c r="EB77" s="7" t="str">
        <f t="shared" si="307"/>
        <v/>
      </c>
      <c r="EC77" s="19" t="str">
        <f t="shared" si="308"/>
        <v/>
      </c>
      <c r="ED77" s="19" t="str">
        <f t="shared" si="309"/>
        <v/>
      </c>
      <c r="EE77" s="19" t="str">
        <f t="shared" si="228"/>
        <v/>
      </c>
      <c r="EF77" s="19" t="str">
        <f t="shared" si="229"/>
        <v/>
      </c>
      <c r="EG77" s="19" t="str">
        <f t="shared" si="230"/>
        <v/>
      </c>
      <c r="EH77" s="19" t="str">
        <f t="shared" si="231"/>
        <v/>
      </c>
      <c r="EI77" s="19" t="str">
        <f t="shared" si="232"/>
        <v/>
      </c>
      <c r="EJ77" s="19" t="str">
        <f t="shared" si="310"/>
        <v/>
      </c>
      <c r="EK77" s="19" t="str">
        <f t="shared" si="311"/>
        <v/>
      </c>
      <c r="EL77" s="19" t="str">
        <f t="shared" si="233"/>
        <v/>
      </c>
      <c r="EM77" s="19" t="str">
        <f t="shared" si="234"/>
        <v/>
      </c>
      <c r="EN77" s="19" t="str">
        <f t="shared" si="235"/>
        <v/>
      </c>
      <c r="EO77" s="19" t="str">
        <f t="shared" si="236"/>
        <v/>
      </c>
      <c r="EP77" s="19" t="str">
        <f t="shared" si="237"/>
        <v/>
      </c>
      <c r="EQ77" s="19" t="e">
        <f t="shared" si="238"/>
        <v>#N/A</v>
      </c>
      <c r="ER77" s="11" t="str">
        <f t="shared" si="328"/>
        <v/>
      </c>
      <c r="ES77" s="19" t="str">
        <f t="shared" si="329"/>
        <v/>
      </c>
      <c r="ET77" s="156" t="str">
        <f t="shared" si="312"/>
        <v/>
      </c>
      <c r="EU77" s="39" t="str">
        <f t="shared" si="239"/>
        <v/>
      </c>
      <c r="EV77" s="74" t="str">
        <f t="shared" si="313"/>
        <v/>
      </c>
      <c r="FA77" s="196"/>
      <c r="FB77" s="84" t="e">
        <f>IF(AND(Include_study?="Yes",Sufficient_data="Yes",Moderator&lt;&gt;""),'Moderator Analysis'!E77,NA())</f>
        <v>#N/A</v>
      </c>
      <c r="FC77" s="39" t="e">
        <f>IF(AND(Include_study?="Yes",Sufficient_data="Yes",Moderator&lt;&gt;""),'Moderator Analysis'!F77,NA())</f>
        <v>#N/A</v>
      </c>
      <c r="FD77" s="39" t="str">
        <f t="shared" si="314"/>
        <v/>
      </c>
      <c r="FE77" s="39" t="str">
        <f t="shared" si="315"/>
        <v/>
      </c>
      <c r="FF77" s="39" t="str">
        <f>IF(AND(Include_study?="Yes",Sufficient_data="Yes",Moderator&lt;&gt;""),'Moderator Analysis'!F:F-FP$2,"")</f>
        <v/>
      </c>
      <c r="FG77" s="39" t="str">
        <f>IF(AND(Include_study?="Yes",Sufficient_data="Yes",Moderator&lt;&gt;""),'Moderator Analysis'!E:E-FP$3,"")</f>
        <v/>
      </c>
      <c r="FH77" s="74" t="str">
        <f>IF(AND(Include_study?="Yes",Sufficient_data="Yes",Moderator&lt;&gt;""),FE:FE*('Moderator Analysis'!F:F-FP$5-FP$4*'Moderator Analysis'!E:E)^2,"")</f>
        <v/>
      </c>
      <c r="FI77" s="128"/>
      <c r="FJ77" s="92" t="str">
        <f t="shared" si="316"/>
        <v/>
      </c>
      <c r="FK77" s="137" t="str">
        <f>IF(AND(Include_study?="Yes",Sufficient_data="Yes",Moderator&lt;&gt;""),'Moderator Analysis'!F:F-'Moderator Analysis'!J$37,"")</f>
        <v/>
      </c>
      <c r="FL77" s="137" t="str">
        <f>IF(AND(Include_study?="Yes",Sufficient_data="Yes",Moderator&lt;&gt;""),'Moderator Analysis'!E:E-SUMPRODUCT('Moderator Analysis'!E:E,FJ:FJ)/SUM(FJ:FJ),"")</f>
        <v/>
      </c>
      <c r="FM77" s="95" t="str">
        <f>IF(AND(Include_study?="Yes",Sufficient_data="Yes",Moderator&lt;&gt;""),FJ:FJ*('Moderator Analysis'!F:F-'Moderator Analysis'!J$29-'Moderator Analysis'!J$30*'Moderator Analysis'!E:E)^2,"")</f>
        <v/>
      </c>
      <c r="FR77" s="196"/>
      <c r="FS77" s="182"/>
      <c r="FT7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7" s="39" t="str">
        <f>IF(AND(Include_study?="Yes",Sufficient_data="Yes"),1/('Publication Bias Analysis'!F:F^2+IF(Additional_model="Fixed effect",0,Calculations!GH$12)),"")</f>
        <v/>
      </c>
      <c r="FV77" s="39" t="str">
        <f>IF(AND(Include_study?="Yes",Sufficient_data="Yes"),1/('Publication Bias Analysis'!F:F^2+IF(Additional_model="Fixed effect",0,'Publication Bias Analysis'!L$32)),"")</f>
        <v/>
      </c>
      <c r="FW77" s="39" t="str">
        <f>IF(AND(Include_study?="Yes",Sufficient_data="Yes"),'Publication Bias Analysis'!E:E-'Publication Bias Analysis'!I$37,"")</f>
        <v/>
      </c>
      <c r="FX77" s="39" t="str">
        <f>IF(AND(Include_study?="Yes",Sufficient_data="Yes"),IF(Additional_model="Fixed effect",1/'Publication Bias Analysis'!F:F,1/SQRT('Publication Bias Analysis'!F:F^2+GH$12)),"")</f>
        <v/>
      </c>
      <c r="FY7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7" s="136" t="str">
        <f t="shared" si="317"/>
        <v/>
      </c>
      <c r="GA77" s="144" t="str">
        <f>IF(AND(Include_study?="Yes",Sufficient_data="Yes"),FZ:FZ+IF(GL:GL&lt;0,-1,1)*COUNTIF(FZ$2:FZ76,FZ:FZ),"")</f>
        <v/>
      </c>
      <c r="GB77" s="144" t="str">
        <f>IF(AND(Include_study?="Yes",Sufficient_data="Yes"),RANK(GP:GP,GP:GP,1)*IF(GO:GO&lt;0,-1,1)+IF(GO:GO&lt;0,-1,1)*COUNTIF(FZ$2:FZ76,FZ:FZ),"")</f>
        <v/>
      </c>
      <c r="GC77" s="144" t="str">
        <f>IF(AND(Include_study?="Yes",Sufficient_data="Yes"),RANK(GS:GS,GS:GS,1)*IF(GR:GR&lt;0,-1,1)+IF(GR:GR&lt;0,-1,1)*COUNTIF(FZ$2:FZ76,FZ:FZ),"")</f>
        <v/>
      </c>
      <c r="GD77" s="39" t="e">
        <f>IF(AND(Include_study?="Yes",Sufficient_data="Yes"),'Publication Bias Analysis'!E77,NA())</f>
        <v>#N/A</v>
      </c>
      <c r="GE77" s="74" t="e">
        <f>IF(AND(Include_study?="Yes",Sufficient_data="Yes"),'Publication Bias Analysis'!F77,NA())</f>
        <v>#N/A</v>
      </c>
      <c r="GK77" s="176"/>
      <c r="GL7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7" s="39" t="str">
        <f t="shared" si="318"/>
        <v/>
      </c>
      <c r="GN7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7" s="39" t="str">
        <f>IF(AND(Include_study?="Yes",Sufficient_data="Yes"),IF('Publication Bias Analysis'!L$38="Left",'Publication Bias Analysis'!E:E-GW$3,GW$3-'Publication Bias Analysis'!E:E),"")</f>
        <v/>
      </c>
      <c r="GP77" s="39" t="str">
        <f t="shared" si="330"/>
        <v/>
      </c>
      <c r="GQ7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7" s="39" t="str">
        <f>IF(AND(Include_study?="Yes",Sufficient_data="Yes"),IF('Publication Bias Analysis'!L$38="Left",'Publication Bias Analysis'!E:E-GW$10,GW$10-'Publication Bias Analysis'!E:E),"")</f>
        <v/>
      </c>
      <c r="GS77" s="39" t="str">
        <f t="shared" si="331"/>
        <v/>
      </c>
      <c r="GT7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7" s="176"/>
      <c r="HL77" s="69" t="str">
        <f t="shared" si="319"/>
        <v/>
      </c>
      <c r="HM77" s="74" t="str">
        <f>IF(AND(Include_study?="Yes",Sufficient_data="Yes"),Z_score-('Publication Bias Analysis'!P$3+'Publication Bias Analysis'!P$4*Inverse_standard_error),"")</f>
        <v/>
      </c>
      <c r="HO77" s="176"/>
      <c r="HP77" s="69" t="str">
        <f>IF(AND(Include_study?="Yes",Sufficient_data="Yes"),(GD:GD-SUMPRODUCT(Calculations!FT:FT,'Publication Bias Analysis'!E:E)/SUM(Calculations!FT:FT))/SQRT(Calculations!HQ:HQ),"")</f>
        <v/>
      </c>
      <c r="HQ77" s="69" t="str">
        <f>IF(AND(Include_study?="Yes",Sufficient_data="Yes"),GE:GE^2-1/SUM(Calculations!FT:FT),"")</f>
        <v/>
      </c>
      <c r="HR77" s="7" t="str">
        <f t="shared" si="240"/>
        <v/>
      </c>
      <c r="HS77" s="7" t="str">
        <f t="shared" si="241"/>
        <v/>
      </c>
      <c r="HT77" s="7" t="str">
        <f>IF(AND(Include_study?="Yes",Sufficient_data="Yes"),COUNTIFS(HR$2:HR76,"&lt;"&amp;HR77,HS$2:HS76,"&lt;"&amp;HS77)+COUNTIFS(HR78:HR$201,"&lt;"&amp;HR77,HS78:HS$201,"&lt;"&amp;HS77)+COUNTIFS(HR$2:HR76,"&gt;"&amp;HR77,HS$2:HS76,"&gt;"&amp;HS77)+COUNTIFS(HR78:HR$201,"&gt;"&amp;HR77,HS78:HS$201,"&gt;"&amp;HS77),"")</f>
        <v/>
      </c>
      <c r="HU77" s="104" t="str">
        <f>IF(AND(Include_study?="Yes",Sufficient_data="Yes"),COUNTIFS(HR$2:HR76,"&lt;"&amp;HR77,HS$2:HS76,"&gt;"&amp;HS77)+COUNTIFS(HR78:HR$201,"&lt;"&amp;HR77,HS78:HS$201,"&gt;"&amp;HS77)+COUNTIFS(HR$2:HR76,"&gt;"&amp;HR77,HS$2:HS76,"&lt;"&amp;HS77)+COUNTIFS(HR78:HR$201,"&gt;"&amp;HR77,HS78:HS$201,"&lt;"&amp;HS77),"")</f>
        <v/>
      </c>
      <c r="HW77" s="176"/>
      <c r="IB77" s="176"/>
      <c r="IC77" s="146" t="e">
        <f t="shared" si="320"/>
        <v>#N/A</v>
      </c>
      <c r="ID77" s="137" t="e">
        <f t="shared" si="321"/>
        <v>#N/A</v>
      </c>
      <c r="IE77" s="137" t="str">
        <f t="shared" si="322"/>
        <v/>
      </c>
      <c r="IF77" s="95" t="str">
        <f t="shared" si="323"/>
        <v/>
      </c>
      <c r="IK77" s="176"/>
      <c r="IL77" s="69" t="e">
        <f>IF(AND(Include_study?="Yes",Sufficient_data="Yes"),'Publication Bias Analysis'!AV:AV,NA())</f>
        <v>#N/A</v>
      </c>
      <c r="IM77" s="158" t="e">
        <f>IF(AND(Sufficient_data="Yes",Include_study?="Yes"),'Publication Bias Analysis'!AU:AU,NA())</f>
        <v>#N/A</v>
      </c>
      <c r="IN77" s="69" t="str">
        <f t="shared" si="219"/>
        <v/>
      </c>
      <c r="IO77" s="74" t="str">
        <f>IF(AND(Include_study?="Yes",Sufficient_data="Yes"),Z_score-('Publication Bias Analysis'!AY$30+'Publication Bias Analysis'!AY$31*Inverse_standard_error),"")</f>
        <v/>
      </c>
      <c r="IU77" s="176"/>
      <c r="IV77" s="7" t="str">
        <f>IF('Publication Bias Analysis'!BG:BG&lt;&gt;"",RANK('Publication Bias Analysis'!BG:BG,'Publication Bias Analysis'!BG:BG,1)+COUNTIF('Publication Bias Analysis'!BG$2:BG76,'Publication Bias Analysis'!BG77),"")</f>
        <v/>
      </c>
      <c r="IW77" s="124" t="str">
        <f t="shared" si="324"/>
        <v/>
      </c>
      <c r="IX77" s="125" t="e">
        <f>IF('Publication Bias Analysis'!BF77&lt;&gt;"",'Publication Bias Analysis'!BF77,NA())</f>
        <v>#N/A</v>
      </c>
      <c r="IY77" s="125" t="e">
        <f>IF('Publication Bias Analysis'!BG77&lt;&gt;"",'Publication Bias Analysis'!BG77,NA())</f>
        <v>#N/A</v>
      </c>
      <c r="IZ77" s="69" t="str">
        <f>IF(AND(Include_study?="Yes",Sufficient_data="Yes"),'Publication Bias Analysis'!BF:BF-AVERAGE('Publication Bias Analysis'!BF:BF),"")</f>
        <v/>
      </c>
      <c r="JA77" s="74" t="str">
        <f>IF(AND(Include_study?="Yes",Sufficient_data="Yes"),'Publication Bias Analysis'!BG:BG-('Publication Bias Analysis'!BJ$30+'Publication Bias Analysis'!BJ$31*'Publication Bias Analysis'!BF:BF),"")</f>
        <v/>
      </c>
      <c r="JG77" s="176"/>
      <c r="JH77" s="39" t="str">
        <f t="shared" si="325"/>
        <v/>
      </c>
      <c r="JI77" s="148" t="str">
        <f t="shared" si="332"/>
        <v/>
      </c>
      <c r="JJ77" s="74" t="str">
        <f t="shared" si="333"/>
        <v/>
      </c>
    </row>
    <row r="78" spans="1:270" x14ac:dyDescent="0.2">
      <c r="A78" s="56" t="str">
        <f t="shared" si="126"/>
        <v/>
      </c>
      <c r="B78" s="7" t="str">
        <f>IF(AND(Include_study?="Yes",Sufficient_data="Yes"),IF(Input!a_&lt;&gt;"",Input!a_,Input!n1_-Input!b_),"")</f>
        <v/>
      </c>
      <c r="C78" s="7" t="str">
        <f>IF(AND(Include_study?="Yes",Sufficient_data="Yes"),IF(Input!b_&lt;&gt;"",Input!b_,Input!n1_-Input!a_),"")</f>
        <v/>
      </c>
      <c r="D78" s="7" t="str">
        <f>IF(AND(Include_study?="Yes",Sufficient_data="Yes"),IF(Input!c_&lt;&gt;"",Input!c_,Input!n2_-Input!d_),"")</f>
        <v/>
      </c>
      <c r="E78" s="7" t="str">
        <f>IF(AND(Include_study?="Yes",Sufficient_data="Yes"),IF(Input!d_&lt;&gt;"",Input!d_,Input!n2_-Input!c_),"")</f>
        <v/>
      </c>
      <c r="F78" s="74" t="str">
        <f t="shared" si="244"/>
        <v/>
      </c>
      <c r="H78" s="196"/>
      <c r="I78" s="182"/>
      <c r="J78" s="146" t="str">
        <f t="shared" si="245"/>
        <v/>
      </c>
      <c r="K78" s="39" t="str">
        <f t="shared" si="246"/>
        <v/>
      </c>
      <c r="L78" s="39" t="str">
        <f t="shared" si="247"/>
        <v/>
      </c>
      <c r="M78" s="39" t="str">
        <f t="shared" si="248"/>
        <v/>
      </c>
      <c r="N78" s="74" t="str">
        <f t="shared" si="249"/>
        <v/>
      </c>
      <c r="P78" s="176"/>
      <c r="Q78" s="130" t="str">
        <f t="shared" si="250"/>
        <v/>
      </c>
      <c r="R78" s="39" t="str">
        <f t="shared" si="251"/>
        <v/>
      </c>
      <c r="S78" s="39" t="str">
        <f t="shared" si="252"/>
        <v/>
      </c>
      <c r="T78" s="74" t="str">
        <f t="shared" si="253"/>
        <v/>
      </c>
      <c r="V78" s="176"/>
      <c r="W78" s="130" t="str">
        <f t="shared" si="254"/>
        <v/>
      </c>
      <c r="X78" s="39" t="str">
        <f t="shared" si="255"/>
        <v/>
      </c>
      <c r="Y78" s="39" t="str">
        <f t="shared" si="256"/>
        <v/>
      </c>
      <c r="Z78" s="74" t="str">
        <f t="shared" si="257"/>
        <v/>
      </c>
      <c r="AB78" s="176"/>
      <c r="AC78" s="130" t="str">
        <f t="shared" si="258"/>
        <v/>
      </c>
      <c r="AD78" s="39" t="str">
        <f t="shared" si="259"/>
        <v/>
      </c>
      <c r="AE78" s="39" t="str">
        <f t="shared" si="260"/>
        <v/>
      </c>
      <c r="AF78" s="39" t="str">
        <f t="shared" si="261"/>
        <v/>
      </c>
      <c r="AG78" s="74" t="str">
        <f t="shared" si="262"/>
        <v/>
      </c>
      <c r="AI78" s="196"/>
      <c r="AJ7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8" s="136" t="str">
        <f>IF(AJ78&lt;&gt;"",IF(AJ78=0,COUNTIF(AJ$2:AJ77,0)+1,COUNTIF(AJ$2:AJ77,AJ78)+AJ78+COUNTIF(AJ:AJ,0)),"")</f>
        <v/>
      </c>
      <c r="AL78" s="136" t="str">
        <f t="shared" si="263"/>
        <v/>
      </c>
      <c r="AM78" s="155" t="str">
        <f>IF(AND(Include_study?="Yes",Sufficient_data="Yes",Input!Study_name&lt;&gt;""),Input!Study_name,"")</f>
        <v/>
      </c>
      <c r="AN78" s="136" t="str">
        <f t="shared" si="264"/>
        <v/>
      </c>
      <c r="AO78" s="19" t="str">
        <f t="shared" si="265"/>
        <v/>
      </c>
      <c r="AP78" s="158" t="str">
        <f t="shared" si="266"/>
        <v/>
      </c>
      <c r="AQ78" s="158" t="str">
        <f t="shared" si="267"/>
        <v/>
      </c>
      <c r="AR78" s="39" t="str">
        <f t="shared" si="268"/>
        <v/>
      </c>
      <c r="AS78" s="158" t="str">
        <f t="shared" si="269"/>
        <v/>
      </c>
      <c r="AT78" s="39" t="str">
        <f t="shared" si="270"/>
        <v/>
      </c>
      <c r="AU78" s="172" t="str">
        <f t="shared" si="271"/>
        <v/>
      </c>
      <c r="AV78" s="45"/>
      <c r="AW78" s="84" t="e">
        <f t="shared" si="152"/>
        <v>#N/A</v>
      </c>
      <c r="AX78" s="69" t="e">
        <f t="shared" si="272"/>
        <v>#N/A</v>
      </c>
      <c r="AY78" s="74" t="e">
        <f t="shared" si="273"/>
        <v>#N/A</v>
      </c>
      <c r="AZ78" s="45"/>
      <c r="BA78" s="45"/>
      <c r="BB78" s="45"/>
      <c r="BC78" s="45"/>
      <c r="BD78" s="196"/>
      <c r="BE78" s="182"/>
      <c r="BF78" s="69" t="str">
        <f t="shared" si="155"/>
        <v/>
      </c>
      <c r="BG78" s="69" t="str">
        <f t="shared" si="156"/>
        <v/>
      </c>
      <c r="BH78" s="69" t="str">
        <f t="shared" si="157"/>
        <v/>
      </c>
      <c r="BI78" s="39" t="str">
        <f t="shared" si="158"/>
        <v/>
      </c>
      <c r="BJ78" s="95" t="str">
        <f t="shared" si="274"/>
        <v/>
      </c>
      <c r="BO78" s="176"/>
      <c r="BP78" s="158" t="str">
        <f t="shared" si="275"/>
        <v/>
      </c>
      <c r="BQ78" s="158" t="str">
        <f t="shared" si="276"/>
        <v/>
      </c>
      <c r="BR78" s="158" t="str">
        <f t="shared" si="277"/>
        <v/>
      </c>
      <c r="BS78" s="158" t="str">
        <f>IF(AND(Sufficient_data="Yes",Include_study?="Yes"),IF(Add_0_5="Yes",(a_+d_+1)*(ab_+0.5)*(c_+0.5)/(Number_of_subjects+2)^2,(a_+d_)*b_*c_/Number_of_subjects^2),"")</f>
        <v/>
      </c>
      <c r="BT78" s="158" t="str">
        <f t="shared" si="278"/>
        <v/>
      </c>
      <c r="BU78" s="158" t="str">
        <f t="shared" si="279"/>
        <v/>
      </c>
      <c r="BV78" s="158" t="str">
        <f t="shared" si="280"/>
        <v/>
      </c>
      <c r="BW78" s="69" t="str">
        <f t="shared" si="166"/>
        <v/>
      </c>
      <c r="BX78" s="137" t="str">
        <f t="shared" si="167"/>
        <v/>
      </c>
      <c r="BY78" s="95" t="str">
        <f t="shared" si="281"/>
        <v/>
      </c>
      <c r="CD78" s="176"/>
      <c r="CE78" s="130" t="str">
        <f t="shared" si="282"/>
        <v/>
      </c>
      <c r="CF78" s="39" t="str">
        <f t="shared" si="283"/>
        <v/>
      </c>
      <c r="CG78" s="39" t="str">
        <f t="shared" si="284"/>
        <v/>
      </c>
      <c r="CH78" s="39" t="str">
        <f t="shared" si="285"/>
        <v/>
      </c>
      <c r="CI78" s="39" t="str">
        <f t="shared" si="286"/>
        <v/>
      </c>
      <c r="CJ78" s="39" t="str">
        <f t="shared" si="287"/>
        <v/>
      </c>
      <c r="CK78" s="95" t="str">
        <f t="shared" si="288"/>
        <v/>
      </c>
      <c r="CP78" s="176"/>
      <c r="CQ78" s="99" t="str">
        <f t="shared" si="175"/>
        <v/>
      </c>
      <c r="CX78" s="196"/>
      <c r="CY78" s="89" t="e">
        <f t="shared" si="289"/>
        <v>#N/A</v>
      </c>
      <c r="CZ78" s="136" t="str">
        <f t="shared" si="290"/>
        <v/>
      </c>
      <c r="DA78" s="140" t="str">
        <f t="shared" si="291"/>
        <v/>
      </c>
      <c r="DB78" s="39" t="str">
        <f t="shared" si="292"/>
        <v/>
      </c>
      <c r="DC78" s="39" t="str">
        <f t="shared" si="293"/>
        <v/>
      </c>
      <c r="DD78" s="39" t="str">
        <f t="shared" si="294"/>
        <v/>
      </c>
      <c r="DE78" s="39" t="str">
        <f t="shared" si="295"/>
        <v/>
      </c>
      <c r="DF78" s="141" t="str">
        <f t="shared" si="296"/>
        <v/>
      </c>
      <c r="DG78" s="39" t="str">
        <f t="shared" si="297"/>
        <v/>
      </c>
      <c r="DH78" s="39" t="str">
        <f t="shared" si="298"/>
        <v/>
      </c>
      <c r="DI78" s="39" t="str">
        <f t="shared" si="299"/>
        <v/>
      </c>
      <c r="DJ78" s="74" t="str">
        <f t="shared" si="300"/>
        <v/>
      </c>
      <c r="DK78" s="45"/>
      <c r="DL78" s="84" t="e">
        <f t="shared" si="222"/>
        <v>#N/A</v>
      </c>
      <c r="DM78" s="39" t="e">
        <f t="shared" si="301"/>
        <v>#N/A</v>
      </c>
      <c r="DN78" s="74" t="e">
        <f t="shared" si="302"/>
        <v>#N/A</v>
      </c>
      <c r="DO78" s="45"/>
      <c r="DP78" s="89" t="str">
        <f t="shared" si="326"/>
        <v/>
      </c>
      <c r="DQ78" s="26" t="str">
        <f>IF(AND(Sufficient_data="Yes",Subgroup&lt;&gt;""),IF(COUNTIFS(Input!J$2:J77,"="&amp;"Yes",Input!C$2:C77,"="&amp;"Yes",Input!K$2:K77,"="&amp;Subgroup)&gt;0,"",Subgroup),"")</f>
        <v/>
      </c>
      <c r="DR78" s="7" t="str">
        <f t="shared" si="327"/>
        <v/>
      </c>
      <c r="DS78" s="7" t="str">
        <f t="shared" si="303"/>
        <v/>
      </c>
      <c r="DT78" s="19" t="str">
        <f t="shared" si="304"/>
        <v/>
      </c>
      <c r="DU78" s="12" t="str">
        <f t="shared" si="223"/>
        <v/>
      </c>
      <c r="DV78" s="11" t="str">
        <f t="shared" si="224"/>
        <v/>
      </c>
      <c r="DW78" s="12" t="str">
        <f t="shared" si="225"/>
        <v/>
      </c>
      <c r="DX78" s="12" t="str">
        <f t="shared" si="305"/>
        <v/>
      </c>
      <c r="DY78" s="19" t="str">
        <f t="shared" si="226"/>
        <v/>
      </c>
      <c r="DZ78" s="12" t="str">
        <f t="shared" si="227"/>
        <v/>
      </c>
      <c r="EA78" s="19" t="str">
        <f t="shared" si="306"/>
        <v/>
      </c>
      <c r="EB78" s="7" t="str">
        <f t="shared" si="307"/>
        <v/>
      </c>
      <c r="EC78" s="19" t="str">
        <f t="shared" si="308"/>
        <v/>
      </c>
      <c r="ED78" s="19" t="str">
        <f t="shared" si="309"/>
        <v/>
      </c>
      <c r="EE78" s="19" t="str">
        <f t="shared" si="228"/>
        <v/>
      </c>
      <c r="EF78" s="19" t="str">
        <f t="shared" si="229"/>
        <v/>
      </c>
      <c r="EG78" s="19" t="str">
        <f t="shared" si="230"/>
        <v/>
      </c>
      <c r="EH78" s="19" t="str">
        <f t="shared" si="231"/>
        <v/>
      </c>
      <c r="EI78" s="19" t="str">
        <f t="shared" si="232"/>
        <v/>
      </c>
      <c r="EJ78" s="19" t="str">
        <f t="shared" si="310"/>
        <v/>
      </c>
      <c r="EK78" s="19" t="str">
        <f t="shared" si="311"/>
        <v/>
      </c>
      <c r="EL78" s="19" t="str">
        <f t="shared" si="233"/>
        <v/>
      </c>
      <c r="EM78" s="19" t="str">
        <f t="shared" si="234"/>
        <v/>
      </c>
      <c r="EN78" s="19" t="str">
        <f t="shared" si="235"/>
        <v/>
      </c>
      <c r="EO78" s="19" t="str">
        <f t="shared" si="236"/>
        <v/>
      </c>
      <c r="EP78" s="19" t="str">
        <f t="shared" si="237"/>
        <v/>
      </c>
      <c r="EQ78" s="19" t="e">
        <f t="shared" si="238"/>
        <v>#N/A</v>
      </c>
      <c r="ER78" s="11" t="str">
        <f t="shared" si="328"/>
        <v/>
      </c>
      <c r="ES78" s="19" t="str">
        <f t="shared" si="329"/>
        <v/>
      </c>
      <c r="ET78" s="156" t="str">
        <f t="shared" si="312"/>
        <v/>
      </c>
      <c r="EU78" s="39" t="str">
        <f t="shared" si="239"/>
        <v/>
      </c>
      <c r="EV78" s="74" t="str">
        <f t="shared" si="313"/>
        <v/>
      </c>
      <c r="FA78" s="196"/>
      <c r="FB78" s="84" t="e">
        <f>IF(AND(Include_study?="Yes",Sufficient_data="Yes",Moderator&lt;&gt;""),'Moderator Analysis'!E78,NA())</f>
        <v>#N/A</v>
      </c>
      <c r="FC78" s="39" t="e">
        <f>IF(AND(Include_study?="Yes",Sufficient_data="Yes",Moderator&lt;&gt;""),'Moderator Analysis'!F78,NA())</f>
        <v>#N/A</v>
      </c>
      <c r="FD78" s="39" t="str">
        <f t="shared" si="314"/>
        <v/>
      </c>
      <c r="FE78" s="39" t="str">
        <f t="shared" si="315"/>
        <v/>
      </c>
      <c r="FF78" s="39" t="str">
        <f>IF(AND(Include_study?="Yes",Sufficient_data="Yes",Moderator&lt;&gt;""),'Moderator Analysis'!F:F-FP$2,"")</f>
        <v/>
      </c>
      <c r="FG78" s="39" t="str">
        <f>IF(AND(Include_study?="Yes",Sufficient_data="Yes",Moderator&lt;&gt;""),'Moderator Analysis'!E:E-FP$3,"")</f>
        <v/>
      </c>
      <c r="FH78" s="74" t="str">
        <f>IF(AND(Include_study?="Yes",Sufficient_data="Yes",Moderator&lt;&gt;""),FE:FE*('Moderator Analysis'!F:F-FP$5-FP$4*'Moderator Analysis'!E:E)^2,"")</f>
        <v/>
      </c>
      <c r="FI78" s="128"/>
      <c r="FJ78" s="92" t="str">
        <f t="shared" si="316"/>
        <v/>
      </c>
      <c r="FK78" s="137" t="str">
        <f>IF(AND(Include_study?="Yes",Sufficient_data="Yes",Moderator&lt;&gt;""),'Moderator Analysis'!F:F-'Moderator Analysis'!J$37,"")</f>
        <v/>
      </c>
      <c r="FL78" s="137" t="str">
        <f>IF(AND(Include_study?="Yes",Sufficient_data="Yes",Moderator&lt;&gt;""),'Moderator Analysis'!E:E-SUMPRODUCT('Moderator Analysis'!E:E,FJ:FJ)/SUM(FJ:FJ),"")</f>
        <v/>
      </c>
      <c r="FM78" s="95" t="str">
        <f>IF(AND(Include_study?="Yes",Sufficient_data="Yes",Moderator&lt;&gt;""),FJ:FJ*('Moderator Analysis'!F:F-'Moderator Analysis'!J$29-'Moderator Analysis'!J$30*'Moderator Analysis'!E:E)^2,"")</f>
        <v/>
      </c>
      <c r="FR78" s="196"/>
      <c r="FS78" s="182"/>
      <c r="FT7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8" s="39" t="str">
        <f>IF(AND(Include_study?="Yes",Sufficient_data="Yes"),1/('Publication Bias Analysis'!F:F^2+IF(Additional_model="Fixed effect",0,Calculations!GH$12)),"")</f>
        <v/>
      </c>
      <c r="FV78" s="39" t="str">
        <f>IF(AND(Include_study?="Yes",Sufficient_data="Yes"),1/('Publication Bias Analysis'!F:F^2+IF(Additional_model="Fixed effect",0,'Publication Bias Analysis'!L$32)),"")</f>
        <v/>
      </c>
      <c r="FW78" s="39" t="str">
        <f>IF(AND(Include_study?="Yes",Sufficient_data="Yes"),'Publication Bias Analysis'!E:E-'Publication Bias Analysis'!I$37,"")</f>
        <v/>
      </c>
      <c r="FX78" s="39" t="str">
        <f>IF(AND(Include_study?="Yes",Sufficient_data="Yes"),IF(Additional_model="Fixed effect",1/'Publication Bias Analysis'!F:F,1/SQRT('Publication Bias Analysis'!F:F^2+GH$12)),"")</f>
        <v/>
      </c>
      <c r="FY7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8" s="136" t="str">
        <f t="shared" si="317"/>
        <v/>
      </c>
      <c r="GA78" s="144" t="str">
        <f>IF(AND(Include_study?="Yes",Sufficient_data="Yes"),FZ:FZ+IF(GL:GL&lt;0,-1,1)*COUNTIF(FZ$2:FZ77,FZ:FZ),"")</f>
        <v/>
      </c>
      <c r="GB78" s="144" t="str">
        <f>IF(AND(Include_study?="Yes",Sufficient_data="Yes"),RANK(GP:GP,GP:GP,1)*IF(GO:GO&lt;0,-1,1)+IF(GO:GO&lt;0,-1,1)*COUNTIF(FZ$2:FZ77,FZ:FZ),"")</f>
        <v/>
      </c>
      <c r="GC78" s="144" t="str">
        <f>IF(AND(Include_study?="Yes",Sufficient_data="Yes"),RANK(GS:GS,GS:GS,1)*IF(GR:GR&lt;0,-1,1)+IF(GR:GR&lt;0,-1,1)*COUNTIF(FZ$2:FZ77,FZ:FZ),"")</f>
        <v/>
      </c>
      <c r="GD78" s="39" t="e">
        <f>IF(AND(Include_study?="Yes",Sufficient_data="Yes"),'Publication Bias Analysis'!E78,NA())</f>
        <v>#N/A</v>
      </c>
      <c r="GE78" s="74" t="e">
        <f>IF(AND(Include_study?="Yes",Sufficient_data="Yes"),'Publication Bias Analysis'!F78,NA())</f>
        <v>#N/A</v>
      </c>
      <c r="GK78" s="176"/>
      <c r="GL7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8" s="39" t="str">
        <f t="shared" si="318"/>
        <v/>
      </c>
      <c r="GN7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8" s="39" t="str">
        <f>IF(AND(Include_study?="Yes",Sufficient_data="Yes"),IF('Publication Bias Analysis'!L$38="Left",'Publication Bias Analysis'!E:E-GW$3,GW$3-'Publication Bias Analysis'!E:E),"")</f>
        <v/>
      </c>
      <c r="GP78" s="39" t="str">
        <f t="shared" si="330"/>
        <v/>
      </c>
      <c r="GQ7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8" s="39" t="str">
        <f>IF(AND(Include_study?="Yes",Sufficient_data="Yes"),IF('Publication Bias Analysis'!L$38="Left",'Publication Bias Analysis'!E:E-GW$10,GW$10-'Publication Bias Analysis'!E:E),"")</f>
        <v/>
      </c>
      <c r="GS78" s="39" t="str">
        <f t="shared" si="331"/>
        <v/>
      </c>
      <c r="GT7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8" s="176"/>
      <c r="HL78" s="69" t="str">
        <f t="shared" si="319"/>
        <v/>
      </c>
      <c r="HM78" s="74" t="str">
        <f>IF(AND(Include_study?="Yes",Sufficient_data="Yes"),Z_score-('Publication Bias Analysis'!P$3+'Publication Bias Analysis'!P$4*Inverse_standard_error),"")</f>
        <v/>
      </c>
      <c r="HO78" s="176"/>
      <c r="HP78" s="69" t="str">
        <f>IF(AND(Include_study?="Yes",Sufficient_data="Yes"),(GD:GD-SUMPRODUCT(Calculations!FT:FT,'Publication Bias Analysis'!E:E)/SUM(Calculations!FT:FT))/SQRT(Calculations!HQ:HQ),"")</f>
        <v/>
      </c>
      <c r="HQ78" s="69" t="str">
        <f>IF(AND(Include_study?="Yes",Sufficient_data="Yes"),GE:GE^2-1/SUM(Calculations!FT:FT),"")</f>
        <v/>
      </c>
      <c r="HR78" s="7" t="str">
        <f t="shared" si="240"/>
        <v/>
      </c>
      <c r="HS78" s="7" t="str">
        <f t="shared" si="241"/>
        <v/>
      </c>
      <c r="HT78" s="7" t="str">
        <f>IF(AND(Include_study?="Yes",Sufficient_data="Yes"),COUNTIFS(HR$2:HR77,"&lt;"&amp;HR78,HS$2:HS77,"&lt;"&amp;HS78)+COUNTIFS(HR79:HR$201,"&lt;"&amp;HR78,HS79:HS$201,"&lt;"&amp;HS78)+COUNTIFS(HR$2:HR77,"&gt;"&amp;HR78,HS$2:HS77,"&gt;"&amp;HS78)+COUNTIFS(HR79:HR$201,"&gt;"&amp;HR78,HS79:HS$201,"&gt;"&amp;HS78),"")</f>
        <v/>
      </c>
      <c r="HU78" s="104" t="str">
        <f>IF(AND(Include_study?="Yes",Sufficient_data="Yes"),COUNTIFS(HR$2:HR77,"&lt;"&amp;HR78,HS$2:HS77,"&gt;"&amp;HS78)+COUNTIFS(HR79:HR$201,"&lt;"&amp;HR78,HS79:HS$201,"&gt;"&amp;HS78)+COUNTIFS(HR$2:HR77,"&gt;"&amp;HR78,HS$2:HS77,"&lt;"&amp;HS78)+COUNTIFS(HR79:HR$201,"&gt;"&amp;HR78,HS79:HS$201,"&lt;"&amp;HS78),"")</f>
        <v/>
      </c>
      <c r="HW78" s="176"/>
      <c r="IB78" s="176"/>
      <c r="IC78" s="146" t="e">
        <f t="shared" si="320"/>
        <v>#N/A</v>
      </c>
      <c r="ID78" s="137" t="e">
        <f t="shared" si="321"/>
        <v>#N/A</v>
      </c>
      <c r="IE78" s="137" t="str">
        <f t="shared" si="322"/>
        <v/>
      </c>
      <c r="IF78" s="95" t="str">
        <f t="shared" si="323"/>
        <v/>
      </c>
      <c r="IK78" s="176"/>
      <c r="IL78" s="69" t="e">
        <f>IF(AND(Include_study?="Yes",Sufficient_data="Yes"),'Publication Bias Analysis'!AV:AV,NA())</f>
        <v>#N/A</v>
      </c>
      <c r="IM78" s="158" t="e">
        <f>IF(AND(Sufficient_data="Yes",Include_study?="Yes"),'Publication Bias Analysis'!AU:AU,NA())</f>
        <v>#N/A</v>
      </c>
      <c r="IN78" s="69" t="str">
        <f t="shared" si="219"/>
        <v/>
      </c>
      <c r="IO78" s="74" t="str">
        <f>IF(AND(Include_study?="Yes",Sufficient_data="Yes"),Z_score-('Publication Bias Analysis'!AY$30+'Publication Bias Analysis'!AY$31*Inverse_standard_error),"")</f>
        <v/>
      </c>
      <c r="IU78" s="176"/>
      <c r="IV78" s="7" t="str">
        <f>IF('Publication Bias Analysis'!BG:BG&lt;&gt;"",RANK('Publication Bias Analysis'!BG:BG,'Publication Bias Analysis'!BG:BG,1)+COUNTIF('Publication Bias Analysis'!BG$2:BG77,'Publication Bias Analysis'!BG78),"")</f>
        <v/>
      </c>
      <c r="IW78" s="124" t="str">
        <f t="shared" si="324"/>
        <v/>
      </c>
      <c r="IX78" s="125" t="e">
        <f>IF('Publication Bias Analysis'!BF78&lt;&gt;"",'Publication Bias Analysis'!BF78,NA())</f>
        <v>#N/A</v>
      </c>
      <c r="IY78" s="125" t="e">
        <f>IF('Publication Bias Analysis'!BG78&lt;&gt;"",'Publication Bias Analysis'!BG78,NA())</f>
        <v>#N/A</v>
      </c>
      <c r="IZ78" s="69" t="str">
        <f>IF(AND(Include_study?="Yes",Sufficient_data="Yes"),'Publication Bias Analysis'!BF:BF-AVERAGE('Publication Bias Analysis'!BF:BF),"")</f>
        <v/>
      </c>
      <c r="JA78" s="74" t="str">
        <f>IF(AND(Include_study?="Yes",Sufficient_data="Yes"),'Publication Bias Analysis'!BG:BG-('Publication Bias Analysis'!BJ$30+'Publication Bias Analysis'!BJ$31*'Publication Bias Analysis'!BF:BF),"")</f>
        <v/>
      </c>
      <c r="JG78" s="176"/>
      <c r="JH78" s="39" t="str">
        <f t="shared" si="325"/>
        <v/>
      </c>
      <c r="JI78" s="148" t="str">
        <f t="shared" si="332"/>
        <v/>
      </c>
      <c r="JJ78" s="74" t="str">
        <f t="shared" si="333"/>
        <v/>
      </c>
    </row>
    <row r="79" spans="1:270" x14ac:dyDescent="0.2">
      <c r="A79" s="56" t="str">
        <f t="shared" si="126"/>
        <v/>
      </c>
      <c r="B79" s="7" t="str">
        <f>IF(AND(Include_study?="Yes",Sufficient_data="Yes"),IF(Input!a_&lt;&gt;"",Input!a_,Input!n1_-Input!b_),"")</f>
        <v/>
      </c>
      <c r="C79" s="7" t="str">
        <f>IF(AND(Include_study?="Yes",Sufficient_data="Yes"),IF(Input!b_&lt;&gt;"",Input!b_,Input!n1_-Input!a_),"")</f>
        <v/>
      </c>
      <c r="D79" s="7" t="str">
        <f>IF(AND(Include_study?="Yes",Sufficient_data="Yes"),IF(Input!c_&lt;&gt;"",Input!c_,Input!n2_-Input!d_),"")</f>
        <v/>
      </c>
      <c r="E79" s="7" t="str">
        <f>IF(AND(Include_study?="Yes",Sufficient_data="Yes"),IF(Input!d_&lt;&gt;"",Input!d_,Input!n2_-Input!c_),"")</f>
        <v/>
      </c>
      <c r="F79" s="74" t="str">
        <f t="shared" si="244"/>
        <v/>
      </c>
      <c r="H79" s="196"/>
      <c r="I79" s="182"/>
      <c r="J79" s="146" t="str">
        <f t="shared" si="245"/>
        <v/>
      </c>
      <c r="K79" s="39" t="str">
        <f t="shared" si="246"/>
        <v/>
      </c>
      <c r="L79" s="39" t="str">
        <f t="shared" si="247"/>
        <v/>
      </c>
      <c r="M79" s="39" t="str">
        <f t="shared" si="248"/>
        <v/>
      </c>
      <c r="N79" s="74" t="str">
        <f t="shared" si="249"/>
        <v/>
      </c>
      <c r="P79" s="176"/>
      <c r="Q79" s="130" t="str">
        <f t="shared" si="250"/>
        <v/>
      </c>
      <c r="R79" s="39" t="str">
        <f t="shared" si="251"/>
        <v/>
      </c>
      <c r="S79" s="39" t="str">
        <f t="shared" si="252"/>
        <v/>
      </c>
      <c r="T79" s="74" t="str">
        <f t="shared" si="253"/>
        <v/>
      </c>
      <c r="V79" s="176"/>
      <c r="W79" s="130" t="str">
        <f t="shared" si="254"/>
        <v/>
      </c>
      <c r="X79" s="39" t="str">
        <f t="shared" si="255"/>
        <v/>
      </c>
      <c r="Y79" s="39" t="str">
        <f t="shared" si="256"/>
        <v/>
      </c>
      <c r="Z79" s="74" t="str">
        <f t="shared" si="257"/>
        <v/>
      </c>
      <c r="AB79" s="176"/>
      <c r="AC79" s="130" t="str">
        <f t="shared" si="258"/>
        <v/>
      </c>
      <c r="AD79" s="39" t="str">
        <f t="shared" si="259"/>
        <v/>
      </c>
      <c r="AE79" s="39" t="str">
        <f t="shared" si="260"/>
        <v/>
      </c>
      <c r="AF79" s="39" t="str">
        <f t="shared" si="261"/>
        <v/>
      </c>
      <c r="AG79" s="74" t="str">
        <f t="shared" si="262"/>
        <v/>
      </c>
      <c r="AI79" s="196"/>
      <c r="AJ7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79" s="136" t="str">
        <f>IF(AJ79&lt;&gt;"",IF(AJ79=0,COUNTIF(AJ$2:AJ78,0)+1,COUNTIF(AJ$2:AJ78,AJ79)+AJ79+COUNTIF(AJ:AJ,0)),"")</f>
        <v/>
      </c>
      <c r="AL79" s="136" t="str">
        <f t="shared" si="263"/>
        <v/>
      </c>
      <c r="AM79" s="155" t="str">
        <f>IF(AND(Include_study?="Yes",Sufficient_data="Yes",Input!Study_name&lt;&gt;""),Input!Study_name,"")</f>
        <v/>
      </c>
      <c r="AN79" s="136" t="str">
        <f t="shared" si="264"/>
        <v/>
      </c>
      <c r="AO79" s="19" t="str">
        <f t="shared" si="265"/>
        <v/>
      </c>
      <c r="AP79" s="158" t="str">
        <f t="shared" si="266"/>
        <v/>
      </c>
      <c r="AQ79" s="158" t="str">
        <f t="shared" si="267"/>
        <v/>
      </c>
      <c r="AR79" s="39" t="str">
        <f t="shared" si="268"/>
        <v/>
      </c>
      <c r="AS79" s="158" t="str">
        <f t="shared" si="269"/>
        <v/>
      </c>
      <c r="AT79" s="39" t="str">
        <f t="shared" si="270"/>
        <v/>
      </c>
      <c r="AU79" s="172" t="str">
        <f t="shared" si="271"/>
        <v/>
      </c>
      <c r="AV79" s="45"/>
      <c r="AW79" s="84" t="e">
        <f t="shared" si="152"/>
        <v>#N/A</v>
      </c>
      <c r="AX79" s="69" t="e">
        <f t="shared" si="272"/>
        <v>#N/A</v>
      </c>
      <c r="AY79" s="74" t="e">
        <f t="shared" si="273"/>
        <v>#N/A</v>
      </c>
      <c r="AZ79" s="45"/>
      <c r="BA79" s="45"/>
      <c r="BB79" s="45"/>
      <c r="BC79" s="45"/>
      <c r="BD79" s="196"/>
      <c r="BE79" s="182"/>
      <c r="BF79" s="69" t="str">
        <f t="shared" si="155"/>
        <v/>
      </c>
      <c r="BG79" s="69" t="str">
        <f t="shared" si="156"/>
        <v/>
      </c>
      <c r="BH79" s="69" t="str">
        <f t="shared" si="157"/>
        <v/>
      </c>
      <c r="BI79" s="39" t="str">
        <f t="shared" si="158"/>
        <v/>
      </c>
      <c r="BJ79" s="95" t="str">
        <f t="shared" si="274"/>
        <v/>
      </c>
      <c r="BO79" s="176"/>
      <c r="BP79" s="158" t="str">
        <f t="shared" si="275"/>
        <v/>
      </c>
      <c r="BQ79" s="158" t="str">
        <f t="shared" si="276"/>
        <v/>
      </c>
      <c r="BR79" s="158" t="str">
        <f t="shared" si="277"/>
        <v/>
      </c>
      <c r="BS79" s="158" t="str">
        <f>IF(AND(Sufficient_data="Yes",Include_study?="Yes"),IF(Add_0_5="Yes",(a_+d_+1)*(ab_+0.5)*(c_+0.5)/(Number_of_subjects+2)^2,(a_+d_)*b_*c_/Number_of_subjects^2),"")</f>
        <v/>
      </c>
      <c r="BT79" s="158" t="str">
        <f t="shared" si="278"/>
        <v/>
      </c>
      <c r="BU79" s="158" t="str">
        <f t="shared" si="279"/>
        <v/>
      </c>
      <c r="BV79" s="158" t="str">
        <f t="shared" si="280"/>
        <v/>
      </c>
      <c r="BW79" s="69" t="str">
        <f t="shared" si="166"/>
        <v/>
      </c>
      <c r="BX79" s="137" t="str">
        <f t="shared" si="167"/>
        <v/>
      </c>
      <c r="BY79" s="95" t="str">
        <f t="shared" si="281"/>
        <v/>
      </c>
      <c r="CD79" s="176"/>
      <c r="CE79" s="130" t="str">
        <f t="shared" si="282"/>
        <v/>
      </c>
      <c r="CF79" s="39" t="str">
        <f t="shared" si="283"/>
        <v/>
      </c>
      <c r="CG79" s="39" t="str">
        <f t="shared" si="284"/>
        <v/>
      </c>
      <c r="CH79" s="39" t="str">
        <f t="shared" si="285"/>
        <v/>
      </c>
      <c r="CI79" s="39" t="str">
        <f t="shared" si="286"/>
        <v/>
      </c>
      <c r="CJ79" s="39" t="str">
        <f t="shared" si="287"/>
        <v/>
      </c>
      <c r="CK79" s="95" t="str">
        <f t="shared" si="288"/>
        <v/>
      </c>
      <c r="CP79" s="176"/>
      <c r="CQ79" s="99" t="str">
        <f t="shared" si="175"/>
        <v/>
      </c>
      <c r="CX79" s="196"/>
      <c r="CY79" s="89" t="e">
        <f t="shared" si="289"/>
        <v>#N/A</v>
      </c>
      <c r="CZ79" s="136" t="str">
        <f t="shared" si="290"/>
        <v/>
      </c>
      <c r="DA79" s="140" t="str">
        <f t="shared" si="291"/>
        <v/>
      </c>
      <c r="DB79" s="39" t="str">
        <f t="shared" si="292"/>
        <v/>
      </c>
      <c r="DC79" s="39" t="str">
        <f t="shared" si="293"/>
        <v/>
      </c>
      <c r="DD79" s="39" t="str">
        <f t="shared" si="294"/>
        <v/>
      </c>
      <c r="DE79" s="39" t="str">
        <f t="shared" si="295"/>
        <v/>
      </c>
      <c r="DF79" s="141" t="str">
        <f t="shared" si="296"/>
        <v/>
      </c>
      <c r="DG79" s="39" t="str">
        <f t="shared" si="297"/>
        <v/>
      </c>
      <c r="DH79" s="39" t="str">
        <f t="shared" si="298"/>
        <v/>
      </c>
      <c r="DI79" s="39" t="str">
        <f t="shared" si="299"/>
        <v/>
      </c>
      <c r="DJ79" s="74" t="str">
        <f t="shared" si="300"/>
        <v/>
      </c>
      <c r="DK79" s="45"/>
      <c r="DL79" s="84" t="e">
        <f t="shared" si="222"/>
        <v>#N/A</v>
      </c>
      <c r="DM79" s="39" t="e">
        <f t="shared" si="301"/>
        <v>#N/A</v>
      </c>
      <c r="DN79" s="74" t="e">
        <f t="shared" si="302"/>
        <v>#N/A</v>
      </c>
      <c r="DO79" s="45"/>
      <c r="DP79" s="89" t="str">
        <f t="shared" si="326"/>
        <v/>
      </c>
      <c r="DQ79" s="26" t="str">
        <f>IF(AND(Sufficient_data="Yes",Subgroup&lt;&gt;""),IF(COUNTIFS(Input!J$2:J78,"="&amp;"Yes",Input!C$2:C78,"="&amp;"Yes",Input!K$2:K78,"="&amp;Subgroup)&gt;0,"",Subgroup),"")</f>
        <v/>
      </c>
      <c r="DR79" s="7" t="str">
        <f t="shared" si="327"/>
        <v/>
      </c>
      <c r="DS79" s="7" t="str">
        <f t="shared" si="303"/>
        <v/>
      </c>
      <c r="DT79" s="19" t="str">
        <f t="shared" si="304"/>
        <v/>
      </c>
      <c r="DU79" s="12" t="str">
        <f t="shared" si="223"/>
        <v/>
      </c>
      <c r="DV79" s="11" t="str">
        <f t="shared" si="224"/>
        <v/>
      </c>
      <c r="DW79" s="12" t="str">
        <f t="shared" si="225"/>
        <v/>
      </c>
      <c r="DX79" s="12" t="str">
        <f t="shared" si="305"/>
        <v/>
      </c>
      <c r="DY79" s="19" t="str">
        <f t="shared" si="226"/>
        <v/>
      </c>
      <c r="DZ79" s="12" t="str">
        <f t="shared" si="227"/>
        <v/>
      </c>
      <c r="EA79" s="19" t="str">
        <f t="shared" si="306"/>
        <v/>
      </c>
      <c r="EB79" s="7" t="str">
        <f t="shared" si="307"/>
        <v/>
      </c>
      <c r="EC79" s="19" t="str">
        <f t="shared" si="308"/>
        <v/>
      </c>
      <c r="ED79" s="19" t="str">
        <f t="shared" si="309"/>
        <v/>
      </c>
      <c r="EE79" s="19" t="str">
        <f t="shared" si="228"/>
        <v/>
      </c>
      <c r="EF79" s="19" t="str">
        <f t="shared" si="229"/>
        <v/>
      </c>
      <c r="EG79" s="19" t="str">
        <f t="shared" si="230"/>
        <v/>
      </c>
      <c r="EH79" s="19" t="str">
        <f t="shared" si="231"/>
        <v/>
      </c>
      <c r="EI79" s="19" t="str">
        <f t="shared" si="232"/>
        <v/>
      </c>
      <c r="EJ79" s="19" t="str">
        <f t="shared" si="310"/>
        <v/>
      </c>
      <c r="EK79" s="19" t="str">
        <f t="shared" si="311"/>
        <v/>
      </c>
      <c r="EL79" s="19" t="str">
        <f t="shared" si="233"/>
        <v/>
      </c>
      <c r="EM79" s="19" t="str">
        <f t="shared" si="234"/>
        <v/>
      </c>
      <c r="EN79" s="19" t="str">
        <f t="shared" si="235"/>
        <v/>
      </c>
      <c r="EO79" s="19" t="str">
        <f t="shared" si="236"/>
        <v/>
      </c>
      <c r="EP79" s="19" t="str">
        <f t="shared" si="237"/>
        <v/>
      </c>
      <c r="EQ79" s="19" t="e">
        <f t="shared" si="238"/>
        <v>#N/A</v>
      </c>
      <c r="ER79" s="11" t="str">
        <f t="shared" si="328"/>
        <v/>
      </c>
      <c r="ES79" s="19" t="str">
        <f t="shared" si="329"/>
        <v/>
      </c>
      <c r="ET79" s="156" t="str">
        <f t="shared" si="312"/>
        <v/>
      </c>
      <c r="EU79" s="39" t="str">
        <f t="shared" si="239"/>
        <v/>
      </c>
      <c r="EV79" s="74" t="str">
        <f t="shared" si="313"/>
        <v/>
      </c>
      <c r="FA79" s="196"/>
      <c r="FB79" s="84" t="e">
        <f>IF(AND(Include_study?="Yes",Sufficient_data="Yes",Moderator&lt;&gt;""),'Moderator Analysis'!E79,NA())</f>
        <v>#N/A</v>
      </c>
      <c r="FC79" s="39" t="e">
        <f>IF(AND(Include_study?="Yes",Sufficient_data="Yes",Moderator&lt;&gt;""),'Moderator Analysis'!F79,NA())</f>
        <v>#N/A</v>
      </c>
      <c r="FD79" s="39" t="str">
        <f t="shared" si="314"/>
        <v/>
      </c>
      <c r="FE79" s="39" t="str">
        <f t="shared" si="315"/>
        <v/>
      </c>
      <c r="FF79" s="39" t="str">
        <f>IF(AND(Include_study?="Yes",Sufficient_data="Yes",Moderator&lt;&gt;""),'Moderator Analysis'!F:F-FP$2,"")</f>
        <v/>
      </c>
      <c r="FG79" s="39" t="str">
        <f>IF(AND(Include_study?="Yes",Sufficient_data="Yes",Moderator&lt;&gt;""),'Moderator Analysis'!E:E-FP$3,"")</f>
        <v/>
      </c>
      <c r="FH79" s="74" t="str">
        <f>IF(AND(Include_study?="Yes",Sufficient_data="Yes",Moderator&lt;&gt;""),FE:FE*('Moderator Analysis'!F:F-FP$5-FP$4*'Moderator Analysis'!E:E)^2,"")</f>
        <v/>
      </c>
      <c r="FI79" s="128"/>
      <c r="FJ79" s="92" t="str">
        <f t="shared" si="316"/>
        <v/>
      </c>
      <c r="FK79" s="137" t="str">
        <f>IF(AND(Include_study?="Yes",Sufficient_data="Yes",Moderator&lt;&gt;""),'Moderator Analysis'!F:F-'Moderator Analysis'!J$37,"")</f>
        <v/>
      </c>
      <c r="FL79" s="137" t="str">
        <f>IF(AND(Include_study?="Yes",Sufficient_data="Yes",Moderator&lt;&gt;""),'Moderator Analysis'!E:E-SUMPRODUCT('Moderator Analysis'!E:E,FJ:FJ)/SUM(FJ:FJ),"")</f>
        <v/>
      </c>
      <c r="FM79" s="95" t="str">
        <f>IF(AND(Include_study?="Yes",Sufficient_data="Yes",Moderator&lt;&gt;""),FJ:FJ*('Moderator Analysis'!F:F-'Moderator Analysis'!J$29-'Moderator Analysis'!J$30*'Moderator Analysis'!E:E)^2,"")</f>
        <v/>
      </c>
      <c r="FR79" s="196"/>
      <c r="FS79" s="182"/>
      <c r="FT7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79" s="39" t="str">
        <f>IF(AND(Include_study?="Yes",Sufficient_data="Yes"),1/('Publication Bias Analysis'!F:F^2+IF(Additional_model="Fixed effect",0,Calculations!GH$12)),"")</f>
        <v/>
      </c>
      <c r="FV79" s="39" t="str">
        <f>IF(AND(Include_study?="Yes",Sufficient_data="Yes"),1/('Publication Bias Analysis'!F:F^2+IF(Additional_model="Fixed effect",0,'Publication Bias Analysis'!L$32)),"")</f>
        <v/>
      </c>
      <c r="FW79" s="39" t="str">
        <f>IF(AND(Include_study?="Yes",Sufficient_data="Yes"),'Publication Bias Analysis'!E:E-'Publication Bias Analysis'!I$37,"")</f>
        <v/>
      </c>
      <c r="FX79" s="39" t="str">
        <f>IF(AND(Include_study?="Yes",Sufficient_data="Yes"),IF(Additional_model="Fixed effect",1/'Publication Bias Analysis'!F:F,1/SQRT('Publication Bias Analysis'!F:F^2+GH$12)),"")</f>
        <v/>
      </c>
      <c r="FY7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79" s="136" t="str">
        <f t="shared" si="317"/>
        <v/>
      </c>
      <c r="GA79" s="144" t="str">
        <f>IF(AND(Include_study?="Yes",Sufficient_data="Yes"),FZ:FZ+IF(GL:GL&lt;0,-1,1)*COUNTIF(FZ$2:FZ78,FZ:FZ),"")</f>
        <v/>
      </c>
      <c r="GB79" s="144" t="str">
        <f>IF(AND(Include_study?="Yes",Sufficient_data="Yes"),RANK(GP:GP,GP:GP,1)*IF(GO:GO&lt;0,-1,1)+IF(GO:GO&lt;0,-1,1)*COUNTIF(FZ$2:FZ78,FZ:FZ),"")</f>
        <v/>
      </c>
      <c r="GC79" s="144" t="str">
        <f>IF(AND(Include_study?="Yes",Sufficient_data="Yes"),RANK(GS:GS,GS:GS,1)*IF(GR:GR&lt;0,-1,1)+IF(GR:GR&lt;0,-1,1)*COUNTIF(FZ$2:FZ78,FZ:FZ),"")</f>
        <v/>
      </c>
      <c r="GD79" s="39" t="e">
        <f>IF(AND(Include_study?="Yes",Sufficient_data="Yes"),'Publication Bias Analysis'!E79,NA())</f>
        <v>#N/A</v>
      </c>
      <c r="GE79" s="74" t="e">
        <f>IF(AND(Include_study?="Yes",Sufficient_data="Yes"),'Publication Bias Analysis'!F79,NA())</f>
        <v>#N/A</v>
      </c>
      <c r="GK79" s="176"/>
      <c r="GL7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79" s="39" t="str">
        <f t="shared" si="318"/>
        <v/>
      </c>
      <c r="GN7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79" s="39" t="str">
        <f>IF(AND(Include_study?="Yes",Sufficient_data="Yes"),IF('Publication Bias Analysis'!L$38="Left",'Publication Bias Analysis'!E:E-GW$3,GW$3-'Publication Bias Analysis'!E:E),"")</f>
        <v/>
      </c>
      <c r="GP79" s="39" t="str">
        <f t="shared" si="330"/>
        <v/>
      </c>
      <c r="GQ7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79" s="39" t="str">
        <f>IF(AND(Include_study?="Yes",Sufficient_data="Yes"),IF('Publication Bias Analysis'!L$38="Left",'Publication Bias Analysis'!E:E-GW$10,GW$10-'Publication Bias Analysis'!E:E),"")</f>
        <v/>
      </c>
      <c r="GS79" s="39" t="str">
        <f t="shared" si="331"/>
        <v/>
      </c>
      <c r="GT7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79" s="176"/>
      <c r="HL79" s="69" t="str">
        <f t="shared" si="319"/>
        <v/>
      </c>
      <c r="HM79" s="74" t="str">
        <f>IF(AND(Include_study?="Yes",Sufficient_data="Yes"),Z_score-('Publication Bias Analysis'!P$3+'Publication Bias Analysis'!P$4*Inverse_standard_error),"")</f>
        <v/>
      </c>
      <c r="HO79" s="176"/>
      <c r="HP79" s="69" t="str">
        <f>IF(AND(Include_study?="Yes",Sufficient_data="Yes"),(GD:GD-SUMPRODUCT(Calculations!FT:FT,'Publication Bias Analysis'!E:E)/SUM(Calculations!FT:FT))/SQRT(Calculations!HQ:HQ),"")</f>
        <v/>
      </c>
      <c r="HQ79" s="69" t="str">
        <f>IF(AND(Include_study?="Yes",Sufficient_data="Yes"),GE:GE^2-1/SUM(Calculations!FT:FT),"")</f>
        <v/>
      </c>
      <c r="HR79" s="7" t="str">
        <f t="shared" si="240"/>
        <v/>
      </c>
      <c r="HS79" s="7" t="str">
        <f t="shared" si="241"/>
        <v/>
      </c>
      <c r="HT79" s="7" t="str">
        <f>IF(AND(Include_study?="Yes",Sufficient_data="Yes"),COUNTIFS(HR$2:HR78,"&lt;"&amp;HR79,HS$2:HS78,"&lt;"&amp;HS79)+COUNTIFS(HR80:HR$201,"&lt;"&amp;HR79,HS80:HS$201,"&lt;"&amp;HS79)+COUNTIFS(HR$2:HR78,"&gt;"&amp;HR79,HS$2:HS78,"&gt;"&amp;HS79)+COUNTIFS(HR80:HR$201,"&gt;"&amp;HR79,HS80:HS$201,"&gt;"&amp;HS79),"")</f>
        <v/>
      </c>
      <c r="HU79" s="104" t="str">
        <f>IF(AND(Include_study?="Yes",Sufficient_data="Yes"),COUNTIFS(HR$2:HR78,"&lt;"&amp;HR79,HS$2:HS78,"&gt;"&amp;HS79)+COUNTIFS(HR80:HR$201,"&lt;"&amp;HR79,HS80:HS$201,"&gt;"&amp;HS79)+COUNTIFS(HR$2:HR78,"&gt;"&amp;HR79,HS$2:HS78,"&lt;"&amp;HS79)+COUNTIFS(HR80:HR$201,"&gt;"&amp;HR79,HS80:HS$201,"&lt;"&amp;HS79),"")</f>
        <v/>
      </c>
      <c r="HW79" s="176"/>
      <c r="IB79" s="176"/>
      <c r="IC79" s="146" t="e">
        <f t="shared" si="320"/>
        <v>#N/A</v>
      </c>
      <c r="ID79" s="137" t="e">
        <f t="shared" si="321"/>
        <v>#N/A</v>
      </c>
      <c r="IE79" s="137" t="str">
        <f t="shared" si="322"/>
        <v/>
      </c>
      <c r="IF79" s="95" t="str">
        <f t="shared" si="323"/>
        <v/>
      </c>
      <c r="IK79" s="176"/>
      <c r="IL79" s="69" t="e">
        <f>IF(AND(Include_study?="Yes",Sufficient_data="Yes"),'Publication Bias Analysis'!AV:AV,NA())</f>
        <v>#N/A</v>
      </c>
      <c r="IM79" s="158" t="e">
        <f>IF(AND(Sufficient_data="Yes",Include_study?="Yes"),'Publication Bias Analysis'!AU:AU,NA())</f>
        <v>#N/A</v>
      </c>
      <c r="IN79" s="69" t="str">
        <f t="shared" si="219"/>
        <v/>
      </c>
      <c r="IO79" s="74" t="str">
        <f>IF(AND(Include_study?="Yes",Sufficient_data="Yes"),Z_score-('Publication Bias Analysis'!AY$30+'Publication Bias Analysis'!AY$31*Inverse_standard_error),"")</f>
        <v/>
      </c>
      <c r="IU79" s="176"/>
      <c r="IV79" s="7" t="str">
        <f>IF('Publication Bias Analysis'!BG:BG&lt;&gt;"",RANK('Publication Bias Analysis'!BG:BG,'Publication Bias Analysis'!BG:BG,1)+COUNTIF('Publication Bias Analysis'!BG$2:BG78,'Publication Bias Analysis'!BG79),"")</f>
        <v/>
      </c>
      <c r="IW79" s="124" t="str">
        <f t="shared" si="324"/>
        <v/>
      </c>
      <c r="IX79" s="125" t="e">
        <f>IF('Publication Bias Analysis'!BF79&lt;&gt;"",'Publication Bias Analysis'!BF79,NA())</f>
        <v>#N/A</v>
      </c>
      <c r="IY79" s="125" t="e">
        <f>IF('Publication Bias Analysis'!BG79&lt;&gt;"",'Publication Bias Analysis'!BG79,NA())</f>
        <v>#N/A</v>
      </c>
      <c r="IZ79" s="69" t="str">
        <f>IF(AND(Include_study?="Yes",Sufficient_data="Yes"),'Publication Bias Analysis'!BF:BF-AVERAGE('Publication Bias Analysis'!BF:BF),"")</f>
        <v/>
      </c>
      <c r="JA79" s="74" t="str">
        <f>IF(AND(Include_study?="Yes",Sufficient_data="Yes"),'Publication Bias Analysis'!BG:BG-('Publication Bias Analysis'!BJ$30+'Publication Bias Analysis'!BJ$31*'Publication Bias Analysis'!BF:BF),"")</f>
        <v/>
      </c>
      <c r="JG79" s="176"/>
      <c r="JH79" s="39" t="str">
        <f t="shared" si="325"/>
        <v/>
      </c>
      <c r="JI79" s="148" t="str">
        <f t="shared" si="332"/>
        <v/>
      </c>
      <c r="JJ79" s="74" t="str">
        <f t="shared" si="333"/>
        <v/>
      </c>
    </row>
    <row r="80" spans="1:270" x14ac:dyDescent="0.2">
      <c r="A80" s="56" t="str">
        <f t="shared" si="126"/>
        <v/>
      </c>
      <c r="B80" s="7" t="str">
        <f>IF(AND(Include_study?="Yes",Sufficient_data="Yes"),IF(Input!a_&lt;&gt;"",Input!a_,Input!n1_-Input!b_),"")</f>
        <v/>
      </c>
      <c r="C80" s="7" t="str">
        <f>IF(AND(Include_study?="Yes",Sufficient_data="Yes"),IF(Input!b_&lt;&gt;"",Input!b_,Input!n1_-Input!a_),"")</f>
        <v/>
      </c>
      <c r="D80" s="7" t="str">
        <f>IF(AND(Include_study?="Yes",Sufficient_data="Yes"),IF(Input!c_&lt;&gt;"",Input!c_,Input!n2_-Input!d_),"")</f>
        <v/>
      </c>
      <c r="E80" s="7" t="str">
        <f>IF(AND(Include_study?="Yes",Sufficient_data="Yes"),IF(Input!d_&lt;&gt;"",Input!d_,Input!n2_-Input!c_),"")</f>
        <v/>
      </c>
      <c r="F80" s="74" t="str">
        <f t="shared" si="244"/>
        <v/>
      </c>
      <c r="H80" s="196"/>
      <c r="I80" s="182"/>
      <c r="J80" s="146" t="str">
        <f t="shared" si="245"/>
        <v/>
      </c>
      <c r="K80" s="39" t="str">
        <f t="shared" si="246"/>
        <v/>
      </c>
      <c r="L80" s="39" t="str">
        <f t="shared" si="247"/>
        <v/>
      </c>
      <c r="M80" s="39" t="str">
        <f t="shared" si="248"/>
        <v/>
      </c>
      <c r="N80" s="74" t="str">
        <f t="shared" si="249"/>
        <v/>
      </c>
      <c r="P80" s="176"/>
      <c r="Q80" s="130" t="str">
        <f t="shared" si="250"/>
        <v/>
      </c>
      <c r="R80" s="39" t="str">
        <f t="shared" si="251"/>
        <v/>
      </c>
      <c r="S80" s="39" t="str">
        <f t="shared" si="252"/>
        <v/>
      </c>
      <c r="T80" s="74" t="str">
        <f t="shared" si="253"/>
        <v/>
      </c>
      <c r="V80" s="176"/>
      <c r="W80" s="130" t="str">
        <f t="shared" si="254"/>
        <v/>
      </c>
      <c r="X80" s="39" t="str">
        <f t="shared" si="255"/>
        <v/>
      </c>
      <c r="Y80" s="39" t="str">
        <f t="shared" si="256"/>
        <v/>
      </c>
      <c r="Z80" s="74" t="str">
        <f t="shared" si="257"/>
        <v/>
      </c>
      <c r="AB80" s="176"/>
      <c r="AC80" s="130" t="str">
        <f t="shared" si="258"/>
        <v/>
      </c>
      <c r="AD80" s="39" t="str">
        <f t="shared" si="259"/>
        <v/>
      </c>
      <c r="AE80" s="39" t="str">
        <f t="shared" si="260"/>
        <v/>
      </c>
      <c r="AF80" s="39" t="str">
        <f t="shared" si="261"/>
        <v/>
      </c>
      <c r="AG80" s="74" t="str">
        <f t="shared" si="262"/>
        <v/>
      </c>
      <c r="AI80" s="196"/>
      <c r="AJ8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0" s="136" t="str">
        <f>IF(AJ80&lt;&gt;"",IF(AJ80=0,COUNTIF(AJ$2:AJ79,0)+1,COUNTIF(AJ$2:AJ79,AJ80)+AJ80+COUNTIF(AJ:AJ,0)),"")</f>
        <v/>
      </c>
      <c r="AL80" s="136" t="str">
        <f t="shared" si="263"/>
        <v/>
      </c>
      <c r="AM80" s="155" t="str">
        <f>IF(AND(Include_study?="Yes",Sufficient_data="Yes",Input!Study_name&lt;&gt;""),Input!Study_name,"")</f>
        <v/>
      </c>
      <c r="AN80" s="136" t="str">
        <f t="shared" si="264"/>
        <v/>
      </c>
      <c r="AO80" s="19" t="str">
        <f t="shared" si="265"/>
        <v/>
      </c>
      <c r="AP80" s="158" t="str">
        <f t="shared" si="266"/>
        <v/>
      </c>
      <c r="AQ80" s="158" t="str">
        <f t="shared" si="267"/>
        <v/>
      </c>
      <c r="AR80" s="39" t="str">
        <f t="shared" si="268"/>
        <v/>
      </c>
      <c r="AS80" s="158" t="str">
        <f t="shared" si="269"/>
        <v/>
      </c>
      <c r="AT80" s="39" t="str">
        <f t="shared" si="270"/>
        <v/>
      </c>
      <c r="AU80" s="172" t="str">
        <f t="shared" si="271"/>
        <v/>
      </c>
      <c r="AV80" s="45"/>
      <c r="AW80" s="84" t="e">
        <f t="shared" si="152"/>
        <v>#N/A</v>
      </c>
      <c r="AX80" s="69" t="e">
        <f t="shared" si="272"/>
        <v>#N/A</v>
      </c>
      <c r="AY80" s="74" t="e">
        <f t="shared" si="273"/>
        <v>#N/A</v>
      </c>
      <c r="AZ80" s="45"/>
      <c r="BA80" s="45"/>
      <c r="BB80" s="45"/>
      <c r="BC80" s="45"/>
      <c r="BD80" s="196"/>
      <c r="BE80" s="182"/>
      <c r="BF80" s="69" t="str">
        <f t="shared" si="155"/>
        <v/>
      </c>
      <c r="BG80" s="69" t="str">
        <f t="shared" si="156"/>
        <v/>
      </c>
      <c r="BH80" s="69" t="str">
        <f t="shared" si="157"/>
        <v/>
      </c>
      <c r="BI80" s="39" t="str">
        <f t="shared" si="158"/>
        <v/>
      </c>
      <c r="BJ80" s="95" t="str">
        <f t="shared" si="274"/>
        <v/>
      </c>
      <c r="BO80" s="176"/>
      <c r="BP80" s="158" t="str">
        <f t="shared" si="275"/>
        <v/>
      </c>
      <c r="BQ80" s="158" t="str">
        <f t="shared" si="276"/>
        <v/>
      </c>
      <c r="BR80" s="158" t="str">
        <f t="shared" si="277"/>
        <v/>
      </c>
      <c r="BS80" s="158" t="str">
        <f>IF(AND(Sufficient_data="Yes",Include_study?="Yes"),IF(Add_0_5="Yes",(a_+d_+1)*(ab_+0.5)*(c_+0.5)/(Number_of_subjects+2)^2,(a_+d_)*b_*c_/Number_of_subjects^2),"")</f>
        <v/>
      </c>
      <c r="BT80" s="158" t="str">
        <f t="shared" si="278"/>
        <v/>
      </c>
      <c r="BU80" s="158" t="str">
        <f t="shared" si="279"/>
        <v/>
      </c>
      <c r="BV80" s="158" t="str">
        <f t="shared" si="280"/>
        <v/>
      </c>
      <c r="BW80" s="69" t="str">
        <f t="shared" si="166"/>
        <v/>
      </c>
      <c r="BX80" s="137" t="str">
        <f t="shared" si="167"/>
        <v/>
      </c>
      <c r="BY80" s="95" t="str">
        <f t="shared" si="281"/>
        <v/>
      </c>
      <c r="CD80" s="176"/>
      <c r="CE80" s="130" t="str">
        <f t="shared" si="282"/>
        <v/>
      </c>
      <c r="CF80" s="39" t="str">
        <f t="shared" si="283"/>
        <v/>
      </c>
      <c r="CG80" s="39" t="str">
        <f t="shared" si="284"/>
        <v/>
      </c>
      <c r="CH80" s="39" t="str">
        <f t="shared" si="285"/>
        <v/>
      </c>
      <c r="CI80" s="39" t="str">
        <f t="shared" si="286"/>
        <v/>
      </c>
      <c r="CJ80" s="39" t="str">
        <f t="shared" si="287"/>
        <v/>
      </c>
      <c r="CK80" s="95" t="str">
        <f t="shared" si="288"/>
        <v/>
      </c>
      <c r="CP80" s="176"/>
      <c r="CQ80" s="99" t="str">
        <f t="shared" si="175"/>
        <v/>
      </c>
      <c r="CX80" s="196"/>
      <c r="CY80" s="89" t="e">
        <f t="shared" si="289"/>
        <v>#N/A</v>
      </c>
      <c r="CZ80" s="136" t="str">
        <f t="shared" si="290"/>
        <v/>
      </c>
      <c r="DA80" s="140" t="str">
        <f t="shared" si="291"/>
        <v/>
      </c>
      <c r="DB80" s="39" t="str">
        <f t="shared" si="292"/>
        <v/>
      </c>
      <c r="DC80" s="39" t="str">
        <f t="shared" si="293"/>
        <v/>
      </c>
      <c r="DD80" s="39" t="str">
        <f t="shared" si="294"/>
        <v/>
      </c>
      <c r="DE80" s="39" t="str">
        <f t="shared" si="295"/>
        <v/>
      </c>
      <c r="DF80" s="141" t="str">
        <f t="shared" si="296"/>
        <v/>
      </c>
      <c r="DG80" s="39" t="str">
        <f t="shared" si="297"/>
        <v/>
      </c>
      <c r="DH80" s="39" t="str">
        <f t="shared" si="298"/>
        <v/>
      </c>
      <c r="DI80" s="39" t="str">
        <f t="shared" si="299"/>
        <v/>
      </c>
      <c r="DJ80" s="74" t="str">
        <f t="shared" si="300"/>
        <v/>
      </c>
      <c r="DK80" s="45"/>
      <c r="DL80" s="84" t="e">
        <f t="shared" si="222"/>
        <v>#N/A</v>
      </c>
      <c r="DM80" s="39" t="e">
        <f t="shared" si="301"/>
        <v>#N/A</v>
      </c>
      <c r="DN80" s="74" t="e">
        <f t="shared" si="302"/>
        <v>#N/A</v>
      </c>
      <c r="DO80" s="45"/>
      <c r="DP80" s="89" t="str">
        <f t="shared" si="326"/>
        <v/>
      </c>
      <c r="DQ80" s="26" t="str">
        <f>IF(AND(Sufficient_data="Yes",Subgroup&lt;&gt;""),IF(COUNTIFS(Input!J$2:J79,"="&amp;"Yes",Input!C$2:C79,"="&amp;"Yes",Input!K$2:K79,"="&amp;Subgroup)&gt;0,"",Subgroup),"")</f>
        <v/>
      </c>
      <c r="DR80" s="7" t="str">
        <f t="shared" si="327"/>
        <v/>
      </c>
      <c r="DS80" s="7" t="str">
        <f t="shared" si="303"/>
        <v/>
      </c>
      <c r="DT80" s="19" t="str">
        <f t="shared" si="304"/>
        <v/>
      </c>
      <c r="DU80" s="12" t="str">
        <f t="shared" si="223"/>
        <v/>
      </c>
      <c r="DV80" s="11" t="str">
        <f t="shared" si="224"/>
        <v/>
      </c>
      <c r="DW80" s="12" t="str">
        <f t="shared" si="225"/>
        <v/>
      </c>
      <c r="DX80" s="12" t="str">
        <f t="shared" si="305"/>
        <v/>
      </c>
      <c r="DY80" s="19" t="str">
        <f t="shared" si="226"/>
        <v/>
      </c>
      <c r="DZ80" s="12" t="str">
        <f t="shared" si="227"/>
        <v/>
      </c>
      <c r="EA80" s="19" t="str">
        <f t="shared" si="306"/>
        <v/>
      </c>
      <c r="EB80" s="7" t="str">
        <f t="shared" si="307"/>
        <v/>
      </c>
      <c r="EC80" s="19" t="str">
        <f t="shared" si="308"/>
        <v/>
      </c>
      <c r="ED80" s="19" t="str">
        <f t="shared" si="309"/>
        <v/>
      </c>
      <c r="EE80" s="19" t="str">
        <f t="shared" si="228"/>
        <v/>
      </c>
      <c r="EF80" s="19" t="str">
        <f t="shared" si="229"/>
        <v/>
      </c>
      <c r="EG80" s="19" t="str">
        <f t="shared" si="230"/>
        <v/>
      </c>
      <c r="EH80" s="19" t="str">
        <f t="shared" si="231"/>
        <v/>
      </c>
      <c r="EI80" s="19" t="str">
        <f t="shared" si="232"/>
        <v/>
      </c>
      <c r="EJ80" s="19" t="str">
        <f t="shared" si="310"/>
        <v/>
      </c>
      <c r="EK80" s="19" t="str">
        <f t="shared" si="311"/>
        <v/>
      </c>
      <c r="EL80" s="19" t="str">
        <f t="shared" si="233"/>
        <v/>
      </c>
      <c r="EM80" s="19" t="str">
        <f t="shared" si="234"/>
        <v/>
      </c>
      <c r="EN80" s="19" t="str">
        <f t="shared" si="235"/>
        <v/>
      </c>
      <c r="EO80" s="19" t="str">
        <f t="shared" si="236"/>
        <v/>
      </c>
      <c r="EP80" s="19" t="str">
        <f t="shared" si="237"/>
        <v/>
      </c>
      <c r="EQ80" s="19" t="e">
        <f t="shared" si="238"/>
        <v>#N/A</v>
      </c>
      <c r="ER80" s="11" t="str">
        <f t="shared" si="328"/>
        <v/>
      </c>
      <c r="ES80" s="19" t="str">
        <f t="shared" si="329"/>
        <v/>
      </c>
      <c r="ET80" s="156" t="str">
        <f t="shared" si="312"/>
        <v/>
      </c>
      <c r="EU80" s="39" t="str">
        <f t="shared" si="239"/>
        <v/>
      </c>
      <c r="EV80" s="74" t="str">
        <f t="shared" si="313"/>
        <v/>
      </c>
      <c r="FA80" s="196"/>
      <c r="FB80" s="84" t="e">
        <f>IF(AND(Include_study?="Yes",Sufficient_data="Yes",Moderator&lt;&gt;""),'Moderator Analysis'!E80,NA())</f>
        <v>#N/A</v>
      </c>
      <c r="FC80" s="39" t="e">
        <f>IF(AND(Include_study?="Yes",Sufficient_data="Yes",Moderator&lt;&gt;""),'Moderator Analysis'!F80,NA())</f>
        <v>#N/A</v>
      </c>
      <c r="FD80" s="39" t="str">
        <f t="shared" si="314"/>
        <v/>
      </c>
      <c r="FE80" s="39" t="str">
        <f t="shared" si="315"/>
        <v/>
      </c>
      <c r="FF80" s="39" t="str">
        <f>IF(AND(Include_study?="Yes",Sufficient_data="Yes",Moderator&lt;&gt;""),'Moderator Analysis'!F:F-FP$2,"")</f>
        <v/>
      </c>
      <c r="FG80" s="39" t="str">
        <f>IF(AND(Include_study?="Yes",Sufficient_data="Yes",Moderator&lt;&gt;""),'Moderator Analysis'!E:E-FP$3,"")</f>
        <v/>
      </c>
      <c r="FH80" s="74" t="str">
        <f>IF(AND(Include_study?="Yes",Sufficient_data="Yes",Moderator&lt;&gt;""),FE:FE*('Moderator Analysis'!F:F-FP$5-FP$4*'Moderator Analysis'!E:E)^2,"")</f>
        <v/>
      </c>
      <c r="FI80" s="128"/>
      <c r="FJ80" s="92" t="str">
        <f t="shared" si="316"/>
        <v/>
      </c>
      <c r="FK80" s="137" t="str">
        <f>IF(AND(Include_study?="Yes",Sufficient_data="Yes",Moderator&lt;&gt;""),'Moderator Analysis'!F:F-'Moderator Analysis'!J$37,"")</f>
        <v/>
      </c>
      <c r="FL80" s="137" t="str">
        <f>IF(AND(Include_study?="Yes",Sufficient_data="Yes",Moderator&lt;&gt;""),'Moderator Analysis'!E:E-SUMPRODUCT('Moderator Analysis'!E:E,FJ:FJ)/SUM(FJ:FJ),"")</f>
        <v/>
      </c>
      <c r="FM80" s="95" t="str">
        <f>IF(AND(Include_study?="Yes",Sufficient_data="Yes",Moderator&lt;&gt;""),FJ:FJ*('Moderator Analysis'!F:F-'Moderator Analysis'!J$29-'Moderator Analysis'!J$30*'Moderator Analysis'!E:E)^2,"")</f>
        <v/>
      </c>
      <c r="FR80" s="196"/>
      <c r="FS80" s="182"/>
      <c r="FT8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0" s="39" t="str">
        <f>IF(AND(Include_study?="Yes",Sufficient_data="Yes"),1/('Publication Bias Analysis'!F:F^2+IF(Additional_model="Fixed effect",0,Calculations!GH$12)),"")</f>
        <v/>
      </c>
      <c r="FV80" s="39" t="str">
        <f>IF(AND(Include_study?="Yes",Sufficient_data="Yes"),1/('Publication Bias Analysis'!F:F^2+IF(Additional_model="Fixed effect",0,'Publication Bias Analysis'!L$32)),"")</f>
        <v/>
      </c>
      <c r="FW80" s="39" t="str">
        <f>IF(AND(Include_study?="Yes",Sufficient_data="Yes"),'Publication Bias Analysis'!E:E-'Publication Bias Analysis'!I$37,"")</f>
        <v/>
      </c>
      <c r="FX80" s="39" t="str">
        <f>IF(AND(Include_study?="Yes",Sufficient_data="Yes"),IF(Additional_model="Fixed effect",1/'Publication Bias Analysis'!F:F,1/SQRT('Publication Bias Analysis'!F:F^2+GH$12)),"")</f>
        <v/>
      </c>
      <c r="FY8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0" s="136" t="str">
        <f t="shared" si="317"/>
        <v/>
      </c>
      <c r="GA80" s="144" t="str">
        <f>IF(AND(Include_study?="Yes",Sufficient_data="Yes"),FZ:FZ+IF(GL:GL&lt;0,-1,1)*COUNTIF(FZ$2:FZ79,FZ:FZ),"")</f>
        <v/>
      </c>
      <c r="GB80" s="144" t="str">
        <f>IF(AND(Include_study?="Yes",Sufficient_data="Yes"),RANK(GP:GP,GP:GP,1)*IF(GO:GO&lt;0,-1,1)+IF(GO:GO&lt;0,-1,1)*COUNTIF(FZ$2:FZ79,FZ:FZ),"")</f>
        <v/>
      </c>
      <c r="GC80" s="144" t="str">
        <f>IF(AND(Include_study?="Yes",Sufficient_data="Yes"),RANK(GS:GS,GS:GS,1)*IF(GR:GR&lt;0,-1,1)+IF(GR:GR&lt;0,-1,1)*COUNTIF(FZ$2:FZ79,FZ:FZ),"")</f>
        <v/>
      </c>
      <c r="GD80" s="39" t="e">
        <f>IF(AND(Include_study?="Yes",Sufficient_data="Yes"),'Publication Bias Analysis'!E80,NA())</f>
        <v>#N/A</v>
      </c>
      <c r="GE80" s="74" t="e">
        <f>IF(AND(Include_study?="Yes",Sufficient_data="Yes"),'Publication Bias Analysis'!F80,NA())</f>
        <v>#N/A</v>
      </c>
      <c r="GK80" s="176"/>
      <c r="GL8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0" s="39" t="str">
        <f t="shared" si="318"/>
        <v/>
      </c>
      <c r="GN8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0" s="39" t="str">
        <f>IF(AND(Include_study?="Yes",Sufficient_data="Yes"),IF('Publication Bias Analysis'!L$38="Left",'Publication Bias Analysis'!E:E-GW$3,GW$3-'Publication Bias Analysis'!E:E),"")</f>
        <v/>
      </c>
      <c r="GP80" s="39" t="str">
        <f t="shared" si="330"/>
        <v/>
      </c>
      <c r="GQ8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0" s="39" t="str">
        <f>IF(AND(Include_study?="Yes",Sufficient_data="Yes"),IF('Publication Bias Analysis'!L$38="Left",'Publication Bias Analysis'!E:E-GW$10,GW$10-'Publication Bias Analysis'!E:E),"")</f>
        <v/>
      </c>
      <c r="GS80" s="39" t="str">
        <f t="shared" si="331"/>
        <v/>
      </c>
      <c r="GT8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0" s="176"/>
      <c r="HL80" s="69" t="str">
        <f t="shared" si="319"/>
        <v/>
      </c>
      <c r="HM80" s="74" t="str">
        <f>IF(AND(Include_study?="Yes",Sufficient_data="Yes"),Z_score-('Publication Bias Analysis'!P$3+'Publication Bias Analysis'!P$4*Inverse_standard_error),"")</f>
        <v/>
      </c>
      <c r="HO80" s="176"/>
      <c r="HP80" s="69" t="str">
        <f>IF(AND(Include_study?="Yes",Sufficient_data="Yes"),(GD:GD-SUMPRODUCT(Calculations!FT:FT,'Publication Bias Analysis'!E:E)/SUM(Calculations!FT:FT))/SQRT(Calculations!HQ:HQ),"")</f>
        <v/>
      </c>
      <c r="HQ80" s="69" t="str">
        <f>IF(AND(Include_study?="Yes",Sufficient_data="Yes"),GE:GE^2-1/SUM(Calculations!FT:FT),"")</f>
        <v/>
      </c>
      <c r="HR80" s="7" t="str">
        <f t="shared" si="240"/>
        <v/>
      </c>
      <c r="HS80" s="7" t="str">
        <f t="shared" si="241"/>
        <v/>
      </c>
      <c r="HT80" s="7" t="str">
        <f>IF(AND(Include_study?="Yes",Sufficient_data="Yes"),COUNTIFS(HR$2:HR79,"&lt;"&amp;HR80,HS$2:HS79,"&lt;"&amp;HS80)+COUNTIFS(HR81:HR$201,"&lt;"&amp;HR80,HS81:HS$201,"&lt;"&amp;HS80)+COUNTIFS(HR$2:HR79,"&gt;"&amp;HR80,HS$2:HS79,"&gt;"&amp;HS80)+COUNTIFS(HR81:HR$201,"&gt;"&amp;HR80,HS81:HS$201,"&gt;"&amp;HS80),"")</f>
        <v/>
      </c>
      <c r="HU80" s="104" t="str">
        <f>IF(AND(Include_study?="Yes",Sufficient_data="Yes"),COUNTIFS(HR$2:HR79,"&lt;"&amp;HR80,HS$2:HS79,"&gt;"&amp;HS80)+COUNTIFS(HR81:HR$201,"&lt;"&amp;HR80,HS81:HS$201,"&gt;"&amp;HS80)+COUNTIFS(HR$2:HR79,"&gt;"&amp;HR80,HS$2:HS79,"&lt;"&amp;HS80)+COUNTIFS(HR81:HR$201,"&gt;"&amp;HR80,HS81:HS$201,"&lt;"&amp;HS80),"")</f>
        <v/>
      </c>
      <c r="HW80" s="176"/>
      <c r="IB80" s="176"/>
      <c r="IC80" s="146" t="e">
        <f t="shared" si="320"/>
        <v>#N/A</v>
      </c>
      <c r="ID80" s="137" t="e">
        <f t="shared" si="321"/>
        <v>#N/A</v>
      </c>
      <c r="IE80" s="137" t="str">
        <f t="shared" si="322"/>
        <v/>
      </c>
      <c r="IF80" s="95" t="str">
        <f t="shared" si="323"/>
        <v/>
      </c>
      <c r="IK80" s="176"/>
      <c r="IL80" s="69" t="e">
        <f>IF(AND(Include_study?="Yes",Sufficient_data="Yes"),'Publication Bias Analysis'!AV:AV,NA())</f>
        <v>#N/A</v>
      </c>
      <c r="IM80" s="158" t="e">
        <f>IF(AND(Sufficient_data="Yes",Include_study?="Yes"),'Publication Bias Analysis'!AU:AU,NA())</f>
        <v>#N/A</v>
      </c>
      <c r="IN80" s="69" t="str">
        <f t="shared" si="219"/>
        <v/>
      </c>
      <c r="IO80" s="74" t="str">
        <f>IF(AND(Include_study?="Yes",Sufficient_data="Yes"),Z_score-('Publication Bias Analysis'!AY$30+'Publication Bias Analysis'!AY$31*Inverse_standard_error),"")</f>
        <v/>
      </c>
      <c r="IU80" s="176"/>
      <c r="IV80" s="7" t="str">
        <f>IF('Publication Bias Analysis'!BG:BG&lt;&gt;"",RANK('Publication Bias Analysis'!BG:BG,'Publication Bias Analysis'!BG:BG,1)+COUNTIF('Publication Bias Analysis'!BG$2:BG79,'Publication Bias Analysis'!BG80),"")</f>
        <v/>
      </c>
      <c r="IW80" s="124" t="str">
        <f t="shared" si="324"/>
        <v/>
      </c>
      <c r="IX80" s="125" t="e">
        <f>IF('Publication Bias Analysis'!BF80&lt;&gt;"",'Publication Bias Analysis'!BF80,NA())</f>
        <v>#N/A</v>
      </c>
      <c r="IY80" s="125" t="e">
        <f>IF('Publication Bias Analysis'!BG80&lt;&gt;"",'Publication Bias Analysis'!BG80,NA())</f>
        <v>#N/A</v>
      </c>
      <c r="IZ80" s="69" t="str">
        <f>IF(AND(Include_study?="Yes",Sufficient_data="Yes"),'Publication Bias Analysis'!BF:BF-AVERAGE('Publication Bias Analysis'!BF:BF),"")</f>
        <v/>
      </c>
      <c r="JA80" s="74" t="str">
        <f>IF(AND(Include_study?="Yes",Sufficient_data="Yes"),'Publication Bias Analysis'!BG:BG-('Publication Bias Analysis'!BJ$30+'Publication Bias Analysis'!BJ$31*'Publication Bias Analysis'!BF:BF),"")</f>
        <v/>
      </c>
      <c r="JG80" s="176"/>
      <c r="JH80" s="39" t="str">
        <f t="shared" si="325"/>
        <v/>
      </c>
      <c r="JI80" s="148" t="str">
        <f t="shared" si="332"/>
        <v/>
      </c>
      <c r="JJ80" s="74" t="str">
        <f t="shared" si="333"/>
        <v/>
      </c>
    </row>
    <row r="81" spans="1:270" x14ac:dyDescent="0.2">
      <c r="A81" s="56" t="str">
        <f t="shared" si="126"/>
        <v/>
      </c>
      <c r="B81" s="7" t="str">
        <f>IF(AND(Include_study?="Yes",Sufficient_data="Yes"),IF(Input!a_&lt;&gt;"",Input!a_,Input!n1_-Input!b_),"")</f>
        <v/>
      </c>
      <c r="C81" s="7" t="str">
        <f>IF(AND(Include_study?="Yes",Sufficient_data="Yes"),IF(Input!b_&lt;&gt;"",Input!b_,Input!n1_-Input!a_),"")</f>
        <v/>
      </c>
      <c r="D81" s="7" t="str">
        <f>IF(AND(Include_study?="Yes",Sufficient_data="Yes"),IF(Input!c_&lt;&gt;"",Input!c_,Input!n2_-Input!d_),"")</f>
        <v/>
      </c>
      <c r="E81" s="7" t="str">
        <f>IF(AND(Include_study?="Yes",Sufficient_data="Yes"),IF(Input!d_&lt;&gt;"",Input!d_,Input!n2_-Input!c_),"")</f>
        <v/>
      </c>
      <c r="F81" s="74" t="str">
        <f t="shared" si="244"/>
        <v/>
      </c>
      <c r="H81" s="196"/>
      <c r="I81" s="182"/>
      <c r="J81" s="146" t="str">
        <f t="shared" si="245"/>
        <v/>
      </c>
      <c r="K81" s="39" t="str">
        <f t="shared" si="246"/>
        <v/>
      </c>
      <c r="L81" s="39" t="str">
        <f t="shared" si="247"/>
        <v/>
      </c>
      <c r="M81" s="39" t="str">
        <f t="shared" si="248"/>
        <v/>
      </c>
      <c r="N81" s="74" t="str">
        <f t="shared" si="249"/>
        <v/>
      </c>
      <c r="P81" s="176"/>
      <c r="Q81" s="130" t="str">
        <f t="shared" si="250"/>
        <v/>
      </c>
      <c r="R81" s="39" t="str">
        <f t="shared" si="251"/>
        <v/>
      </c>
      <c r="S81" s="39" t="str">
        <f t="shared" si="252"/>
        <v/>
      </c>
      <c r="T81" s="74" t="str">
        <f t="shared" si="253"/>
        <v/>
      </c>
      <c r="V81" s="176"/>
      <c r="W81" s="130" t="str">
        <f t="shared" si="254"/>
        <v/>
      </c>
      <c r="X81" s="39" t="str">
        <f t="shared" si="255"/>
        <v/>
      </c>
      <c r="Y81" s="39" t="str">
        <f t="shared" si="256"/>
        <v/>
      </c>
      <c r="Z81" s="74" t="str">
        <f t="shared" si="257"/>
        <v/>
      </c>
      <c r="AB81" s="176"/>
      <c r="AC81" s="130" t="str">
        <f t="shared" si="258"/>
        <v/>
      </c>
      <c r="AD81" s="39" t="str">
        <f t="shared" si="259"/>
        <v/>
      </c>
      <c r="AE81" s="39" t="str">
        <f t="shared" si="260"/>
        <v/>
      </c>
      <c r="AF81" s="39" t="str">
        <f t="shared" si="261"/>
        <v/>
      </c>
      <c r="AG81" s="74" t="str">
        <f t="shared" si="262"/>
        <v/>
      </c>
      <c r="AI81" s="196"/>
      <c r="AJ8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1" s="136" t="str">
        <f>IF(AJ81&lt;&gt;"",IF(AJ81=0,COUNTIF(AJ$2:AJ80,0)+1,COUNTIF(AJ$2:AJ80,AJ81)+AJ81+COUNTIF(AJ:AJ,0)),"")</f>
        <v/>
      </c>
      <c r="AL81" s="136" t="str">
        <f t="shared" si="263"/>
        <v/>
      </c>
      <c r="AM81" s="155" t="str">
        <f>IF(AND(Include_study?="Yes",Sufficient_data="Yes",Input!Study_name&lt;&gt;""),Input!Study_name,"")</f>
        <v/>
      </c>
      <c r="AN81" s="136" t="str">
        <f t="shared" si="264"/>
        <v/>
      </c>
      <c r="AO81" s="19" t="str">
        <f t="shared" si="265"/>
        <v/>
      </c>
      <c r="AP81" s="158" t="str">
        <f t="shared" si="266"/>
        <v/>
      </c>
      <c r="AQ81" s="158" t="str">
        <f t="shared" si="267"/>
        <v/>
      </c>
      <c r="AR81" s="39" t="str">
        <f t="shared" si="268"/>
        <v/>
      </c>
      <c r="AS81" s="158" t="str">
        <f t="shared" si="269"/>
        <v/>
      </c>
      <c r="AT81" s="39" t="str">
        <f t="shared" si="270"/>
        <v/>
      </c>
      <c r="AU81" s="172" t="str">
        <f t="shared" si="271"/>
        <v/>
      </c>
      <c r="AV81" s="45"/>
      <c r="AW81" s="84" t="e">
        <f t="shared" si="152"/>
        <v>#N/A</v>
      </c>
      <c r="AX81" s="69" t="e">
        <f t="shared" si="272"/>
        <v>#N/A</v>
      </c>
      <c r="AY81" s="74" t="e">
        <f t="shared" si="273"/>
        <v>#N/A</v>
      </c>
      <c r="AZ81" s="45"/>
      <c r="BA81" s="45"/>
      <c r="BB81" s="45"/>
      <c r="BC81" s="45"/>
      <c r="BD81" s="196"/>
      <c r="BE81" s="182"/>
      <c r="BF81" s="69" t="str">
        <f t="shared" si="155"/>
        <v/>
      </c>
      <c r="BG81" s="69" t="str">
        <f t="shared" si="156"/>
        <v/>
      </c>
      <c r="BH81" s="69" t="str">
        <f t="shared" si="157"/>
        <v/>
      </c>
      <c r="BI81" s="39" t="str">
        <f t="shared" si="158"/>
        <v/>
      </c>
      <c r="BJ81" s="95" t="str">
        <f t="shared" si="274"/>
        <v/>
      </c>
      <c r="BO81" s="176"/>
      <c r="BP81" s="158" t="str">
        <f t="shared" si="275"/>
        <v/>
      </c>
      <c r="BQ81" s="158" t="str">
        <f t="shared" si="276"/>
        <v/>
      </c>
      <c r="BR81" s="158" t="str">
        <f t="shared" si="277"/>
        <v/>
      </c>
      <c r="BS81" s="158" t="str">
        <f>IF(AND(Sufficient_data="Yes",Include_study?="Yes"),IF(Add_0_5="Yes",(a_+d_+1)*(ab_+0.5)*(c_+0.5)/(Number_of_subjects+2)^2,(a_+d_)*b_*c_/Number_of_subjects^2),"")</f>
        <v/>
      </c>
      <c r="BT81" s="158" t="str">
        <f t="shared" si="278"/>
        <v/>
      </c>
      <c r="BU81" s="158" t="str">
        <f t="shared" si="279"/>
        <v/>
      </c>
      <c r="BV81" s="158" t="str">
        <f t="shared" si="280"/>
        <v/>
      </c>
      <c r="BW81" s="69" t="str">
        <f t="shared" si="166"/>
        <v/>
      </c>
      <c r="BX81" s="137" t="str">
        <f t="shared" si="167"/>
        <v/>
      </c>
      <c r="BY81" s="95" t="str">
        <f t="shared" si="281"/>
        <v/>
      </c>
      <c r="CD81" s="176"/>
      <c r="CE81" s="130" t="str">
        <f t="shared" si="282"/>
        <v/>
      </c>
      <c r="CF81" s="39" t="str">
        <f t="shared" si="283"/>
        <v/>
      </c>
      <c r="CG81" s="39" t="str">
        <f t="shared" si="284"/>
        <v/>
      </c>
      <c r="CH81" s="39" t="str">
        <f t="shared" si="285"/>
        <v/>
      </c>
      <c r="CI81" s="39" t="str">
        <f t="shared" si="286"/>
        <v/>
      </c>
      <c r="CJ81" s="39" t="str">
        <f t="shared" si="287"/>
        <v/>
      </c>
      <c r="CK81" s="95" t="str">
        <f t="shared" si="288"/>
        <v/>
      </c>
      <c r="CP81" s="176"/>
      <c r="CQ81" s="99" t="str">
        <f t="shared" si="175"/>
        <v/>
      </c>
      <c r="CX81" s="196"/>
      <c r="CY81" s="89" t="e">
        <f t="shared" si="289"/>
        <v>#N/A</v>
      </c>
      <c r="CZ81" s="136" t="str">
        <f t="shared" si="290"/>
        <v/>
      </c>
      <c r="DA81" s="140" t="str">
        <f t="shared" si="291"/>
        <v/>
      </c>
      <c r="DB81" s="39" t="str">
        <f t="shared" si="292"/>
        <v/>
      </c>
      <c r="DC81" s="39" t="str">
        <f t="shared" si="293"/>
        <v/>
      </c>
      <c r="DD81" s="39" t="str">
        <f t="shared" si="294"/>
        <v/>
      </c>
      <c r="DE81" s="39" t="str">
        <f t="shared" si="295"/>
        <v/>
      </c>
      <c r="DF81" s="141" t="str">
        <f t="shared" si="296"/>
        <v/>
      </c>
      <c r="DG81" s="39" t="str">
        <f t="shared" si="297"/>
        <v/>
      </c>
      <c r="DH81" s="39" t="str">
        <f t="shared" si="298"/>
        <v/>
      </c>
      <c r="DI81" s="39" t="str">
        <f t="shared" si="299"/>
        <v/>
      </c>
      <c r="DJ81" s="74" t="str">
        <f t="shared" si="300"/>
        <v/>
      </c>
      <c r="DK81" s="45"/>
      <c r="DL81" s="84" t="e">
        <f t="shared" si="222"/>
        <v>#N/A</v>
      </c>
      <c r="DM81" s="39" t="e">
        <f t="shared" si="301"/>
        <v>#N/A</v>
      </c>
      <c r="DN81" s="74" t="e">
        <f t="shared" si="302"/>
        <v>#N/A</v>
      </c>
      <c r="DO81" s="45"/>
      <c r="DP81" s="89" t="str">
        <f t="shared" si="326"/>
        <v/>
      </c>
      <c r="DQ81" s="26" t="str">
        <f>IF(AND(Sufficient_data="Yes",Subgroup&lt;&gt;""),IF(COUNTIFS(Input!J$2:J80,"="&amp;"Yes",Input!C$2:C80,"="&amp;"Yes",Input!K$2:K80,"="&amp;Subgroup)&gt;0,"",Subgroup),"")</f>
        <v/>
      </c>
      <c r="DR81" s="7" t="str">
        <f t="shared" si="327"/>
        <v/>
      </c>
      <c r="DS81" s="7" t="str">
        <f t="shared" si="303"/>
        <v/>
      </c>
      <c r="DT81" s="19" t="str">
        <f t="shared" si="304"/>
        <v/>
      </c>
      <c r="DU81" s="12" t="str">
        <f t="shared" si="223"/>
        <v/>
      </c>
      <c r="DV81" s="11" t="str">
        <f t="shared" si="224"/>
        <v/>
      </c>
      <c r="DW81" s="12" t="str">
        <f t="shared" si="225"/>
        <v/>
      </c>
      <c r="DX81" s="12" t="str">
        <f t="shared" si="305"/>
        <v/>
      </c>
      <c r="DY81" s="19" t="str">
        <f t="shared" si="226"/>
        <v/>
      </c>
      <c r="DZ81" s="12" t="str">
        <f t="shared" si="227"/>
        <v/>
      </c>
      <c r="EA81" s="19" t="str">
        <f t="shared" si="306"/>
        <v/>
      </c>
      <c r="EB81" s="7" t="str">
        <f t="shared" si="307"/>
        <v/>
      </c>
      <c r="EC81" s="19" t="str">
        <f t="shared" si="308"/>
        <v/>
      </c>
      <c r="ED81" s="19" t="str">
        <f t="shared" si="309"/>
        <v/>
      </c>
      <c r="EE81" s="19" t="str">
        <f t="shared" si="228"/>
        <v/>
      </c>
      <c r="EF81" s="19" t="str">
        <f t="shared" si="229"/>
        <v/>
      </c>
      <c r="EG81" s="19" t="str">
        <f t="shared" si="230"/>
        <v/>
      </c>
      <c r="EH81" s="19" t="str">
        <f t="shared" si="231"/>
        <v/>
      </c>
      <c r="EI81" s="19" t="str">
        <f t="shared" si="232"/>
        <v/>
      </c>
      <c r="EJ81" s="19" t="str">
        <f t="shared" si="310"/>
        <v/>
      </c>
      <c r="EK81" s="19" t="str">
        <f t="shared" si="311"/>
        <v/>
      </c>
      <c r="EL81" s="19" t="str">
        <f t="shared" si="233"/>
        <v/>
      </c>
      <c r="EM81" s="19" t="str">
        <f t="shared" si="234"/>
        <v/>
      </c>
      <c r="EN81" s="19" t="str">
        <f t="shared" si="235"/>
        <v/>
      </c>
      <c r="EO81" s="19" t="str">
        <f t="shared" si="236"/>
        <v/>
      </c>
      <c r="EP81" s="19" t="str">
        <f t="shared" si="237"/>
        <v/>
      </c>
      <c r="EQ81" s="19" t="e">
        <f t="shared" si="238"/>
        <v>#N/A</v>
      </c>
      <c r="ER81" s="11" t="str">
        <f t="shared" si="328"/>
        <v/>
      </c>
      <c r="ES81" s="19" t="str">
        <f t="shared" si="329"/>
        <v/>
      </c>
      <c r="ET81" s="156" t="str">
        <f t="shared" si="312"/>
        <v/>
      </c>
      <c r="EU81" s="39" t="str">
        <f t="shared" si="239"/>
        <v/>
      </c>
      <c r="EV81" s="74" t="str">
        <f t="shared" si="313"/>
        <v/>
      </c>
      <c r="FA81" s="196"/>
      <c r="FB81" s="84" t="e">
        <f>IF(AND(Include_study?="Yes",Sufficient_data="Yes",Moderator&lt;&gt;""),'Moderator Analysis'!E81,NA())</f>
        <v>#N/A</v>
      </c>
      <c r="FC81" s="39" t="e">
        <f>IF(AND(Include_study?="Yes",Sufficient_data="Yes",Moderator&lt;&gt;""),'Moderator Analysis'!F81,NA())</f>
        <v>#N/A</v>
      </c>
      <c r="FD81" s="39" t="str">
        <f t="shared" si="314"/>
        <v/>
      </c>
      <c r="FE81" s="39" t="str">
        <f t="shared" si="315"/>
        <v/>
      </c>
      <c r="FF81" s="39" t="str">
        <f>IF(AND(Include_study?="Yes",Sufficient_data="Yes",Moderator&lt;&gt;""),'Moderator Analysis'!F:F-FP$2,"")</f>
        <v/>
      </c>
      <c r="FG81" s="39" t="str">
        <f>IF(AND(Include_study?="Yes",Sufficient_data="Yes",Moderator&lt;&gt;""),'Moderator Analysis'!E:E-FP$3,"")</f>
        <v/>
      </c>
      <c r="FH81" s="74" t="str">
        <f>IF(AND(Include_study?="Yes",Sufficient_data="Yes",Moderator&lt;&gt;""),FE:FE*('Moderator Analysis'!F:F-FP$5-FP$4*'Moderator Analysis'!E:E)^2,"")</f>
        <v/>
      </c>
      <c r="FI81" s="128"/>
      <c r="FJ81" s="92" t="str">
        <f t="shared" si="316"/>
        <v/>
      </c>
      <c r="FK81" s="137" t="str">
        <f>IF(AND(Include_study?="Yes",Sufficient_data="Yes",Moderator&lt;&gt;""),'Moderator Analysis'!F:F-'Moderator Analysis'!J$37,"")</f>
        <v/>
      </c>
      <c r="FL81" s="137" t="str">
        <f>IF(AND(Include_study?="Yes",Sufficient_data="Yes",Moderator&lt;&gt;""),'Moderator Analysis'!E:E-SUMPRODUCT('Moderator Analysis'!E:E,FJ:FJ)/SUM(FJ:FJ),"")</f>
        <v/>
      </c>
      <c r="FM81" s="95" t="str">
        <f>IF(AND(Include_study?="Yes",Sufficient_data="Yes",Moderator&lt;&gt;""),FJ:FJ*('Moderator Analysis'!F:F-'Moderator Analysis'!J$29-'Moderator Analysis'!J$30*'Moderator Analysis'!E:E)^2,"")</f>
        <v/>
      </c>
      <c r="FR81" s="196"/>
      <c r="FS81" s="182"/>
      <c r="FT8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1" s="39" t="str">
        <f>IF(AND(Include_study?="Yes",Sufficient_data="Yes"),1/('Publication Bias Analysis'!F:F^2+IF(Additional_model="Fixed effect",0,Calculations!GH$12)),"")</f>
        <v/>
      </c>
      <c r="FV81" s="39" t="str">
        <f>IF(AND(Include_study?="Yes",Sufficient_data="Yes"),1/('Publication Bias Analysis'!F:F^2+IF(Additional_model="Fixed effect",0,'Publication Bias Analysis'!L$32)),"")</f>
        <v/>
      </c>
      <c r="FW81" s="39" t="str">
        <f>IF(AND(Include_study?="Yes",Sufficient_data="Yes"),'Publication Bias Analysis'!E:E-'Publication Bias Analysis'!I$37,"")</f>
        <v/>
      </c>
      <c r="FX81" s="39" t="str">
        <f>IF(AND(Include_study?="Yes",Sufficient_data="Yes"),IF(Additional_model="Fixed effect",1/'Publication Bias Analysis'!F:F,1/SQRT('Publication Bias Analysis'!F:F^2+GH$12)),"")</f>
        <v/>
      </c>
      <c r="FY8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1" s="136" t="str">
        <f t="shared" si="317"/>
        <v/>
      </c>
      <c r="GA81" s="144" t="str">
        <f>IF(AND(Include_study?="Yes",Sufficient_data="Yes"),FZ:FZ+IF(GL:GL&lt;0,-1,1)*COUNTIF(FZ$2:FZ80,FZ:FZ),"")</f>
        <v/>
      </c>
      <c r="GB81" s="144" t="str">
        <f>IF(AND(Include_study?="Yes",Sufficient_data="Yes"),RANK(GP:GP,GP:GP,1)*IF(GO:GO&lt;0,-1,1)+IF(GO:GO&lt;0,-1,1)*COUNTIF(FZ$2:FZ80,FZ:FZ),"")</f>
        <v/>
      </c>
      <c r="GC81" s="144" t="str">
        <f>IF(AND(Include_study?="Yes",Sufficient_data="Yes"),RANK(GS:GS,GS:GS,1)*IF(GR:GR&lt;0,-1,1)+IF(GR:GR&lt;0,-1,1)*COUNTIF(FZ$2:FZ80,FZ:FZ),"")</f>
        <v/>
      </c>
      <c r="GD81" s="39" t="e">
        <f>IF(AND(Include_study?="Yes",Sufficient_data="Yes"),'Publication Bias Analysis'!E81,NA())</f>
        <v>#N/A</v>
      </c>
      <c r="GE81" s="74" t="e">
        <f>IF(AND(Include_study?="Yes",Sufficient_data="Yes"),'Publication Bias Analysis'!F81,NA())</f>
        <v>#N/A</v>
      </c>
      <c r="GK81" s="176"/>
      <c r="GL8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1" s="39" t="str">
        <f t="shared" si="318"/>
        <v/>
      </c>
      <c r="GN8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1" s="39" t="str">
        <f>IF(AND(Include_study?="Yes",Sufficient_data="Yes"),IF('Publication Bias Analysis'!L$38="Left",'Publication Bias Analysis'!E:E-GW$3,GW$3-'Publication Bias Analysis'!E:E),"")</f>
        <v/>
      </c>
      <c r="GP81" s="39" t="str">
        <f t="shared" si="330"/>
        <v/>
      </c>
      <c r="GQ8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1" s="39" t="str">
        <f>IF(AND(Include_study?="Yes",Sufficient_data="Yes"),IF('Publication Bias Analysis'!L$38="Left",'Publication Bias Analysis'!E:E-GW$10,GW$10-'Publication Bias Analysis'!E:E),"")</f>
        <v/>
      </c>
      <c r="GS81" s="39" t="str">
        <f t="shared" si="331"/>
        <v/>
      </c>
      <c r="GT8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1" s="176"/>
      <c r="HL81" s="69" t="str">
        <f t="shared" si="319"/>
        <v/>
      </c>
      <c r="HM81" s="74" t="str">
        <f>IF(AND(Include_study?="Yes",Sufficient_data="Yes"),Z_score-('Publication Bias Analysis'!P$3+'Publication Bias Analysis'!P$4*Inverse_standard_error),"")</f>
        <v/>
      </c>
      <c r="HO81" s="176"/>
      <c r="HP81" s="69" t="str">
        <f>IF(AND(Include_study?="Yes",Sufficient_data="Yes"),(GD:GD-SUMPRODUCT(Calculations!FT:FT,'Publication Bias Analysis'!E:E)/SUM(Calculations!FT:FT))/SQRT(Calculations!HQ:HQ),"")</f>
        <v/>
      </c>
      <c r="HQ81" s="69" t="str">
        <f>IF(AND(Include_study?="Yes",Sufficient_data="Yes"),GE:GE^2-1/SUM(Calculations!FT:FT),"")</f>
        <v/>
      </c>
      <c r="HR81" s="7" t="str">
        <f t="shared" si="240"/>
        <v/>
      </c>
      <c r="HS81" s="7" t="str">
        <f t="shared" si="241"/>
        <v/>
      </c>
      <c r="HT81" s="7" t="str">
        <f>IF(AND(Include_study?="Yes",Sufficient_data="Yes"),COUNTIFS(HR$2:HR80,"&lt;"&amp;HR81,HS$2:HS80,"&lt;"&amp;HS81)+COUNTIFS(HR82:HR$201,"&lt;"&amp;HR81,HS82:HS$201,"&lt;"&amp;HS81)+COUNTIFS(HR$2:HR80,"&gt;"&amp;HR81,HS$2:HS80,"&gt;"&amp;HS81)+COUNTIFS(HR82:HR$201,"&gt;"&amp;HR81,HS82:HS$201,"&gt;"&amp;HS81),"")</f>
        <v/>
      </c>
      <c r="HU81" s="104" t="str">
        <f>IF(AND(Include_study?="Yes",Sufficient_data="Yes"),COUNTIFS(HR$2:HR80,"&lt;"&amp;HR81,HS$2:HS80,"&gt;"&amp;HS81)+COUNTIFS(HR82:HR$201,"&lt;"&amp;HR81,HS82:HS$201,"&gt;"&amp;HS81)+COUNTIFS(HR$2:HR80,"&gt;"&amp;HR81,HS$2:HS80,"&lt;"&amp;HS81)+COUNTIFS(HR82:HR$201,"&gt;"&amp;HR81,HS82:HS$201,"&lt;"&amp;HS81),"")</f>
        <v/>
      </c>
      <c r="HW81" s="176"/>
      <c r="IB81" s="176"/>
      <c r="IC81" s="146" t="e">
        <f t="shared" si="320"/>
        <v>#N/A</v>
      </c>
      <c r="ID81" s="137" t="e">
        <f t="shared" si="321"/>
        <v>#N/A</v>
      </c>
      <c r="IE81" s="137" t="str">
        <f t="shared" si="322"/>
        <v/>
      </c>
      <c r="IF81" s="95" t="str">
        <f t="shared" si="323"/>
        <v/>
      </c>
      <c r="IK81" s="176"/>
      <c r="IL81" s="69" t="e">
        <f>IF(AND(Include_study?="Yes",Sufficient_data="Yes"),'Publication Bias Analysis'!AV:AV,NA())</f>
        <v>#N/A</v>
      </c>
      <c r="IM81" s="158" t="e">
        <f>IF(AND(Sufficient_data="Yes",Include_study?="Yes"),'Publication Bias Analysis'!AU:AU,NA())</f>
        <v>#N/A</v>
      </c>
      <c r="IN81" s="69" t="str">
        <f t="shared" si="219"/>
        <v/>
      </c>
      <c r="IO81" s="74" t="str">
        <f>IF(AND(Include_study?="Yes",Sufficient_data="Yes"),Z_score-('Publication Bias Analysis'!AY$30+'Publication Bias Analysis'!AY$31*Inverse_standard_error),"")</f>
        <v/>
      </c>
      <c r="IU81" s="176"/>
      <c r="IV81" s="7" t="str">
        <f>IF('Publication Bias Analysis'!BG:BG&lt;&gt;"",RANK('Publication Bias Analysis'!BG:BG,'Publication Bias Analysis'!BG:BG,1)+COUNTIF('Publication Bias Analysis'!BG$2:BG80,'Publication Bias Analysis'!BG81),"")</f>
        <v/>
      </c>
      <c r="IW81" s="124" t="str">
        <f t="shared" si="324"/>
        <v/>
      </c>
      <c r="IX81" s="125" t="e">
        <f>IF('Publication Bias Analysis'!BF81&lt;&gt;"",'Publication Bias Analysis'!BF81,NA())</f>
        <v>#N/A</v>
      </c>
      <c r="IY81" s="125" t="e">
        <f>IF('Publication Bias Analysis'!BG81&lt;&gt;"",'Publication Bias Analysis'!BG81,NA())</f>
        <v>#N/A</v>
      </c>
      <c r="IZ81" s="69" t="str">
        <f>IF(AND(Include_study?="Yes",Sufficient_data="Yes"),'Publication Bias Analysis'!BF:BF-AVERAGE('Publication Bias Analysis'!BF:BF),"")</f>
        <v/>
      </c>
      <c r="JA81" s="74" t="str">
        <f>IF(AND(Include_study?="Yes",Sufficient_data="Yes"),'Publication Bias Analysis'!BG:BG-('Publication Bias Analysis'!BJ$30+'Publication Bias Analysis'!BJ$31*'Publication Bias Analysis'!BF:BF),"")</f>
        <v/>
      </c>
      <c r="JG81" s="176"/>
      <c r="JH81" s="39" t="str">
        <f t="shared" si="325"/>
        <v/>
      </c>
      <c r="JI81" s="148" t="str">
        <f t="shared" si="332"/>
        <v/>
      </c>
      <c r="JJ81" s="74" t="str">
        <f t="shared" si="333"/>
        <v/>
      </c>
    </row>
    <row r="82" spans="1:270" x14ac:dyDescent="0.2">
      <c r="A82" s="56" t="str">
        <f t="shared" si="126"/>
        <v/>
      </c>
      <c r="B82" s="7" t="str">
        <f>IF(AND(Include_study?="Yes",Sufficient_data="Yes"),IF(Input!a_&lt;&gt;"",Input!a_,Input!n1_-Input!b_),"")</f>
        <v/>
      </c>
      <c r="C82" s="7" t="str">
        <f>IF(AND(Include_study?="Yes",Sufficient_data="Yes"),IF(Input!b_&lt;&gt;"",Input!b_,Input!n1_-Input!a_),"")</f>
        <v/>
      </c>
      <c r="D82" s="7" t="str">
        <f>IF(AND(Include_study?="Yes",Sufficient_data="Yes"),IF(Input!c_&lt;&gt;"",Input!c_,Input!n2_-Input!d_),"")</f>
        <v/>
      </c>
      <c r="E82" s="7" t="str">
        <f>IF(AND(Include_study?="Yes",Sufficient_data="Yes"),IF(Input!d_&lt;&gt;"",Input!d_,Input!n2_-Input!c_),"")</f>
        <v/>
      </c>
      <c r="F82" s="74" t="str">
        <f t="shared" si="244"/>
        <v/>
      </c>
      <c r="H82" s="196"/>
      <c r="I82" s="182"/>
      <c r="J82" s="146" t="str">
        <f t="shared" si="245"/>
        <v/>
      </c>
      <c r="K82" s="39" t="str">
        <f t="shared" si="246"/>
        <v/>
      </c>
      <c r="L82" s="39" t="str">
        <f t="shared" si="247"/>
        <v/>
      </c>
      <c r="M82" s="39" t="str">
        <f t="shared" si="248"/>
        <v/>
      </c>
      <c r="N82" s="74" t="str">
        <f t="shared" si="249"/>
        <v/>
      </c>
      <c r="P82" s="176"/>
      <c r="Q82" s="130" t="str">
        <f t="shared" si="250"/>
        <v/>
      </c>
      <c r="R82" s="39" t="str">
        <f t="shared" si="251"/>
        <v/>
      </c>
      <c r="S82" s="39" t="str">
        <f t="shared" si="252"/>
        <v/>
      </c>
      <c r="T82" s="74" t="str">
        <f t="shared" si="253"/>
        <v/>
      </c>
      <c r="V82" s="176"/>
      <c r="W82" s="130" t="str">
        <f t="shared" si="254"/>
        <v/>
      </c>
      <c r="X82" s="39" t="str">
        <f t="shared" si="255"/>
        <v/>
      </c>
      <c r="Y82" s="39" t="str">
        <f t="shared" si="256"/>
        <v/>
      </c>
      <c r="Z82" s="74" t="str">
        <f t="shared" si="257"/>
        <v/>
      </c>
      <c r="AB82" s="176"/>
      <c r="AC82" s="130" t="str">
        <f t="shared" si="258"/>
        <v/>
      </c>
      <c r="AD82" s="39" t="str">
        <f t="shared" si="259"/>
        <v/>
      </c>
      <c r="AE82" s="39" t="str">
        <f t="shared" si="260"/>
        <v/>
      </c>
      <c r="AF82" s="39" t="str">
        <f t="shared" si="261"/>
        <v/>
      </c>
      <c r="AG82" s="74" t="str">
        <f t="shared" si="262"/>
        <v/>
      </c>
      <c r="AI82" s="196"/>
      <c r="AJ8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2" s="136" t="str">
        <f>IF(AJ82&lt;&gt;"",IF(AJ82=0,COUNTIF(AJ$2:AJ81,0)+1,COUNTIF(AJ$2:AJ81,AJ82)+AJ82+COUNTIF(AJ:AJ,0)),"")</f>
        <v/>
      </c>
      <c r="AL82" s="136" t="str">
        <f t="shared" si="263"/>
        <v/>
      </c>
      <c r="AM82" s="155" t="str">
        <f>IF(AND(Include_study?="Yes",Sufficient_data="Yes",Input!Study_name&lt;&gt;""),Input!Study_name,"")</f>
        <v/>
      </c>
      <c r="AN82" s="136" t="str">
        <f t="shared" si="264"/>
        <v/>
      </c>
      <c r="AO82" s="19" t="str">
        <f t="shared" si="265"/>
        <v/>
      </c>
      <c r="AP82" s="158" t="str">
        <f t="shared" si="266"/>
        <v/>
      </c>
      <c r="AQ82" s="158" t="str">
        <f t="shared" si="267"/>
        <v/>
      </c>
      <c r="AR82" s="39" t="str">
        <f t="shared" si="268"/>
        <v/>
      </c>
      <c r="AS82" s="158" t="str">
        <f t="shared" si="269"/>
        <v/>
      </c>
      <c r="AT82" s="39" t="str">
        <f t="shared" si="270"/>
        <v/>
      </c>
      <c r="AU82" s="172" t="str">
        <f t="shared" si="271"/>
        <v/>
      </c>
      <c r="AV82" s="45"/>
      <c r="AW82" s="84" t="e">
        <f t="shared" si="152"/>
        <v>#N/A</v>
      </c>
      <c r="AX82" s="69" t="e">
        <f t="shared" si="272"/>
        <v>#N/A</v>
      </c>
      <c r="AY82" s="74" t="e">
        <f t="shared" si="273"/>
        <v>#N/A</v>
      </c>
      <c r="AZ82" s="45"/>
      <c r="BA82" s="45"/>
      <c r="BB82" s="45"/>
      <c r="BC82" s="45"/>
      <c r="BD82" s="196"/>
      <c r="BE82" s="182"/>
      <c r="BF82" s="69" t="str">
        <f t="shared" si="155"/>
        <v/>
      </c>
      <c r="BG82" s="69" t="str">
        <f t="shared" si="156"/>
        <v/>
      </c>
      <c r="BH82" s="69" t="str">
        <f t="shared" si="157"/>
        <v/>
      </c>
      <c r="BI82" s="39" t="str">
        <f t="shared" si="158"/>
        <v/>
      </c>
      <c r="BJ82" s="95" t="str">
        <f t="shared" si="274"/>
        <v/>
      </c>
      <c r="BO82" s="176"/>
      <c r="BP82" s="158" t="str">
        <f t="shared" si="275"/>
        <v/>
      </c>
      <c r="BQ82" s="158" t="str">
        <f t="shared" si="276"/>
        <v/>
      </c>
      <c r="BR82" s="158" t="str">
        <f t="shared" si="277"/>
        <v/>
      </c>
      <c r="BS82" s="158" t="str">
        <f>IF(AND(Sufficient_data="Yes",Include_study?="Yes"),IF(Add_0_5="Yes",(a_+d_+1)*(ab_+0.5)*(c_+0.5)/(Number_of_subjects+2)^2,(a_+d_)*b_*c_/Number_of_subjects^2),"")</f>
        <v/>
      </c>
      <c r="BT82" s="158" t="str">
        <f t="shared" si="278"/>
        <v/>
      </c>
      <c r="BU82" s="158" t="str">
        <f t="shared" si="279"/>
        <v/>
      </c>
      <c r="BV82" s="158" t="str">
        <f t="shared" si="280"/>
        <v/>
      </c>
      <c r="BW82" s="69" t="str">
        <f t="shared" si="166"/>
        <v/>
      </c>
      <c r="BX82" s="137" t="str">
        <f t="shared" si="167"/>
        <v/>
      </c>
      <c r="BY82" s="95" t="str">
        <f t="shared" si="281"/>
        <v/>
      </c>
      <c r="CD82" s="176"/>
      <c r="CE82" s="130" t="str">
        <f t="shared" si="282"/>
        <v/>
      </c>
      <c r="CF82" s="39" t="str">
        <f t="shared" si="283"/>
        <v/>
      </c>
      <c r="CG82" s="39" t="str">
        <f t="shared" si="284"/>
        <v/>
      </c>
      <c r="CH82" s="39" t="str">
        <f t="shared" si="285"/>
        <v/>
      </c>
      <c r="CI82" s="39" t="str">
        <f t="shared" si="286"/>
        <v/>
      </c>
      <c r="CJ82" s="39" t="str">
        <f t="shared" si="287"/>
        <v/>
      </c>
      <c r="CK82" s="95" t="str">
        <f t="shared" si="288"/>
        <v/>
      </c>
      <c r="CP82" s="176"/>
      <c r="CQ82" s="99" t="str">
        <f t="shared" si="175"/>
        <v/>
      </c>
      <c r="CX82" s="196"/>
      <c r="CY82" s="89" t="e">
        <f t="shared" si="289"/>
        <v>#N/A</v>
      </c>
      <c r="CZ82" s="136" t="str">
        <f t="shared" si="290"/>
        <v/>
      </c>
      <c r="DA82" s="140" t="str">
        <f t="shared" si="291"/>
        <v/>
      </c>
      <c r="DB82" s="39" t="str">
        <f t="shared" si="292"/>
        <v/>
      </c>
      <c r="DC82" s="39" t="str">
        <f t="shared" si="293"/>
        <v/>
      </c>
      <c r="DD82" s="39" t="str">
        <f t="shared" si="294"/>
        <v/>
      </c>
      <c r="DE82" s="39" t="str">
        <f t="shared" si="295"/>
        <v/>
      </c>
      <c r="DF82" s="141" t="str">
        <f t="shared" si="296"/>
        <v/>
      </c>
      <c r="DG82" s="39" t="str">
        <f t="shared" si="297"/>
        <v/>
      </c>
      <c r="DH82" s="39" t="str">
        <f t="shared" si="298"/>
        <v/>
      </c>
      <c r="DI82" s="39" t="str">
        <f t="shared" si="299"/>
        <v/>
      </c>
      <c r="DJ82" s="74" t="str">
        <f t="shared" si="300"/>
        <v/>
      </c>
      <c r="DK82" s="45"/>
      <c r="DL82" s="84" t="e">
        <f t="shared" si="222"/>
        <v>#N/A</v>
      </c>
      <c r="DM82" s="39" t="e">
        <f t="shared" si="301"/>
        <v>#N/A</v>
      </c>
      <c r="DN82" s="74" t="e">
        <f t="shared" si="302"/>
        <v>#N/A</v>
      </c>
      <c r="DO82" s="45"/>
      <c r="DP82" s="89" t="str">
        <f t="shared" si="326"/>
        <v/>
      </c>
      <c r="DQ82" s="26" t="str">
        <f>IF(AND(Sufficient_data="Yes",Subgroup&lt;&gt;""),IF(COUNTIFS(Input!J$2:J81,"="&amp;"Yes",Input!C$2:C81,"="&amp;"Yes",Input!K$2:K81,"="&amp;Subgroup)&gt;0,"",Subgroup),"")</f>
        <v/>
      </c>
      <c r="DR82" s="7" t="str">
        <f t="shared" si="327"/>
        <v/>
      </c>
      <c r="DS82" s="7" t="str">
        <f t="shared" si="303"/>
        <v/>
      </c>
      <c r="DT82" s="19" t="str">
        <f t="shared" si="304"/>
        <v/>
      </c>
      <c r="DU82" s="12" t="str">
        <f t="shared" si="223"/>
        <v/>
      </c>
      <c r="DV82" s="11" t="str">
        <f t="shared" si="224"/>
        <v/>
      </c>
      <c r="DW82" s="12" t="str">
        <f t="shared" si="225"/>
        <v/>
      </c>
      <c r="DX82" s="12" t="str">
        <f t="shared" si="305"/>
        <v/>
      </c>
      <c r="DY82" s="19" t="str">
        <f t="shared" si="226"/>
        <v/>
      </c>
      <c r="DZ82" s="12" t="str">
        <f t="shared" si="227"/>
        <v/>
      </c>
      <c r="EA82" s="19" t="str">
        <f t="shared" si="306"/>
        <v/>
      </c>
      <c r="EB82" s="7" t="str">
        <f t="shared" si="307"/>
        <v/>
      </c>
      <c r="EC82" s="19" t="str">
        <f t="shared" si="308"/>
        <v/>
      </c>
      <c r="ED82" s="19" t="str">
        <f t="shared" si="309"/>
        <v/>
      </c>
      <c r="EE82" s="19" t="str">
        <f t="shared" si="228"/>
        <v/>
      </c>
      <c r="EF82" s="19" t="str">
        <f t="shared" si="229"/>
        <v/>
      </c>
      <c r="EG82" s="19" t="str">
        <f t="shared" si="230"/>
        <v/>
      </c>
      <c r="EH82" s="19" t="str">
        <f t="shared" si="231"/>
        <v/>
      </c>
      <c r="EI82" s="19" t="str">
        <f t="shared" si="232"/>
        <v/>
      </c>
      <c r="EJ82" s="19" t="str">
        <f t="shared" si="310"/>
        <v/>
      </c>
      <c r="EK82" s="19" t="str">
        <f t="shared" si="311"/>
        <v/>
      </c>
      <c r="EL82" s="19" t="str">
        <f t="shared" si="233"/>
        <v/>
      </c>
      <c r="EM82" s="19" t="str">
        <f t="shared" si="234"/>
        <v/>
      </c>
      <c r="EN82" s="19" t="str">
        <f t="shared" si="235"/>
        <v/>
      </c>
      <c r="EO82" s="19" t="str">
        <f t="shared" si="236"/>
        <v/>
      </c>
      <c r="EP82" s="19" t="str">
        <f t="shared" si="237"/>
        <v/>
      </c>
      <c r="EQ82" s="19" t="e">
        <f t="shared" si="238"/>
        <v>#N/A</v>
      </c>
      <c r="ER82" s="11" t="str">
        <f t="shared" si="328"/>
        <v/>
      </c>
      <c r="ES82" s="19" t="str">
        <f t="shared" si="329"/>
        <v/>
      </c>
      <c r="ET82" s="156" t="str">
        <f t="shared" si="312"/>
        <v/>
      </c>
      <c r="EU82" s="39" t="str">
        <f t="shared" si="239"/>
        <v/>
      </c>
      <c r="EV82" s="74" t="str">
        <f t="shared" si="313"/>
        <v/>
      </c>
      <c r="FA82" s="196"/>
      <c r="FB82" s="84" t="e">
        <f>IF(AND(Include_study?="Yes",Sufficient_data="Yes",Moderator&lt;&gt;""),'Moderator Analysis'!E82,NA())</f>
        <v>#N/A</v>
      </c>
      <c r="FC82" s="39" t="e">
        <f>IF(AND(Include_study?="Yes",Sufficient_data="Yes",Moderator&lt;&gt;""),'Moderator Analysis'!F82,NA())</f>
        <v>#N/A</v>
      </c>
      <c r="FD82" s="39" t="str">
        <f t="shared" si="314"/>
        <v/>
      </c>
      <c r="FE82" s="39" t="str">
        <f t="shared" si="315"/>
        <v/>
      </c>
      <c r="FF82" s="39" t="str">
        <f>IF(AND(Include_study?="Yes",Sufficient_data="Yes",Moderator&lt;&gt;""),'Moderator Analysis'!F:F-FP$2,"")</f>
        <v/>
      </c>
      <c r="FG82" s="39" t="str">
        <f>IF(AND(Include_study?="Yes",Sufficient_data="Yes",Moderator&lt;&gt;""),'Moderator Analysis'!E:E-FP$3,"")</f>
        <v/>
      </c>
      <c r="FH82" s="74" t="str">
        <f>IF(AND(Include_study?="Yes",Sufficient_data="Yes",Moderator&lt;&gt;""),FE:FE*('Moderator Analysis'!F:F-FP$5-FP$4*'Moderator Analysis'!E:E)^2,"")</f>
        <v/>
      </c>
      <c r="FI82" s="128"/>
      <c r="FJ82" s="92" t="str">
        <f t="shared" si="316"/>
        <v/>
      </c>
      <c r="FK82" s="137" t="str">
        <f>IF(AND(Include_study?="Yes",Sufficient_data="Yes",Moderator&lt;&gt;""),'Moderator Analysis'!F:F-'Moderator Analysis'!J$37,"")</f>
        <v/>
      </c>
      <c r="FL82" s="137" t="str">
        <f>IF(AND(Include_study?="Yes",Sufficient_data="Yes",Moderator&lt;&gt;""),'Moderator Analysis'!E:E-SUMPRODUCT('Moderator Analysis'!E:E,FJ:FJ)/SUM(FJ:FJ),"")</f>
        <v/>
      </c>
      <c r="FM82" s="95" t="str">
        <f>IF(AND(Include_study?="Yes",Sufficient_data="Yes",Moderator&lt;&gt;""),FJ:FJ*('Moderator Analysis'!F:F-'Moderator Analysis'!J$29-'Moderator Analysis'!J$30*'Moderator Analysis'!E:E)^2,"")</f>
        <v/>
      </c>
      <c r="FR82" s="196"/>
      <c r="FS82" s="182"/>
      <c r="FT8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2" s="39" t="str">
        <f>IF(AND(Include_study?="Yes",Sufficient_data="Yes"),1/('Publication Bias Analysis'!F:F^2+IF(Additional_model="Fixed effect",0,Calculations!GH$12)),"")</f>
        <v/>
      </c>
      <c r="FV82" s="39" t="str">
        <f>IF(AND(Include_study?="Yes",Sufficient_data="Yes"),1/('Publication Bias Analysis'!F:F^2+IF(Additional_model="Fixed effect",0,'Publication Bias Analysis'!L$32)),"")</f>
        <v/>
      </c>
      <c r="FW82" s="39" t="str">
        <f>IF(AND(Include_study?="Yes",Sufficient_data="Yes"),'Publication Bias Analysis'!E:E-'Publication Bias Analysis'!I$37,"")</f>
        <v/>
      </c>
      <c r="FX82" s="39" t="str">
        <f>IF(AND(Include_study?="Yes",Sufficient_data="Yes"),IF(Additional_model="Fixed effect",1/'Publication Bias Analysis'!F:F,1/SQRT('Publication Bias Analysis'!F:F^2+GH$12)),"")</f>
        <v/>
      </c>
      <c r="FY8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2" s="136" t="str">
        <f t="shared" si="317"/>
        <v/>
      </c>
      <c r="GA82" s="144" t="str">
        <f>IF(AND(Include_study?="Yes",Sufficient_data="Yes"),FZ:FZ+IF(GL:GL&lt;0,-1,1)*COUNTIF(FZ$2:FZ81,FZ:FZ),"")</f>
        <v/>
      </c>
      <c r="GB82" s="144" t="str">
        <f>IF(AND(Include_study?="Yes",Sufficient_data="Yes"),RANK(GP:GP,GP:GP,1)*IF(GO:GO&lt;0,-1,1)+IF(GO:GO&lt;0,-1,1)*COUNTIF(FZ$2:FZ81,FZ:FZ),"")</f>
        <v/>
      </c>
      <c r="GC82" s="144" t="str">
        <f>IF(AND(Include_study?="Yes",Sufficient_data="Yes"),RANK(GS:GS,GS:GS,1)*IF(GR:GR&lt;0,-1,1)+IF(GR:GR&lt;0,-1,1)*COUNTIF(FZ$2:FZ81,FZ:FZ),"")</f>
        <v/>
      </c>
      <c r="GD82" s="39" t="e">
        <f>IF(AND(Include_study?="Yes",Sufficient_data="Yes"),'Publication Bias Analysis'!E82,NA())</f>
        <v>#N/A</v>
      </c>
      <c r="GE82" s="74" t="e">
        <f>IF(AND(Include_study?="Yes",Sufficient_data="Yes"),'Publication Bias Analysis'!F82,NA())</f>
        <v>#N/A</v>
      </c>
      <c r="GK82" s="176"/>
      <c r="GL8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2" s="39" t="str">
        <f t="shared" si="318"/>
        <v/>
      </c>
      <c r="GN8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2" s="39" t="str">
        <f>IF(AND(Include_study?="Yes",Sufficient_data="Yes"),IF('Publication Bias Analysis'!L$38="Left",'Publication Bias Analysis'!E:E-GW$3,GW$3-'Publication Bias Analysis'!E:E),"")</f>
        <v/>
      </c>
      <c r="GP82" s="39" t="str">
        <f t="shared" si="330"/>
        <v/>
      </c>
      <c r="GQ8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2" s="39" t="str">
        <f>IF(AND(Include_study?="Yes",Sufficient_data="Yes"),IF('Publication Bias Analysis'!L$38="Left",'Publication Bias Analysis'!E:E-GW$10,GW$10-'Publication Bias Analysis'!E:E),"")</f>
        <v/>
      </c>
      <c r="GS82" s="39" t="str">
        <f t="shared" si="331"/>
        <v/>
      </c>
      <c r="GT8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2" s="176"/>
      <c r="HL82" s="69" t="str">
        <f t="shared" si="319"/>
        <v/>
      </c>
      <c r="HM82" s="74" t="str">
        <f>IF(AND(Include_study?="Yes",Sufficient_data="Yes"),Z_score-('Publication Bias Analysis'!P$3+'Publication Bias Analysis'!P$4*Inverse_standard_error),"")</f>
        <v/>
      </c>
      <c r="HO82" s="176"/>
      <c r="HP82" s="69" t="str">
        <f>IF(AND(Include_study?="Yes",Sufficient_data="Yes"),(GD:GD-SUMPRODUCT(Calculations!FT:FT,'Publication Bias Analysis'!E:E)/SUM(Calculations!FT:FT))/SQRT(Calculations!HQ:HQ),"")</f>
        <v/>
      </c>
      <c r="HQ82" s="69" t="str">
        <f>IF(AND(Include_study?="Yes",Sufficient_data="Yes"),GE:GE^2-1/SUM(Calculations!FT:FT),"")</f>
        <v/>
      </c>
      <c r="HR82" s="7" t="str">
        <f t="shared" si="240"/>
        <v/>
      </c>
      <c r="HS82" s="7" t="str">
        <f t="shared" si="241"/>
        <v/>
      </c>
      <c r="HT82" s="7" t="str">
        <f>IF(AND(Include_study?="Yes",Sufficient_data="Yes"),COUNTIFS(HR$2:HR81,"&lt;"&amp;HR82,HS$2:HS81,"&lt;"&amp;HS82)+COUNTIFS(HR83:HR$201,"&lt;"&amp;HR82,HS83:HS$201,"&lt;"&amp;HS82)+COUNTIFS(HR$2:HR81,"&gt;"&amp;HR82,HS$2:HS81,"&gt;"&amp;HS82)+COUNTIFS(HR83:HR$201,"&gt;"&amp;HR82,HS83:HS$201,"&gt;"&amp;HS82),"")</f>
        <v/>
      </c>
      <c r="HU82" s="104" t="str">
        <f>IF(AND(Include_study?="Yes",Sufficient_data="Yes"),COUNTIFS(HR$2:HR81,"&lt;"&amp;HR82,HS$2:HS81,"&gt;"&amp;HS82)+COUNTIFS(HR83:HR$201,"&lt;"&amp;HR82,HS83:HS$201,"&gt;"&amp;HS82)+COUNTIFS(HR$2:HR81,"&gt;"&amp;HR82,HS$2:HS81,"&lt;"&amp;HS82)+COUNTIFS(HR83:HR$201,"&gt;"&amp;HR82,HS83:HS$201,"&lt;"&amp;HS82),"")</f>
        <v/>
      </c>
      <c r="HW82" s="176"/>
      <c r="IB82" s="176"/>
      <c r="IC82" s="146" t="e">
        <f t="shared" si="320"/>
        <v>#N/A</v>
      </c>
      <c r="ID82" s="137" t="e">
        <f t="shared" si="321"/>
        <v>#N/A</v>
      </c>
      <c r="IE82" s="137" t="str">
        <f t="shared" si="322"/>
        <v/>
      </c>
      <c r="IF82" s="95" t="str">
        <f t="shared" si="323"/>
        <v/>
      </c>
      <c r="IK82" s="176"/>
      <c r="IL82" s="69" t="e">
        <f>IF(AND(Include_study?="Yes",Sufficient_data="Yes"),'Publication Bias Analysis'!AV:AV,NA())</f>
        <v>#N/A</v>
      </c>
      <c r="IM82" s="158" t="e">
        <f>IF(AND(Sufficient_data="Yes",Include_study?="Yes"),'Publication Bias Analysis'!AU:AU,NA())</f>
        <v>#N/A</v>
      </c>
      <c r="IN82" s="69" t="str">
        <f t="shared" si="219"/>
        <v/>
      </c>
      <c r="IO82" s="74" t="str">
        <f>IF(AND(Include_study?="Yes",Sufficient_data="Yes"),Z_score-('Publication Bias Analysis'!AY$30+'Publication Bias Analysis'!AY$31*Inverse_standard_error),"")</f>
        <v/>
      </c>
      <c r="IU82" s="176"/>
      <c r="IV82" s="7" t="str">
        <f>IF('Publication Bias Analysis'!BG:BG&lt;&gt;"",RANK('Publication Bias Analysis'!BG:BG,'Publication Bias Analysis'!BG:BG,1)+COUNTIF('Publication Bias Analysis'!BG$2:BG81,'Publication Bias Analysis'!BG82),"")</f>
        <v/>
      </c>
      <c r="IW82" s="124" t="str">
        <f t="shared" si="324"/>
        <v/>
      </c>
      <c r="IX82" s="125" t="e">
        <f>IF('Publication Bias Analysis'!BF82&lt;&gt;"",'Publication Bias Analysis'!BF82,NA())</f>
        <v>#N/A</v>
      </c>
      <c r="IY82" s="125" t="e">
        <f>IF('Publication Bias Analysis'!BG82&lt;&gt;"",'Publication Bias Analysis'!BG82,NA())</f>
        <v>#N/A</v>
      </c>
      <c r="IZ82" s="69" t="str">
        <f>IF(AND(Include_study?="Yes",Sufficient_data="Yes"),'Publication Bias Analysis'!BF:BF-AVERAGE('Publication Bias Analysis'!BF:BF),"")</f>
        <v/>
      </c>
      <c r="JA82" s="74" t="str">
        <f>IF(AND(Include_study?="Yes",Sufficient_data="Yes"),'Publication Bias Analysis'!BG:BG-('Publication Bias Analysis'!BJ$30+'Publication Bias Analysis'!BJ$31*'Publication Bias Analysis'!BF:BF),"")</f>
        <v/>
      </c>
      <c r="JG82" s="176"/>
      <c r="JH82" s="39" t="str">
        <f t="shared" si="325"/>
        <v/>
      </c>
      <c r="JI82" s="148" t="str">
        <f t="shared" si="332"/>
        <v/>
      </c>
      <c r="JJ82" s="74" t="str">
        <f t="shared" si="333"/>
        <v/>
      </c>
    </row>
    <row r="83" spans="1:270" x14ac:dyDescent="0.2">
      <c r="A83" s="56" t="str">
        <f t="shared" si="126"/>
        <v/>
      </c>
      <c r="B83" s="7" t="str">
        <f>IF(AND(Include_study?="Yes",Sufficient_data="Yes"),IF(Input!a_&lt;&gt;"",Input!a_,Input!n1_-Input!b_),"")</f>
        <v/>
      </c>
      <c r="C83" s="7" t="str">
        <f>IF(AND(Include_study?="Yes",Sufficient_data="Yes"),IF(Input!b_&lt;&gt;"",Input!b_,Input!n1_-Input!a_),"")</f>
        <v/>
      </c>
      <c r="D83" s="7" t="str">
        <f>IF(AND(Include_study?="Yes",Sufficient_data="Yes"),IF(Input!c_&lt;&gt;"",Input!c_,Input!n2_-Input!d_),"")</f>
        <v/>
      </c>
      <c r="E83" s="7" t="str">
        <f>IF(AND(Include_study?="Yes",Sufficient_data="Yes"),IF(Input!d_&lt;&gt;"",Input!d_,Input!n2_-Input!c_),"")</f>
        <v/>
      </c>
      <c r="F83" s="74" t="str">
        <f t="shared" si="244"/>
        <v/>
      </c>
      <c r="H83" s="196"/>
      <c r="I83" s="182"/>
      <c r="J83" s="146" t="str">
        <f t="shared" si="245"/>
        <v/>
      </c>
      <c r="K83" s="39" t="str">
        <f t="shared" si="246"/>
        <v/>
      </c>
      <c r="L83" s="39" t="str">
        <f t="shared" si="247"/>
        <v/>
      </c>
      <c r="M83" s="39" t="str">
        <f t="shared" si="248"/>
        <v/>
      </c>
      <c r="N83" s="74" t="str">
        <f t="shared" si="249"/>
        <v/>
      </c>
      <c r="P83" s="176"/>
      <c r="Q83" s="130" t="str">
        <f t="shared" si="250"/>
        <v/>
      </c>
      <c r="R83" s="39" t="str">
        <f t="shared" si="251"/>
        <v/>
      </c>
      <c r="S83" s="39" t="str">
        <f t="shared" si="252"/>
        <v/>
      </c>
      <c r="T83" s="74" t="str">
        <f t="shared" si="253"/>
        <v/>
      </c>
      <c r="V83" s="176"/>
      <c r="W83" s="130" t="str">
        <f t="shared" si="254"/>
        <v/>
      </c>
      <c r="X83" s="39" t="str">
        <f t="shared" si="255"/>
        <v/>
      </c>
      <c r="Y83" s="39" t="str">
        <f t="shared" si="256"/>
        <v/>
      </c>
      <c r="Z83" s="74" t="str">
        <f t="shared" si="257"/>
        <v/>
      </c>
      <c r="AB83" s="176"/>
      <c r="AC83" s="130" t="str">
        <f t="shared" si="258"/>
        <v/>
      </c>
      <c r="AD83" s="39" t="str">
        <f t="shared" si="259"/>
        <v/>
      </c>
      <c r="AE83" s="39" t="str">
        <f t="shared" si="260"/>
        <v/>
      </c>
      <c r="AF83" s="39" t="str">
        <f t="shared" si="261"/>
        <v/>
      </c>
      <c r="AG83" s="74" t="str">
        <f t="shared" si="262"/>
        <v/>
      </c>
      <c r="AI83" s="196"/>
      <c r="AJ8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3" s="136" t="str">
        <f>IF(AJ83&lt;&gt;"",IF(AJ83=0,COUNTIF(AJ$2:AJ82,0)+1,COUNTIF(AJ$2:AJ82,AJ83)+AJ83+COUNTIF(AJ:AJ,0)),"")</f>
        <v/>
      </c>
      <c r="AL83" s="136" t="str">
        <f t="shared" si="263"/>
        <v/>
      </c>
      <c r="AM83" s="155" t="str">
        <f>IF(AND(Include_study?="Yes",Sufficient_data="Yes",Input!Study_name&lt;&gt;""),Input!Study_name,"")</f>
        <v/>
      </c>
      <c r="AN83" s="136" t="str">
        <f t="shared" si="264"/>
        <v/>
      </c>
      <c r="AO83" s="19" t="str">
        <f t="shared" si="265"/>
        <v/>
      </c>
      <c r="AP83" s="158" t="str">
        <f t="shared" si="266"/>
        <v/>
      </c>
      <c r="AQ83" s="158" t="str">
        <f t="shared" si="267"/>
        <v/>
      </c>
      <c r="AR83" s="39" t="str">
        <f t="shared" si="268"/>
        <v/>
      </c>
      <c r="AS83" s="158" t="str">
        <f t="shared" si="269"/>
        <v/>
      </c>
      <c r="AT83" s="39" t="str">
        <f t="shared" si="270"/>
        <v/>
      </c>
      <c r="AU83" s="172" t="str">
        <f t="shared" si="271"/>
        <v/>
      </c>
      <c r="AV83" s="45"/>
      <c r="AW83" s="84" t="e">
        <f t="shared" si="152"/>
        <v>#N/A</v>
      </c>
      <c r="AX83" s="69" t="e">
        <f t="shared" si="272"/>
        <v>#N/A</v>
      </c>
      <c r="AY83" s="74" t="e">
        <f t="shared" si="273"/>
        <v>#N/A</v>
      </c>
      <c r="AZ83" s="45"/>
      <c r="BA83" s="45"/>
      <c r="BB83" s="45"/>
      <c r="BC83" s="45"/>
      <c r="BD83" s="196"/>
      <c r="BE83" s="182"/>
      <c r="BF83" s="69" t="str">
        <f t="shared" si="155"/>
        <v/>
      </c>
      <c r="BG83" s="69" t="str">
        <f t="shared" si="156"/>
        <v/>
      </c>
      <c r="BH83" s="69" t="str">
        <f t="shared" si="157"/>
        <v/>
      </c>
      <c r="BI83" s="39" t="str">
        <f t="shared" si="158"/>
        <v/>
      </c>
      <c r="BJ83" s="95" t="str">
        <f t="shared" si="274"/>
        <v/>
      </c>
      <c r="BO83" s="176"/>
      <c r="BP83" s="158" t="str">
        <f t="shared" si="275"/>
        <v/>
      </c>
      <c r="BQ83" s="158" t="str">
        <f t="shared" si="276"/>
        <v/>
      </c>
      <c r="BR83" s="158" t="str">
        <f t="shared" si="277"/>
        <v/>
      </c>
      <c r="BS83" s="158" t="str">
        <f>IF(AND(Sufficient_data="Yes",Include_study?="Yes"),IF(Add_0_5="Yes",(a_+d_+1)*(ab_+0.5)*(c_+0.5)/(Number_of_subjects+2)^2,(a_+d_)*b_*c_/Number_of_subjects^2),"")</f>
        <v/>
      </c>
      <c r="BT83" s="158" t="str">
        <f t="shared" si="278"/>
        <v/>
      </c>
      <c r="BU83" s="158" t="str">
        <f t="shared" si="279"/>
        <v/>
      </c>
      <c r="BV83" s="158" t="str">
        <f t="shared" si="280"/>
        <v/>
      </c>
      <c r="BW83" s="69" t="str">
        <f t="shared" si="166"/>
        <v/>
      </c>
      <c r="BX83" s="137" t="str">
        <f t="shared" si="167"/>
        <v/>
      </c>
      <c r="BY83" s="95" t="str">
        <f t="shared" si="281"/>
        <v/>
      </c>
      <c r="CD83" s="176"/>
      <c r="CE83" s="130" t="str">
        <f t="shared" si="282"/>
        <v/>
      </c>
      <c r="CF83" s="39" t="str">
        <f t="shared" si="283"/>
        <v/>
      </c>
      <c r="CG83" s="39" t="str">
        <f t="shared" si="284"/>
        <v/>
      </c>
      <c r="CH83" s="39" t="str">
        <f t="shared" si="285"/>
        <v/>
      </c>
      <c r="CI83" s="39" t="str">
        <f t="shared" si="286"/>
        <v/>
      </c>
      <c r="CJ83" s="39" t="str">
        <f t="shared" si="287"/>
        <v/>
      </c>
      <c r="CK83" s="95" t="str">
        <f t="shared" si="288"/>
        <v/>
      </c>
      <c r="CP83" s="176"/>
      <c r="CQ83" s="99" t="str">
        <f t="shared" si="175"/>
        <v/>
      </c>
      <c r="CX83" s="196"/>
      <c r="CY83" s="89" t="e">
        <f t="shared" si="289"/>
        <v>#N/A</v>
      </c>
      <c r="CZ83" s="136" t="str">
        <f t="shared" si="290"/>
        <v/>
      </c>
      <c r="DA83" s="140" t="str">
        <f t="shared" si="291"/>
        <v/>
      </c>
      <c r="DB83" s="39" t="str">
        <f t="shared" si="292"/>
        <v/>
      </c>
      <c r="DC83" s="39" t="str">
        <f t="shared" si="293"/>
        <v/>
      </c>
      <c r="DD83" s="39" t="str">
        <f t="shared" si="294"/>
        <v/>
      </c>
      <c r="DE83" s="39" t="str">
        <f t="shared" si="295"/>
        <v/>
      </c>
      <c r="DF83" s="141" t="str">
        <f t="shared" si="296"/>
        <v/>
      </c>
      <c r="DG83" s="39" t="str">
        <f t="shared" si="297"/>
        <v/>
      </c>
      <c r="DH83" s="39" t="str">
        <f t="shared" si="298"/>
        <v/>
      </c>
      <c r="DI83" s="39" t="str">
        <f t="shared" si="299"/>
        <v/>
      </c>
      <c r="DJ83" s="74" t="str">
        <f t="shared" si="300"/>
        <v/>
      </c>
      <c r="DK83" s="45"/>
      <c r="DL83" s="84" t="e">
        <f t="shared" si="222"/>
        <v>#N/A</v>
      </c>
      <c r="DM83" s="39" t="e">
        <f t="shared" si="301"/>
        <v>#N/A</v>
      </c>
      <c r="DN83" s="74" t="e">
        <f t="shared" si="302"/>
        <v>#N/A</v>
      </c>
      <c r="DO83" s="45"/>
      <c r="DP83" s="89" t="str">
        <f t="shared" si="326"/>
        <v/>
      </c>
      <c r="DQ83" s="26" t="str">
        <f>IF(AND(Sufficient_data="Yes",Subgroup&lt;&gt;""),IF(COUNTIFS(Input!J$2:J82,"="&amp;"Yes",Input!C$2:C82,"="&amp;"Yes",Input!K$2:K82,"="&amp;Subgroup)&gt;0,"",Subgroup),"")</f>
        <v/>
      </c>
      <c r="DR83" s="7" t="str">
        <f t="shared" si="327"/>
        <v/>
      </c>
      <c r="DS83" s="7" t="str">
        <f t="shared" si="303"/>
        <v/>
      </c>
      <c r="DT83" s="19" t="str">
        <f t="shared" si="304"/>
        <v/>
      </c>
      <c r="DU83" s="12" t="str">
        <f t="shared" si="223"/>
        <v/>
      </c>
      <c r="DV83" s="11" t="str">
        <f t="shared" si="224"/>
        <v/>
      </c>
      <c r="DW83" s="12" t="str">
        <f t="shared" si="225"/>
        <v/>
      </c>
      <c r="DX83" s="12" t="str">
        <f t="shared" si="305"/>
        <v/>
      </c>
      <c r="DY83" s="19" t="str">
        <f t="shared" si="226"/>
        <v/>
      </c>
      <c r="DZ83" s="12" t="str">
        <f t="shared" si="227"/>
        <v/>
      </c>
      <c r="EA83" s="19" t="str">
        <f t="shared" si="306"/>
        <v/>
      </c>
      <c r="EB83" s="7" t="str">
        <f t="shared" si="307"/>
        <v/>
      </c>
      <c r="EC83" s="19" t="str">
        <f t="shared" si="308"/>
        <v/>
      </c>
      <c r="ED83" s="19" t="str">
        <f t="shared" si="309"/>
        <v/>
      </c>
      <c r="EE83" s="19" t="str">
        <f t="shared" si="228"/>
        <v/>
      </c>
      <c r="EF83" s="19" t="str">
        <f t="shared" si="229"/>
        <v/>
      </c>
      <c r="EG83" s="19" t="str">
        <f t="shared" si="230"/>
        <v/>
      </c>
      <c r="EH83" s="19" t="str">
        <f t="shared" si="231"/>
        <v/>
      </c>
      <c r="EI83" s="19" t="str">
        <f t="shared" si="232"/>
        <v/>
      </c>
      <c r="EJ83" s="19" t="str">
        <f t="shared" si="310"/>
        <v/>
      </c>
      <c r="EK83" s="19" t="str">
        <f t="shared" si="311"/>
        <v/>
      </c>
      <c r="EL83" s="19" t="str">
        <f t="shared" si="233"/>
        <v/>
      </c>
      <c r="EM83" s="19" t="str">
        <f t="shared" si="234"/>
        <v/>
      </c>
      <c r="EN83" s="19" t="str">
        <f t="shared" si="235"/>
        <v/>
      </c>
      <c r="EO83" s="19" t="str">
        <f t="shared" si="236"/>
        <v/>
      </c>
      <c r="EP83" s="19" t="str">
        <f t="shared" si="237"/>
        <v/>
      </c>
      <c r="EQ83" s="19" t="e">
        <f t="shared" si="238"/>
        <v>#N/A</v>
      </c>
      <c r="ER83" s="11" t="str">
        <f t="shared" si="328"/>
        <v/>
      </c>
      <c r="ES83" s="19" t="str">
        <f t="shared" si="329"/>
        <v/>
      </c>
      <c r="ET83" s="156" t="str">
        <f t="shared" si="312"/>
        <v/>
      </c>
      <c r="EU83" s="39" t="str">
        <f t="shared" si="239"/>
        <v/>
      </c>
      <c r="EV83" s="74" t="str">
        <f t="shared" si="313"/>
        <v/>
      </c>
      <c r="FA83" s="196"/>
      <c r="FB83" s="84" t="e">
        <f>IF(AND(Include_study?="Yes",Sufficient_data="Yes",Moderator&lt;&gt;""),'Moderator Analysis'!E83,NA())</f>
        <v>#N/A</v>
      </c>
      <c r="FC83" s="39" t="e">
        <f>IF(AND(Include_study?="Yes",Sufficient_data="Yes",Moderator&lt;&gt;""),'Moderator Analysis'!F83,NA())</f>
        <v>#N/A</v>
      </c>
      <c r="FD83" s="39" t="str">
        <f t="shared" si="314"/>
        <v/>
      </c>
      <c r="FE83" s="39" t="str">
        <f t="shared" si="315"/>
        <v/>
      </c>
      <c r="FF83" s="39" t="str">
        <f>IF(AND(Include_study?="Yes",Sufficient_data="Yes",Moderator&lt;&gt;""),'Moderator Analysis'!F:F-FP$2,"")</f>
        <v/>
      </c>
      <c r="FG83" s="39" t="str">
        <f>IF(AND(Include_study?="Yes",Sufficient_data="Yes",Moderator&lt;&gt;""),'Moderator Analysis'!E:E-FP$3,"")</f>
        <v/>
      </c>
      <c r="FH83" s="74" t="str">
        <f>IF(AND(Include_study?="Yes",Sufficient_data="Yes",Moderator&lt;&gt;""),FE:FE*('Moderator Analysis'!F:F-FP$5-FP$4*'Moderator Analysis'!E:E)^2,"")</f>
        <v/>
      </c>
      <c r="FI83" s="128"/>
      <c r="FJ83" s="92" t="str">
        <f t="shared" si="316"/>
        <v/>
      </c>
      <c r="FK83" s="137" t="str">
        <f>IF(AND(Include_study?="Yes",Sufficient_data="Yes",Moderator&lt;&gt;""),'Moderator Analysis'!F:F-'Moderator Analysis'!J$37,"")</f>
        <v/>
      </c>
      <c r="FL83" s="137" t="str">
        <f>IF(AND(Include_study?="Yes",Sufficient_data="Yes",Moderator&lt;&gt;""),'Moderator Analysis'!E:E-SUMPRODUCT('Moderator Analysis'!E:E,FJ:FJ)/SUM(FJ:FJ),"")</f>
        <v/>
      </c>
      <c r="FM83" s="95" t="str">
        <f>IF(AND(Include_study?="Yes",Sufficient_data="Yes",Moderator&lt;&gt;""),FJ:FJ*('Moderator Analysis'!F:F-'Moderator Analysis'!J$29-'Moderator Analysis'!J$30*'Moderator Analysis'!E:E)^2,"")</f>
        <v/>
      </c>
      <c r="FR83" s="196"/>
      <c r="FS83" s="182"/>
      <c r="FT8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3" s="39" t="str">
        <f>IF(AND(Include_study?="Yes",Sufficient_data="Yes"),1/('Publication Bias Analysis'!F:F^2+IF(Additional_model="Fixed effect",0,Calculations!GH$12)),"")</f>
        <v/>
      </c>
      <c r="FV83" s="39" t="str">
        <f>IF(AND(Include_study?="Yes",Sufficient_data="Yes"),1/('Publication Bias Analysis'!F:F^2+IF(Additional_model="Fixed effect",0,'Publication Bias Analysis'!L$32)),"")</f>
        <v/>
      </c>
      <c r="FW83" s="39" t="str">
        <f>IF(AND(Include_study?="Yes",Sufficient_data="Yes"),'Publication Bias Analysis'!E:E-'Publication Bias Analysis'!I$37,"")</f>
        <v/>
      </c>
      <c r="FX83" s="39" t="str">
        <f>IF(AND(Include_study?="Yes",Sufficient_data="Yes"),IF(Additional_model="Fixed effect",1/'Publication Bias Analysis'!F:F,1/SQRT('Publication Bias Analysis'!F:F^2+GH$12)),"")</f>
        <v/>
      </c>
      <c r="FY8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3" s="136" t="str">
        <f t="shared" si="317"/>
        <v/>
      </c>
      <c r="GA83" s="144" t="str">
        <f>IF(AND(Include_study?="Yes",Sufficient_data="Yes"),FZ:FZ+IF(GL:GL&lt;0,-1,1)*COUNTIF(FZ$2:FZ82,FZ:FZ),"")</f>
        <v/>
      </c>
      <c r="GB83" s="144" t="str">
        <f>IF(AND(Include_study?="Yes",Sufficient_data="Yes"),RANK(GP:GP,GP:GP,1)*IF(GO:GO&lt;0,-1,1)+IF(GO:GO&lt;0,-1,1)*COUNTIF(FZ$2:FZ82,FZ:FZ),"")</f>
        <v/>
      </c>
      <c r="GC83" s="144" t="str">
        <f>IF(AND(Include_study?="Yes",Sufficient_data="Yes"),RANK(GS:GS,GS:GS,1)*IF(GR:GR&lt;0,-1,1)+IF(GR:GR&lt;0,-1,1)*COUNTIF(FZ$2:FZ82,FZ:FZ),"")</f>
        <v/>
      </c>
      <c r="GD83" s="39" t="e">
        <f>IF(AND(Include_study?="Yes",Sufficient_data="Yes"),'Publication Bias Analysis'!E83,NA())</f>
        <v>#N/A</v>
      </c>
      <c r="GE83" s="74" t="e">
        <f>IF(AND(Include_study?="Yes",Sufficient_data="Yes"),'Publication Bias Analysis'!F83,NA())</f>
        <v>#N/A</v>
      </c>
      <c r="GK83" s="176"/>
      <c r="GL8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3" s="39" t="str">
        <f t="shared" si="318"/>
        <v/>
      </c>
      <c r="GN8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3" s="39" t="str">
        <f>IF(AND(Include_study?="Yes",Sufficient_data="Yes"),IF('Publication Bias Analysis'!L$38="Left",'Publication Bias Analysis'!E:E-GW$3,GW$3-'Publication Bias Analysis'!E:E),"")</f>
        <v/>
      </c>
      <c r="GP83" s="39" t="str">
        <f t="shared" si="330"/>
        <v/>
      </c>
      <c r="GQ8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3" s="39" t="str">
        <f>IF(AND(Include_study?="Yes",Sufficient_data="Yes"),IF('Publication Bias Analysis'!L$38="Left",'Publication Bias Analysis'!E:E-GW$10,GW$10-'Publication Bias Analysis'!E:E),"")</f>
        <v/>
      </c>
      <c r="GS83" s="39" t="str">
        <f t="shared" si="331"/>
        <v/>
      </c>
      <c r="GT8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3" s="176"/>
      <c r="HL83" s="69" t="str">
        <f t="shared" si="319"/>
        <v/>
      </c>
      <c r="HM83" s="74" t="str">
        <f>IF(AND(Include_study?="Yes",Sufficient_data="Yes"),Z_score-('Publication Bias Analysis'!P$3+'Publication Bias Analysis'!P$4*Inverse_standard_error),"")</f>
        <v/>
      </c>
      <c r="HO83" s="176"/>
      <c r="HP83" s="69" t="str">
        <f>IF(AND(Include_study?="Yes",Sufficient_data="Yes"),(GD:GD-SUMPRODUCT(Calculations!FT:FT,'Publication Bias Analysis'!E:E)/SUM(Calculations!FT:FT))/SQRT(Calculations!HQ:HQ),"")</f>
        <v/>
      </c>
      <c r="HQ83" s="69" t="str">
        <f>IF(AND(Include_study?="Yes",Sufficient_data="Yes"),GE:GE^2-1/SUM(Calculations!FT:FT),"")</f>
        <v/>
      </c>
      <c r="HR83" s="7" t="str">
        <f t="shared" si="240"/>
        <v/>
      </c>
      <c r="HS83" s="7" t="str">
        <f t="shared" si="241"/>
        <v/>
      </c>
      <c r="HT83" s="7" t="str">
        <f>IF(AND(Include_study?="Yes",Sufficient_data="Yes"),COUNTIFS(HR$2:HR82,"&lt;"&amp;HR83,HS$2:HS82,"&lt;"&amp;HS83)+COUNTIFS(HR84:HR$201,"&lt;"&amp;HR83,HS84:HS$201,"&lt;"&amp;HS83)+COUNTIFS(HR$2:HR82,"&gt;"&amp;HR83,HS$2:HS82,"&gt;"&amp;HS83)+COUNTIFS(HR84:HR$201,"&gt;"&amp;HR83,HS84:HS$201,"&gt;"&amp;HS83),"")</f>
        <v/>
      </c>
      <c r="HU83" s="104" t="str">
        <f>IF(AND(Include_study?="Yes",Sufficient_data="Yes"),COUNTIFS(HR$2:HR82,"&lt;"&amp;HR83,HS$2:HS82,"&gt;"&amp;HS83)+COUNTIFS(HR84:HR$201,"&lt;"&amp;HR83,HS84:HS$201,"&gt;"&amp;HS83)+COUNTIFS(HR$2:HR82,"&gt;"&amp;HR83,HS$2:HS82,"&lt;"&amp;HS83)+COUNTIFS(HR84:HR$201,"&gt;"&amp;HR83,HS84:HS$201,"&lt;"&amp;HS83),"")</f>
        <v/>
      </c>
      <c r="HW83" s="176"/>
      <c r="IB83" s="176"/>
      <c r="IC83" s="146" t="e">
        <f t="shared" si="320"/>
        <v>#N/A</v>
      </c>
      <c r="ID83" s="137" t="e">
        <f t="shared" si="321"/>
        <v>#N/A</v>
      </c>
      <c r="IE83" s="137" t="str">
        <f t="shared" si="322"/>
        <v/>
      </c>
      <c r="IF83" s="95" t="str">
        <f t="shared" si="323"/>
        <v/>
      </c>
      <c r="IK83" s="176"/>
      <c r="IL83" s="69" t="e">
        <f>IF(AND(Include_study?="Yes",Sufficient_data="Yes"),'Publication Bias Analysis'!AV:AV,NA())</f>
        <v>#N/A</v>
      </c>
      <c r="IM83" s="158" t="e">
        <f>IF(AND(Sufficient_data="Yes",Include_study?="Yes"),'Publication Bias Analysis'!AU:AU,NA())</f>
        <v>#N/A</v>
      </c>
      <c r="IN83" s="69" t="str">
        <f t="shared" si="219"/>
        <v/>
      </c>
      <c r="IO83" s="74" t="str">
        <f>IF(AND(Include_study?="Yes",Sufficient_data="Yes"),Z_score-('Publication Bias Analysis'!AY$30+'Publication Bias Analysis'!AY$31*Inverse_standard_error),"")</f>
        <v/>
      </c>
      <c r="IU83" s="176"/>
      <c r="IV83" s="7" t="str">
        <f>IF('Publication Bias Analysis'!BG:BG&lt;&gt;"",RANK('Publication Bias Analysis'!BG:BG,'Publication Bias Analysis'!BG:BG,1)+COUNTIF('Publication Bias Analysis'!BG$2:BG82,'Publication Bias Analysis'!BG83),"")</f>
        <v/>
      </c>
      <c r="IW83" s="124" t="str">
        <f t="shared" si="324"/>
        <v/>
      </c>
      <c r="IX83" s="125" t="e">
        <f>IF('Publication Bias Analysis'!BF83&lt;&gt;"",'Publication Bias Analysis'!BF83,NA())</f>
        <v>#N/A</v>
      </c>
      <c r="IY83" s="125" t="e">
        <f>IF('Publication Bias Analysis'!BG83&lt;&gt;"",'Publication Bias Analysis'!BG83,NA())</f>
        <v>#N/A</v>
      </c>
      <c r="IZ83" s="69" t="str">
        <f>IF(AND(Include_study?="Yes",Sufficient_data="Yes"),'Publication Bias Analysis'!BF:BF-AVERAGE('Publication Bias Analysis'!BF:BF),"")</f>
        <v/>
      </c>
      <c r="JA83" s="74" t="str">
        <f>IF(AND(Include_study?="Yes",Sufficient_data="Yes"),'Publication Bias Analysis'!BG:BG-('Publication Bias Analysis'!BJ$30+'Publication Bias Analysis'!BJ$31*'Publication Bias Analysis'!BF:BF),"")</f>
        <v/>
      </c>
      <c r="JG83" s="176"/>
      <c r="JH83" s="39" t="str">
        <f t="shared" si="325"/>
        <v/>
      </c>
      <c r="JI83" s="148" t="str">
        <f t="shared" si="332"/>
        <v/>
      </c>
      <c r="JJ83" s="74" t="str">
        <f t="shared" si="333"/>
        <v/>
      </c>
    </row>
    <row r="84" spans="1:270" x14ac:dyDescent="0.2">
      <c r="A84" s="56" t="str">
        <f t="shared" si="126"/>
        <v/>
      </c>
      <c r="B84" s="7" t="str">
        <f>IF(AND(Include_study?="Yes",Sufficient_data="Yes"),IF(Input!a_&lt;&gt;"",Input!a_,Input!n1_-Input!b_),"")</f>
        <v/>
      </c>
      <c r="C84" s="7" t="str">
        <f>IF(AND(Include_study?="Yes",Sufficient_data="Yes"),IF(Input!b_&lt;&gt;"",Input!b_,Input!n1_-Input!a_),"")</f>
        <v/>
      </c>
      <c r="D84" s="7" t="str">
        <f>IF(AND(Include_study?="Yes",Sufficient_data="Yes"),IF(Input!c_&lt;&gt;"",Input!c_,Input!n2_-Input!d_),"")</f>
        <v/>
      </c>
      <c r="E84" s="7" t="str">
        <f>IF(AND(Include_study?="Yes",Sufficient_data="Yes"),IF(Input!d_&lt;&gt;"",Input!d_,Input!n2_-Input!c_),"")</f>
        <v/>
      </c>
      <c r="F84" s="74" t="str">
        <f t="shared" si="244"/>
        <v/>
      </c>
      <c r="H84" s="196"/>
      <c r="I84" s="182"/>
      <c r="J84" s="146" t="str">
        <f t="shared" si="245"/>
        <v/>
      </c>
      <c r="K84" s="39" t="str">
        <f t="shared" si="246"/>
        <v/>
      </c>
      <c r="L84" s="39" t="str">
        <f t="shared" si="247"/>
        <v/>
      </c>
      <c r="M84" s="39" t="str">
        <f t="shared" si="248"/>
        <v/>
      </c>
      <c r="N84" s="74" t="str">
        <f t="shared" si="249"/>
        <v/>
      </c>
      <c r="P84" s="176"/>
      <c r="Q84" s="130" t="str">
        <f t="shared" si="250"/>
        <v/>
      </c>
      <c r="R84" s="39" t="str">
        <f t="shared" si="251"/>
        <v/>
      </c>
      <c r="S84" s="39" t="str">
        <f t="shared" si="252"/>
        <v/>
      </c>
      <c r="T84" s="74" t="str">
        <f t="shared" si="253"/>
        <v/>
      </c>
      <c r="V84" s="176"/>
      <c r="W84" s="130" t="str">
        <f t="shared" si="254"/>
        <v/>
      </c>
      <c r="X84" s="39" t="str">
        <f t="shared" si="255"/>
        <v/>
      </c>
      <c r="Y84" s="39" t="str">
        <f t="shared" si="256"/>
        <v/>
      </c>
      <c r="Z84" s="74" t="str">
        <f t="shared" si="257"/>
        <v/>
      </c>
      <c r="AB84" s="176"/>
      <c r="AC84" s="130" t="str">
        <f t="shared" si="258"/>
        <v/>
      </c>
      <c r="AD84" s="39" t="str">
        <f t="shared" si="259"/>
        <v/>
      </c>
      <c r="AE84" s="39" t="str">
        <f t="shared" si="260"/>
        <v/>
      </c>
      <c r="AF84" s="39" t="str">
        <f t="shared" si="261"/>
        <v/>
      </c>
      <c r="AG84" s="74" t="str">
        <f t="shared" si="262"/>
        <v/>
      </c>
      <c r="AI84" s="196"/>
      <c r="AJ8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4" s="136" t="str">
        <f>IF(AJ84&lt;&gt;"",IF(AJ84=0,COUNTIF(AJ$2:AJ83,0)+1,COUNTIF(AJ$2:AJ83,AJ84)+AJ84+COUNTIF(AJ:AJ,0)),"")</f>
        <v/>
      </c>
      <c r="AL84" s="136" t="str">
        <f t="shared" si="263"/>
        <v/>
      </c>
      <c r="AM84" s="155" t="str">
        <f>IF(AND(Include_study?="Yes",Sufficient_data="Yes",Input!Study_name&lt;&gt;""),Input!Study_name,"")</f>
        <v/>
      </c>
      <c r="AN84" s="136" t="str">
        <f t="shared" si="264"/>
        <v/>
      </c>
      <c r="AO84" s="19" t="str">
        <f t="shared" si="265"/>
        <v/>
      </c>
      <c r="AP84" s="158" t="str">
        <f t="shared" si="266"/>
        <v/>
      </c>
      <c r="AQ84" s="158" t="str">
        <f t="shared" si="267"/>
        <v/>
      </c>
      <c r="AR84" s="39" t="str">
        <f t="shared" si="268"/>
        <v/>
      </c>
      <c r="AS84" s="158" t="str">
        <f t="shared" si="269"/>
        <v/>
      </c>
      <c r="AT84" s="39" t="str">
        <f t="shared" si="270"/>
        <v/>
      </c>
      <c r="AU84" s="172" t="str">
        <f t="shared" si="271"/>
        <v/>
      </c>
      <c r="AV84" s="45"/>
      <c r="AW84" s="84" t="e">
        <f t="shared" si="152"/>
        <v>#N/A</v>
      </c>
      <c r="AX84" s="69" t="e">
        <f t="shared" si="272"/>
        <v>#N/A</v>
      </c>
      <c r="AY84" s="74" t="e">
        <f t="shared" si="273"/>
        <v>#N/A</v>
      </c>
      <c r="AZ84" s="45"/>
      <c r="BA84" s="45"/>
      <c r="BB84" s="45"/>
      <c r="BC84" s="45"/>
      <c r="BD84" s="196"/>
      <c r="BE84" s="182"/>
      <c r="BF84" s="69" t="str">
        <f t="shared" si="155"/>
        <v/>
      </c>
      <c r="BG84" s="69" t="str">
        <f t="shared" si="156"/>
        <v/>
      </c>
      <c r="BH84" s="69" t="str">
        <f t="shared" si="157"/>
        <v/>
      </c>
      <c r="BI84" s="39" t="str">
        <f t="shared" si="158"/>
        <v/>
      </c>
      <c r="BJ84" s="95" t="str">
        <f t="shared" si="274"/>
        <v/>
      </c>
      <c r="BO84" s="176"/>
      <c r="BP84" s="158" t="str">
        <f t="shared" si="275"/>
        <v/>
      </c>
      <c r="BQ84" s="158" t="str">
        <f t="shared" si="276"/>
        <v/>
      </c>
      <c r="BR84" s="158" t="str">
        <f t="shared" si="277"/>
        <v/>
      </c>
      <c r="BS84" s="158" t="str">
        <f>IF(AND(Sufficient_data="Yes",Include_study?="Yes"),IF(Add_0_5="Yes",(a_+d_+1)*(ab_+0.5)*(c_+0.5)/(Number_of_subjects+2)^2,(a_+d_)*b_*c_/Number_of_subjects^2),"")</f>
        <v/>
      </c>
      <c r="BT84" s="158" t="str">
        <f t="shared" si="278"/>
        <v/>
      </c>
      <c r="BU84" s="158" t="str">
        <f t="shared" si="279"/>
        <v/>
      </c>
      <c r="BV84" s="158" t="str">
        <f t="shared" si="280"/>
        <v/>
      </c>
      <c r="BW84" s="69" t="str">
        <f t="shared" si="166"/>
        <v/>
      </c>
      <c r="BX84" s="137" t="str">
        <f t="shared" si="167"/>
        <v/>
      </c>
      <c r="BY84" s="95" t="str">
        <f t="shared" si="281"/>
        <v/>
      </c>
      <c r="CD84" s="176"/>
      <c r="CE84" s="130" t="str">
        <f t="shared" si="282"/>
        <v/>
      </c>
      <c r="CF84" s="39" t="str">
        <f t="shared" si="283"/>
        <v/>
      </c>
      <c r="CG84" s="39" t="str">
        <f t="shared" si="284"/>
        <v/>
      </c>
      <c r="CH84" s="39" t="str">
        <f t="shared" si="285"/>
        <v/>
      </c>
      <c r="CI84" s="39" t="str">
        <f t="shared" si="286"/>
        <v/>
      </c>
      <c r="CJ84" s="39" t="str">
        <f t="shared" si="287"/>
        <v/>
      </c>
      <c r="CK84" s="95" t="str">
        <f t="shared" si="288"/>
        <v/>
      </c>
      <c r="CP84" s="176"/>
      <c r="CQ84" s="99" t="str">
        <f t="shared" si="175"/>
        <v/>
      </c>
      <c r="CX84" s="196"/>
      <c r="CY84" s="89" t="e">
        <f t="shared" si="289"/>
        <v>#N/A</v>
      </c>
      <c r="CZ84" s="136" t="str">
        <f t="shared" si="290"/>
        <v/>
      </c>
      <c r="DA84" s="140" t="str">
        <f t="shared" si="291"/>
        <v/>
      </c>
      <c r="DB84" s="39" t="str">
        <f t="shared" si="292"/>
        <v/>
      </c>
      <c r="DC84" s="39" t="str">
        <f t="shared" si="293"/>
        <v/>
      </c>
      <c r="DD84" s="39" t="str">
        <f t="shared" si="294"/>
        <v/>
      </c>
      <c r="DE84" s="39" t="str">
        <f t="shared" si="295"/>
        <v/>
      </c>
      <c r="DF84" s="141" t="str">
        <f t="shared" si="296"/>
        <v/>
      </c>
      <c r="DG84" s="39" t="str">
        <f t="shared" si="297"/>
        <v/>
      </c>
      <c r="DH84" s="39" t="str">
        <f t="shared" si="298"/>
        <v/>
      </c>
      <c r="DI84" s="39" t="str">
        <f t="shared" si="299"/>
        <v/>
      </c>
      <c r="DJ84" s="74" t="str">
        <f t="shared" si="300"/>
        <v/>
      </c>
      <c r="DK84" s="45"/>
      <c r="DL84" s="84" t="e">
        <f t="shared" si="222"/>
        <v>#N/A</v>
      </c>
      <c r="DM84" s="39" t="e">
        <f t="shared" si="301"/>
        <v>#N/A</v>
      </c>
      <c r="DN84" s="74" t="e">
        <f t="shared" si="302"/>
        <v>#N/A</v>
      </c>
      <c r="DO84" s="45"/>
      <c r="DP84" s="89" t="str">
        <f t="shared" si="326"/>
        <v/>
      </c>
      <c r="DQ84" s="26" t="str">
        <f>IF(AND(Sufficient_data="Yes",Subgroup&lt;&gt;""),IF(COUNTIFS(Input!J$2:J83,"="&amp;"Yes",Input!C$2:C83,"="&amp;"Yes",Input!K$2:K83,"="&amp;Subgroup)&gt;0,"",Subgroup),"")</f>
        <v/>
      </c>
      <c r="DR84" s="7" t="str">
        <f t="shared" si="327"/>
        <v/>
      </c>
      <c r="DS84" s="7" t="str">
        <f t="shared" si="303"/>
        <v/>
      </c>
      <c r="DT84" s="19" t="str">
        <f t="shared" si="304"/>
        <v/>
      </c>
      <c r="DU84" s="12" t="str">
        <f t="shared" si="223"/>
        <v/>
      </c>
      <c r="DV84" s="11" t="str">
        <f t="shared" si="224"/>
        <v/>
      </c>
      <c r="DW84" s="12" t="str">
        <f t="shared" si="225"/>
        <v/>
      </c>
      <c r="DX84" s="12" t="str">
        <f t="shared" si="305"/>
        <v/>
      </c>
      <c r="DY84" s="19" t="str">
        <f t="shared" si="226"/>
        <v/>
      </c>
      <c r="DZ84" s="12" t="str">
        <f t="shared" si="227"/>
        <v/>
      </c>
      <c r="EA84" s="19" t="str">
        <f t="shared" si="306"/>
        <v/>
      </c>
      <c r="EB84" s="7" t="str">
        <f t="shared" si="307"/>
        <v/>
      </c>
      <c r="EC84" s="19" t="str">
        <f t="shared" si="308"/>
        <v/>
      </c>
      <c r="ED84" s="19" t="str">
        <f t="shared" si="309"/>
        <v/>
      </c>
      <c r="EE84" s="19" t="str">
        <f t="shared" si="228"/>
        <v/>
      </c>
      <c r="EF84" s="19" t="str">
        <f t="shared" si="229"/>
        <v/>
      </c>
      <c r="EG84" s="19" t="str">
        <f t="shared" si="230"/>
        <v/>
      </c>
      <c r="EH84" s="19" t="str">
        <f t="shared" si="231"/>
        <v/>
      </c>
      <c r="EI84" s="19" t="str">
        <f t="shared" si="232"/>
        <v/>
      </c>
      <c r="EJ84" s="19" t="str">
        <f t="shared" si="310"/>
        <v/>
      </c>
      <c r="EK84" s="19" t="str">
        <f t="shared" si="311"/>
        <v/>
      </c>
      <c r="EL84" s="19" t="str">
        <f t="shared" si="233"/>
        <v/>
      </c>
      <c r="EM84" s="19" t="str">
        <f t="shared" si="234"/>
        <v/>
      </c>
      <c r="EN84" s="19" t="str">
        <f t="shared" si="235"/>
        <v/>
      </c>
      <c r="EO84" s="19" t="str">
        <f t="shared" si="236"/>
        <v/>
      </c>
      <c r="EP84" s="19" t="str">
        <f t="shared" si="237"/>
        <v/>
      </c>
      <c r="EQ84" s="19" t="e">
        <f t="shared" si="238"/>
        <v>#N/A</v>
      </c>
      <c r="ER84" s="11" t="str">
        <f t="shared" si="328"/>
        <v/>
      </c>
      <c r="ES84" s="19" t="str">
        <f t="shared" si="329"/>
        <v/>
      </c>
      <c r="ET84" s="156" t="str">
        <f t="shared" si="312"/>
        <v/>
      </c>
      <c r="EU84" s="39" t="str">
        <f t="shared" si="239"/>
        <v/>
      </c>
      <c r="EV84" s="74" t="str">
        <f t="shared" si="313"/>
        <v/>
      </c>
      <c r="FA84" s="196"/>
      <c r="FB84" s="84" t="e">
        <f>IF(AND(Include_study?="Yes",Sufficient_data="Yes",Moderator&lt;&gt;""),'Moderator Analysis'!E84,NA())</f>
        <v>#N/A</v>
      </c>
      <c r="FC84" s="39" t="e">
        <f>IF(AND(Include_study?="Yes",Sufficient_data="Yes",Moderator&lt;&gt;""),'Moderator Analysis'!F84,NA())</f>
        <v>#N/A</v>
      </c>
      <c r="FD84" s="39" t="str">
        <f t="shared" si="314"/>
        <v/>
      </c>
      <c r="FE84" s="39" t="str">
        <f t="shared" si="315"/>
        <v/>
      </c>
      <c r="FF84" s="39" t="str">
        <f>IF(AND(Include_study?="Yes",Sufficient_data="Yes",Moderator&lt;&gt;""),'Moderator Analysis'!F:F-FP$2,"")</f>
        <v/>
      </c>
      <c r="FG84" s="39" t="str">
        <f>IF(AND(Include_study?="Yes",Sufficient_data="Yes",Moderator&lt;&gt;""),'Moderator Analysis'!E:E-FP$3,"")</f>
        <v/>
      </c>
      <c r="FH84" s="74" t="str">
        <f>IF(AND(Include_study?="Yes",Sufficient_data="Yes",Moderator&lt;&gt;""),FE:FE*('Moderator Analysis'!F:F-FP$5-FP$4*'Moderator Analysis'!E:E)^2,"")</f>
        <v/>
      </c>
      <c r="FI84" s="128"/>
      <c r="FJ84" s="92" t="str">
        <f t="shared" si="316"/>
        <v/>
      </c>
      <c r="FK84" s="137" t="str">
        <f>IF(AND(Include_study?="Yes",Sufficient_data="Yes",Moderator&lt;&gt;""),'Moderator Analysis'!F:F-'Moderator Analysis'!J$37,"")</f>
        <v/>
      </c>
      <c r="FL84" s="137" t="str">
        <f>IF(AND(Include_study?="Yes",Sufficient_data="Yes",Moderator&lt;&gt;""),'Moderator Analysis'!E:E-SUMPRODUCT('Moderator Analysis'!E:E,FJ:FJ)/SUM(FJ:FJ),"")</f>
        <v/>
      </c>
      <c r="FM84" s="95" t="str">
        <f>IF(AND(Include_study?="Yes",Sufficient_data="Yes",Moderator&lt;&gt;""),FJ:FJ*('Moderator Analysis'!F:F-'Moderator Analysis'!J$29-'Moderator Analysis'!J$30*'Moderator Analysis'!E:E)^2,"")</f>
        <v/>
      </c>
      <c r="FR84" s="196"/>
      <c r="FS84" s="182"/>
      <c r="FT8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4" s="39" t="str">
        <f>IF(AND(Include_study?="Yes",Sufficient_data="Yes"),1/('Publication Bias Analysis'!F:F^2+IF(Additional_model="Fixed effect",0,Calculations!GH$12)),"")</f>
        <v/>
      </c>
      <c r="FV84" s="39" t="str">
        <f>IF(AND(Include_study?="Yes",Sufficient_data="Yes"),1/('Publication Bias Analysis'!F:F^2+IF(Additional_model="Fixed effect",0,'Publication Bias Analysis'!L$32)),"")</f>
        <v/>
      </c>
      <c r="FW84" s="39" t="str">
        <f>IF(AND(Include_study?="Yes",Sufficient_data="Yes"),'Publication Bias Analysis'!E:E-'Publication Bias Analysis'!I$37,"")</f>
        <v/>
      </c>
      <c r="FX84" s="39" t="str">
        <f>IF(AND(Include_study?="Yes",Sufficient_data="Yes"),IF(Additional_model="Fixed effect",1/'Publication Bias Analysis'!F:F,1/SQRT('Publication Bias Analysis'!F:F^2+GH$12)),"")</f>
        <v/>
      </c>
      <c r="FY8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4" s="136" t="str">
        <f t="shared" si="317"/>
        <v/>
      </c>
      <c r="GA84" s="144" t="str">
        <f>IF(AND(Include_study?="Yes",Sufficient_data="Yes"),FZ:FZ+IF(GL:GL&lt;0,-1,1)*COUNTIF(FZ$2:FZ83,FZ:FZ),"")</f>
        <v/>
      </c>
      <c r="GB84" s="144" t="str">
        <f>IF(AND(Include_study?="Yes",Sufficient_data="Yes"),RANK(GP:GP,GP:GP,1)*IF(GO:GO&lt;0,-1,1)+IF(GO:GO&lt;0,-1,1)*COUNTIF(FZ$2:FZ83,FZ:FZ),"")</f>
        <v/>
      </c>
      <c r="GC84" s="144" t="str">
        <f>IF(AND(Include_study?="Yes",Sufficient_data="Yes"),RANK(GS:GS,GS:GS,1)*IF(GR:GR&lt;0,-1,1)+IF(GR:GR&lt;0,-1,1)*COUNTIF(FZ$2:FZ83,FZ:FZ),"")</f>
        <v/>
      </c>
      <c r="GD84" s="39" t="e">
        <f>IF(AND(Include_study?="Yes",Sufficient_data="Yes"),'Publication Bias Analysis'!E84,NA())</f>
        <v>#N/A</v>
      </c>
      <c r="GE84" s="74" t="e">
        <f>IF(AND(Include_study?="Yes",Sufficient_data="Yes"),'Publication Bias Analysis'!F84,NA())</f>
        <v>#N/A</v>
      </c>
      <c r="GK84" s="176"/>
      <c r="GL8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4" s="39" t="str">
        <f t="shared" si="318"/>
        <v/>
      </c>
      <c r="GN8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4" s="39" t="str">
        <f>IF(AND(Include_study?="Yes",Sufficient_data="Yes"),IF('Publication Bias Analysis'!L$38="Left",'Publication Bias Analysis'!E:E-GW$3,GW$3-'Publication Bias Analysis'!E:E),"")</f>
        <v/>
      </c>
      <c r="GP84" s="39" t="str">
        <f t="shared" si="330"/>
        <v/>
      </c>
      <c r="GQ8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4" s="39" t="str">
        <f>IF(AND(Include_study?="Yes",Sufficient_data="Yes"),IF('Publication Bias Analysis'!L$38="Left",'Publication Bias Analysis'!E:E-GW$10,GW$10-'Publication Bias Analysis'!E:E),"")</f>
        <v/>
      </c>
      <c r="GS84" s="39" t="str">
        <f t="shared" si="331"/>
        <v/>
      </c>
      <c r="GT8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4" s="176"/>
      <c r="HL84" s="69" t="str">
        <f t="shared" si="319"/>
        <v/>
      </c>
      <c r="HM84" s="74" t="str">
        <f>IF(AND(Include_study?="Yes",Sufficient_data="Yes"),Z_score-('Publication Bias Analysis'!P$3+'Publication Bias Analysis'!P$4*Inverse_standard_error),"")</f>
        <v/>
      </c>
      <c r="HO84" s="176"/>
      <c r="HP84" s="69" t="str">
        <f>IF(AND(Include_study?="Yes",Sufficient_data="Yes"),(GD:GD-SUMPRODUCT(Calculations!FT:FT,'Publication Bias Analysis'!E:E)/SUM(Calculations!FT:FT))/SQRT(Calculations!HQ:HQ),"")</f>
        <v/>
      </c>
      <c r="HQ84" s="69" t="str">
        <f>IF(AND(Include_study?="Yes",Sufficient_data="Yes"),GE:GE^2-1/SUM(Calculations!FT:FT),"")</f>
        <v/>
      </c>
      <c r="HR84" s="7" t="str">
        <f t="shared" si="240"/>
        <v/>
      </c>
      <c r="HS84" s="7" t="str">
        <f t="shared" si="241"/>
        <v/>
      </c>
      <c r="HT84" s="7" t="str">
        <f>IF(AND(Include_study?="Yes",Sufficient_data="Yes"),COUNTIFS(HR$2:HR83,"&lt;"&amp;HR84,HS$2:HS83,"&lt;"&amp;HS84)+COUNTIFS(HR85:HR$201,"&lt;"&amp;HR84,HS85:HS$201,"&lt;"&amp;HS84)+COUNTIFS(HR$2:HR83,"&gt;"&amp;HR84,HS$2:HS83,"&gt;"&amp;HS84)+COUNTIFS(HR85:HR$201,"&gt;"&amp;HR84,HS85:HS$201,"&gt;"&amp;HS84),"")</f>
        <v/>
      </c>
      <c r="HU84" s="104" t="str">
        <f>IF(AND(Include_study?="Yes",Sufficient_data="Yes"),COUNTIFS(HR$2:HR83,"&lt;"&amp;HR84,HS$2:HS83,"&gt;"&amp;HS84)+COUNTIFS(HR85:HR$201,"&lt;"&amp;HR84,HS85:HS$201,"&gt;"&amp;HS84)+COUNTIFS(HR$2:HR83,"&gt;"&amp;HR84,HS$2:HS83,"&lt;"&amp;HS84)+COUNTIFS(HR85:HR$201,"&gt;"&amp;HR84,HS85:HS$201,"&lt;"&amp;HS84),"")</f>
        <v/>
      </c>
      <c r="HW84" s="176"/>
      <c r="IB84" s="176"/>
      <c r="IC84" s="146" t="e">
        <f t="shared" si="320"/>
        <v>#N/A</v>
      </c>
      <c r="ID84" s="137" t="e">
        <f t="shared" si="321"/>
        <v>#N/A</v>
      </c>
      <c r="IE84" s="137" t="str">
        <f t="shared" si="322"/>
        <v/>
      </c>
      <c r="IF84" s="95" t="str">
        <f t="shared" si="323"/>
        <v/>
      </c>
      <c r="IK84" s="176"/>
      <c r="IL84" s="69" t="e">
        <f>IF(AND(Include_study?="Yes",Sufficient_data="Yes"),'Publication Bias Analysis'!AV:AV,NA())</f>
        <v>#N/A</v>
      </c>
      <c r="IM84" s="158" t="e">
        <f>IF(AND(Sufficient_data="Yes",Include_study?="Yes"),'Publication Bias Analysis'!AU:AU,NA())</f>
        <v>#N/A</v>
      </c>
      <c r="IN84" s="69" t="str">
        <f t="shared" si="219"/>
        <v/>
      </c>
      <c r="IO84" s="74" t="str">
        <f>IF(AND(Include_study?="Yes",Sufficient_data="Yes"),Z_score-('Publication Bias Analysis'!AY$30+'Publication Bias Analysis'!AY$31*Inverse_standard_error),"")</f>
        <v/>
      </c>
      <c r="IU84" s="176"/>
      <c r="IV84" s="7" t="str">
        <f>IF('Publication Bias Analysis'!BG:BG&lt;&gt;"",RANK('Publication Bias Analysis'!BG:BG,'Publication Bias Analysis'!BG:BG,1)+COUNTIF('Publication Bias Analysis'!BG$2:BG83,'Publication Bias Analysis'!BG84),"")</f>
        <v/>
      </c>
      <c r="IW84" s="124" t="str">
        <f t="shared" si="324"/>
        <v/>
      </c>
      <c r="IX84" s="125" t="e">
        <f>IF('Publication Bias Analysis'!BF84&lt;&gt;"",'Publication Bias Analysis'!BF84,NA())</f>
        <v>#N/A</v>
      </c>
      <c r="IY84" s="125" t="e">
        <f>IF('Publication Bias Analysis'!BG84&lt;&gt;"",'Publication Bias Analysis'!BG84,NA())</f>
        <v>#N/A</v>
      </c>
      <c r="IZ84" s="69" t="str">
        <f>IF(AND(Include_study?="Yes",Sufficient_data="Yes"),'Publication Bias Analysis'!BF:BF-AVERAGE('Publication Bias Analysis'!BF:BF),"")</f>
        <v/>
      </c>
      <c r="JA84" s="74" t="str">
        <f>IF(AND(Include_study?="Yes",Sufficient_data="Yes"),'Publication Bias Analysis'!BG:BG-('Publication Bias Analysis'!BJ$30+'Publication Bias Analysis'!BJ$31*'Publication Bias Analysis'!BF:BF),"")</f>
        <v/>
      </c>
      <c r="JG84" s="176"/>
      <c r="JH84" s="39" t="str">
        <f t="shared" si="325"/>
        <v/>
      </c>
      <c r="JI84" s="148" t="str">
        <f t="shared" si="332"/>
        <v/>
      </c>
      <c r="JJ84" s="74" t="str">
        <f t="shared" si="333"/>
        <v/>
      </c>
    </row>
    <row r="85" spans="1:270" x14ac:dyDescent="0.2">
      <c r="A85" s="56" t="str">
        <f t="shared" si="126"/>
        <v/>
      </c>
      <c r="B85" s="7" t="str">
        <f>IF(AND(Include_study?="Yes",Sufficient_data="Yes"),IF(Input!a_&lt;&gt;"",Input!a_,Input!n1_-Input!b_),"")</f>
        <v/>
      </c>
      <c r="C85" s="7" t="str">
        <f>IF(AND(Include_study?="Yes",Sufficient_data="Yes"),IF(Input!b_&lt;&gt;"",Input!b_,Input!n1_-Input!a_),"")</f>
        <v/>
      </c>
      <c r="D85" s="7" t="str">
        <f>IF(AND(Include_study?="Yes",Sufficient_data="Yes"),IF(Input!c_&lt;&gt;"",Input!c_,Input!n2_-Input!d_),"")</f>
        <v/>
      </c>
      <c r="E85" s="7" t="str">
        <f>IF(AND(Include_study?="Yes",Sufficient_data="Yes"),IF(Input!d_&lt;&gt;"",Input!d_,Input!n2_-Input!c_),"")</f>
        <v/>
      </c>
      <c r="F85" s="74" t="str">
        <f t="shared" si="244"/>
        <v/>
      </c>
      <c r="H85" s="196"/>
      <c r="I85" s="182"/>
      <c r="J85" s="146" t="str">
        <f t="shared" si="245"/>
        <v/>
      </c>
      <c r="K85" s="39" t="str">
        <f t="shared" si="246"/>
        <v/>
      </c>
      <c r="L85" s="39" t="str">
        <f t="shared" si="247"/>
        <v/>
      </c>
      <c r="M85" s="39" t="str">
        <f t="shared" si="248"/>
        <v/>
      </c>
      <c r="N85" s="74" t="str">
        <f t="shared" si="249"/>
        <v/>
      </c>
      <c r="P85" s="176"/>
      <c r="Q85" s="130" t="str">
        <f t="shared" si="250"/>
        <v/>
      </c>
      <c r="R85" s="39" t="str">
        <f t="shared" si="251"/>
        <v/>
      </c>
      <c r="S85" s="39" t="str">
        <f t="shared" si="252"/>
        <v/>
      </c>
      <c r="T85" s="74" t="str">
        <f t="shared" si="253"/>
        <v/>
      </c>
      <c r="V85" s="176"/>
      <c r="W85" s="130" t="str">
        <f t="shared" si="254"/>
        <v/>
      </c>
      <c r="X85" s="39" t="str">
        <f t="shared" si="255"/>
        <v/>
      </c>
      <c r="Y85" s="39" t="str">
        <f t="shared" si="256"/>
        <v/>
      </c>
      <c r="Z85" s="74" t="str">
        <f t="shared" si="257"/>
        <v/>
      </c>
      <c r="AB85" s="176"/>
      <c r="AC85" s="130" t="str">
        <f t="shared" si="258"/>
        <v/>
      </c>
      <c r="AD85" s="39" t="str">
        <f t="shared" si="259"/>
        <v/>
      </c>
      <c r="AE85" s="39" t="str">
        <f t="shared" si="260"/>
        <v/>
      </c>
      <c r="AF85" s="39" t="str">
        <f t="shared" si="261"/>
        <v/>
      </c>
      <c r="AG85" s="74" t="str">
        <f t="shared" si="262"/>
        <v/>
      </c>
      <c r="AI85" s="196"/>
      <c r="AJ8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5" s="136" t="str">
        <f>IF(AJ85&lt;&gt;"",IF(AJ85=0,COUNTIF(AJ$2:AJ84,0)+1,COUNTIF(AJ$2:AJ84,AJ85)+AJ85+COUNTIF(AJ:AJ,0)),"")</f>
        <v/>
      </c>
      <c r="AL85" s="136" t="str">
        <f t="shared" si="263"/>
        <v/>
      </c>
      <c r="AM85" s="155" t="str">
        <f>IF(AND(Include_study?="Yes",Sufficient_data="Yes",Input!Study_name&lt;&gt;""),Input!Study_name,"")</f>
        <v/>
      </c>
      <c r="AN85" s="136" t="str">
        <f t="shared" si="264"/>
        <v/>
      </c>
      <c r="AO85" s="19" t="str">
        <f t="shared" si="265"/>
        <v/>
      </c>
      <c r="AP85" s="158" t="str">
        <f t="shared" si="266"/>
        <v/>
      </c>
      <c r="AQ85" s="158" t="str">
        <f t="shared" si="267"/>
        <v/>
      </c>
      <c r="AR85" s="39" t="str">
        <f t="shared" si="268"/>
        <v/>
      </c>
      <c r="AS85" s="158" t="str">
        <f t="shared" si="269"/>
        <v/>
      </c>
      <c r="AT85" s="39" t="str">
        <f t="shared" si="270"/>
        <v/>
      </c>
      <c r="AU85" s="172" t="str">
        <f t="shared" si="271"/>
        <v/>
      </c>
      <c r="AV85" s="45"/>
      <c r="AW85" s="84" t="e">
        <f t="shared" si="152"/>
        <v>#N/A</v>
      </c>
      <c r="AX85" s="69" t="e">
        <f t="shared" si="272"/>
        <v>#N/A</v>
      </c>
      <c r="AY85" s="74" t="e">
        <f t="shared" si="273"/>
        <v>#N/A</v>
      </c>
      <c r="AZ85" s="45"/>
      <c r="BA85" s="45"/>
      <c r="BB85" s="45"/>
      <c r="BC85" s="45"/>
      <c r="BD85" s="196"/>
      <c r="BE85" s="182"/>
      <c r="BF85" s="69" t="str">
        <f t="shared" si="155"/>
        <v/>
      </c>
      <c r="BG85" s="69" t="str">
        <f t="shared" si="156"/>
        <v/>
      </c>
      <c r="BH85" s="69" t="str">
        <f t="shared" si="157"/>
        <v/>
      </c>
      <c r="BI85" s="39" t="str">
        <f t="shared" si="158"/>
        <v/>
      </c>
      <c r="BJ85" s="95" t="str">
        <f t="shared" si="274"/>
        <v/>
      </c>
      <c r="BO85" s="176"/>
      <c r="BP85" s="158" t="str">
        <f t="shared" si="275"/>
        <v/>
      </c>
      <c r="BQ85" s="158" t="str">
        <f t="shared" si="276"/>
        <v/>
      </c>
      <c r="BR85" s="158" t="str">
        <f t="shared" si="277"/>
        <v/>
      </c>
      <c r="BS85" s="158" t="str">
        <f>IF(AND(Sufficient_data="Yes",Include_study?="Yes"),IF(Add_0_5="Yes",(a_+d_+1)*(ab_+0.5)*(c_+0.5)/(Number_of_subjects+2)^2,(a_+d_)*b_*c_/Number_of_subjects^2),"")</f>
        <v/>
      </c>
      <c r="BT85" s="158" t="str">
        <f t="shared" si="278"/>
        <v/>
      </c>
      <c r="BU85" s="158" t="str">
        <f t="shared" si="279"/>
        <v/>
      </c>
      <c r="BV85" s="158" t="str">
        <f t="shared" si="280"/>
        <v/>
      </c>
      <c r="BW85" s="69" t="str">
        <f t="shared" si="166"/>
        <v/>
      </c>
      <c r="BX85" s="137" t="str">
        <f t="shared" si="167"/>
        <v/>
      </c>
      <c r="BY85" s="95" t="str">
        <f t="shared" si="281"/>
        <v/>
      </c>
      <c r="CD85" s="176"/>
      <c r="CE85" s="130" t="str">
        <f t="shared" si="282"/>
        <v/>
      </c>
      <c r="CF85" s="39" t="str">
        <f t="shared" si="283"/>
        <v/>
      </c>
      <c r="CG85" s="39" t="str">
        <f t="shared" si="284"/>
        <v/>
      </c>
      <c r="CH85" s="39" t="str">
        <f t="shared" si="285"/>
        <v/>
      </c>
      <c r="CI85" s="39" t="str">
        <f t="shared" si="286"/>
        <v/>
      </c>
      <c r="CJ85" s="39" t="str">
        <f t="shared" si="287"/>
        <v/>
      </c>
      <c r="CK85" s="95" t="str">
        <f t="shared" si="288"/>
        <v/>
      </c>
      <c r="CP85" s="176"/>
      <c r="CQ85" s="99" t="str">
        <f t="shared" si="175"/>
        <v/>
      </c>
      <c r="CX85" s="196"/>
      <c r="CY85" s="89" t="e">
        <f t="shared" si="289"/>
        <v>#N/A</v>
      </c>
      <c r="CZ85" s="136" t="str">
        <f t="shared" si="290"/>
        <v/>
      </c>
      <c r="DA85" s="140" t="str">
        <f t="shared" si="291"/>
        <v/>
      </c>
      <c r="DB85" s="39" t="str">
        <f t="shared" si="292"/>
        <v/>
      </c>
      <c r="DC85" s="39" t="str">
        <f t="shared" si="293"/>
        <v/>
      </c>
      <c r="DD85" s="39" t="str">
        <f t="shared" si="294"/>
        <v/>
      </c>
      <c r="DE85" s="39" t="str">
        <f t="shared" si="295"/>
        <v/>
      </c>
      <c r="DF85" s="141" t="str">
        <f t="shared" si="296"/>
        <v/>
      </c>
      <c r="DG85" s="39" t="str">
        <f t="shared" si="297"/>
        <v/>
      </c>
      <c r="DH85" s="39" t="str">
        <f t="shared" si="298"/>
        <v/>
      </c>
      <c r="DI85" s="39" t="str">
        <f t="shared" si="299"/>
        <v/>
      </c>
      <c r="DJ85" s="74" t="str">
        <f t="shared" si="300"/>
        <v/>
      </c>
      <c r="DK85" s="45"/>
      <c r="DL85" s="84" t="e">
        <f t="shared" si="222"/>
        <v>#N/A</v>
      </c>
      <c r="DM85" s="39" t="e">
        <f t="shared" si="301"/>
        <v>#N/A</v>
      </c>
      <c r="DN85" s="74" t="e">
        <f t="shared" si="302"/>
        <v>#N/A</v>
      </c>
      <c r="DO85" s="45"/>
      <c r="DP85" s="89" t="str">
        <f t="shared" si="326"/>
        <v/>
      </c>
      <c r="DQ85" s="26" t="str">
        <f>IF(AND(Sufficient_data="Yes",Subgroup&lt;&gt;""),IF(COUNTIFS(Input!J$2:J84,"="&amp;"Yes",Input!C$2:C84,"="&amp;"Yes",Input!K$2:K84,"="&amp;Subgroup)&gt;0,"",Subgroup),"")</f>
        <v/>
      </c>
      <c r="DR85" s="7" t="str">
        <f t="shared" si="327"/>
        <v/>
      </c>
      <c r="DS85" s="7" t="str">
        <f t="shared" si="303"/>
        <v/>
      </c>
      <c r="DT85" s="19" t="str">
        <f t="shared" si="304"/>
        <v/>
      </c>
      <c r="DU85" s="12" t="str">
        <f t="shared" si="223"/>
        <v/>
      </c>
      <c r="DV85" s="11" t="str">
        <f t="shared" si="224"/>
        <v/>
      </c>
      <c r="DW85" s="12" t="str">
        <f t="shared" si="225"/>
        <v/>
      </c>
      <c r="DX85" s="12" t="str">
        <f t="shared" si="305"/>
        <v/>
      </c>
      <c r="DY85" s="19" t="str">
        <f t="shared" si="226"/>
        <v/>
      </c>
      <c r="DZ85" s="12" t="str">
        <f t="shared" si="227"/>
        <v/>
      </c>
      <c r="EA85" s="19" t="str">
        <f t="shared" si="306"/>
        <v/>
      </c>
      <c r="EB85" s="7" t="str">
        <f t="shared" si="307"/>
        <v/>
      </c>
      <c r="EC85" s="19" t="str">
        <f t="shared" si="308"/>
        <v/>
      </c>
      <c r="ED85" s="19" t="str">
        <f t="shared" si="309"/>
        <v/>
      </c>
      <c r="EE85" s="19" t="str">
        <f t="shared" si="228"/>
        <v/>
      </c>
      <c r="EF85" s="19" t="str">
        <f t="shared" si="229"/>
        <v/>
      </c>
      <c r="EG85" s="19" t="str">
        <f t="shared" si="230"/>
        <v/>
      </c>
      <c r="EH85" s="19" t="str">
        <f t="shared" si="231"/>
        <v/>
      </c>
      <c r="EI85" s="19" t="str">
        <f t="shared" si="232"/>
        <v/>
      </c>
      <c r="EJ85" s="19" t="str">
        <f t="shared" si="310"/>
        <v/>
      </c>
      <c r="EK85" s="19" t="str">
        <f t="shared" si="311"/>
        <v/>
      </c>
      <c r="EL85" s="19" t="str">
        <f t="shared" si="233"/>
        <v/>
      </c>
      <c r="EM85" s="19" t="str">
        <f t="shared" si="234"/>
        <v/>
      </c>
      <c r="EN85" s="19" t="str">
        <f t="shared" si="235"/>
        <v/>
      </c>
      <c r="EO85" s="19" t="str">
        <f t="shared" si="236"/>
        <v/>
      </c>
      <c r="EP85" s="19" t="str">
        <f t="shared" si="237"/>
        <v/>
      </c>
      <c r="EQ85" s="19" t="e">
        <f t="shared" si="238"/>
        <v>#N/A</v>
      </c>
      <c r="ER85" s="11" t="str">
        <f t="shared" si="328"/>
        <v/>
      </c>
      <c r="ES85" s="19" t="str">
        <f t="shared" si="329"/>
        <v/>
      </c>
      <c r="ET85" s="156" t="str">
        <f t="shared" si="312"/>
        <v/>
      </c>
      <c r="EU85" s="39" t="str">
        <f t="shared" si="239"/>
        <v/>
      </c>
      <c r="EV85" s="74" t="str">
        <f t="shared" si="313"/>
        <v/>
      </c>
      <c r="FA85" s="196"/>
      <c r="FB85" s="84" t="e">
        <f>IF(AND(Include_study?="Yes",Sufficient_data="Yes",Moderator&lt;&gt;""),'Moderator Analysis'!E85,NA())</f>
        <v>#N/A</v>
      </c>
      <c r="FC85" s="39" t="e">
        <f>IF(AND(Include_study?="Yes",Sufficient_data="Yes",Moderator&lt;&gt;""),'Moderator Analysis'!F85,NA())</f>
        <v>#N/A</v>
      </c>
      <c r="FD85" s="39" t="str">
        <f t="shared" si="314"/>
        <v/>
      </c>
      <c r="FE85" s="39" t="str">
        <f t="shared" si="315"/>
        <v/>
      </c>
      <c r="FF85" s="39" t="str">
        <f>IF(AND(Include_study?="Yes",Sufficient_data="Yes",Moderator&lt;&gt;""),'Moderator Analysis'!F:F-FP$2,"")</f>
        <v/>
      </c>
      <c r="FG85" s="39" t="str">
        <f>IF(AND(Include_study?="Yes",Sufficient_data="Yes",Moderator&lt;&gt;""),'Moderator Analysis'!E:E-FP$3,"")</f>
        <v/>
      </c>
      <c r="FH85" s="74" t="str">
        <f>IF(AND(Include_study?="Yes",Sufficient_data="Yes",Moderator&lt;&gt;""),FE:FE*('Moderator Analysis'!F:F-FP$5-FP$4*'Moderator Analysis'!E:E)^2,"")</f>
        <v/>
      </c>
      <c r="FI85" s="128"/>
      <c r="FJ85" s="92" t="str">
        <f t="shared" si="316"/>
        <v/>
      </c>
      <c r="FK85" s="137" t="str">
        <f>IF(AND(Include_study?="Yes",Sufficient_data="Yes",Moderator&lt;&gt;""),'Moderator Analysis'!F:F-'Moderator Analysis'!J$37,"")</f>
        <v/>
      </c>
      <c r="FL85" s="137" t="str">
        <f>IF(AND(Include_study?="Yes",Sufficient_data="Yes",Moderator&lt;&gt;""),'Moderator Analysis'!E:E-SUMPRODUCT('Moderator Analysis'!E:E,FJ:FJ)/SUM(FJ:FJ),"")</f>
        <v/>
      </c>
      <c r="FM85" s="95" t="str">
        <f>IF(AND(Include_study?="Yes",Sufficient_data="Yes",Moderator&lt;&gt;""),FJ:FJ*('Moderator Analysis'!F:F-'Moderator Analysis'!J$29-'Moderator Analysis'!J$30*'Moderator Analysis'!E:E)^2,"")</f>
        <v/>
      </c>
      <c r="FR85" s="196"/>
      <c r="FS85" s="182"/>
      <c r="FT8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5" s="39" t="str">
        <f>IF(AND(Include_study?="Yes",Sufficient_data="Yes"),1/('Publication Bias Analysis'!F:F^2+IF(Additional_model="Fixed effect",0,Calculations!GH$12)),"")</f>
        <v/>
      </c>
      <c r="FV85" s="39" t="str">
        <f>IF(AND(Include_study?="Yes",Sufficient_data="Yes"),1/('Publication Bias Analysis'!F:F^2+IF(Additional_model="Fixed effect",0,'Publication Bias Analysis'!L$32)),"")</f>
        <v/>
      </c>
      <c r="FW85" s="39" t="str">
        <f>IF(AND(Include_study?="Yes",Sufficient_data="Yes"),'Publication Bias Analysis'!E:E-'Publication Bias Analysis'!I$37,"")</f>
        <v/>
      </c>
      <c r="FX85" s="39" t="str">
        <f>IF(AND(Include_study?="Yes",Sufficient_data="Yes"),IF(Additional_model="Fixed effect",1/'Publication Bias Analysis'!F:F,1/SQRT('Publication Bias Analysis'!F:F^2+GH$12)),"")</f>
        <v/>
      </c>
      <c r="FY8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5" s="136" t="str">
        <f t="shared" si="317"/>
        <v/>
      </c>
      <c r="GA85" s="144" t="str">
        <f>IF(AND(Include_study?="Yes",Sufficient_data="Yes"),FZ:FZ+IF(GL:GL&lt;0,-1,1)*COUNTIF(FZ$2:FZ84,FZ:FZ),"")</f>
        <v/>
      </c>
      <c r="GB85" s="144" t="str">
        <f>IF(AND(Include_study?="Yes",Sufficient_data="Yes"),RANK(GP:GP,GP:GP,1)*IF(GO:GO&lt;0,-1,1)+IF(GO:GO&lt;0,-1,1)*COUNTIF(FZ$2:FZ84,FZ:FZ),"")</f>
        <v/>
      </c>
      <c r="GC85" s="144" t="str">
        <f>IF(AND(Include_study?="Yes",Sufficient_data="Yes"),RANK(GS:GS,GS:GS,1)*IF(GR:GR&lt;0,-1,1)+IF(GR:GR&lt;0,-1,1)*COUNTIF(FZ$2:FZ84,FZ:FZ),"")</f>
        <v/>
      </c>
      <c r="GD85" s="39" t="e">
        <f>IF(AND(Include_study?="Yes",Sufficient_data="Yes"),'Publication Bias Analysis'!E85,NA())</f>
        <v>#N/A</v>
      </c>
      <c r="GE85" s="74" t="e">
        <f>IF(AND(Include_study?="Yes",Sufficient_data="Yes"),'Publication Bias Analysis'!F85,NA())</f>
        <v>#N/A</v>
      </c>
      <c r="GK85" s="176"/>
      <c r="GL8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5" s="39" t="str">
        <f t="shared" si="318"/>
        <v/>
      </c>
      <c r="GN8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5" s="39" t="str">
        <f>IF(AND(Include_study?="Yes",Sufficient_data="Yes"),IF('Publication Bias Analysis'!L$38="Left",'Publication Bias Analysis'!E:E-GW$3,GW$3-'Publication Bias Analysis'!E:E),"")</f>
        <v/>
      </c>
      <c r="GP85" s="39" t="str">
        <f t="shared" si="330"/>
        <v/>
      </c>
      <c r="GQ8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5" s="39" t="str">
        <f>IF(AND(Include_study?="Yes",Sufficient_data="Yes"),IF('Publication Bias Analysis'!L$38="Left",'Publication Bias Analysis'!E:E-GW$10,GW$10-'Publication Bias Analysis'!E:E),"")</f>
        <v/>
      </c>
      <c r="GS85" s="39" t="str">
        <f t="shared" si="331"/>
        <v/>
      </c>
      <c r="GT8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5" s="176"/>
      <c r="HL85" s="69" t="str">
        <f t="shared" si="319"/>
        <v/>
      </c>
      <c r="HM85" s="74" t="str">
        <f>IF(AND(Include_study?="Yes",Sufficient_data="Yes"),Z_score-('Publication Bias Analysis'!P$3+'Publication Bias Analysis'!P$4*Inverse_standard_error),"")</f>
        <v/>
      </c>
      <c r="HO85" s="176"/>
      <c r="HP85" s="69" t="str">
        <f>IF(AND(Include_study?="Yes",Sufficient_data="Yes"),(GD:GD-SUMPRODUCT(Calculations!FT:FT,'Publication Bias Analysis'!E:E)/SUM(Calculations!FT:FT))/SQRT(Calculations!HQ:HQ),"")</f>
        <v/>
      </c>
      <c r="HQ85" s="69" t="str">
        <f>IF(AND(Include_study?="Yes",Sufficient_data="Yes"),GE:GE^2-1/SUM(Calculations!FT:FT),"")</f>
        <v/>
      </c>
      <c r="HR85" s="7" t="str">
        <f t="shared" si="240"/>
        <v/>
      </c>
      <c r="HS85" s="7" t="str">
        <f t="shared" si="241"/>
        <v/>
      </c>
      <c r="HT85" s="7" t="str">
        <f>IF(AND(Include_study?="Yes",Sufficient_data="Yes"),COUNTIFS(HR$2:HR84,"&lt;"&amp;HR85,HS$2:HS84,"&lt;"&amp;HS85)+COUNTIFS(HR86:HR$201,"&lt;"&amp;HR85,HS86:HS$201,"&lt;"&amp;HS85)+COUNTIFS(HR$2:HR84,"&gt;"&amp;HR85,HS$2:HS84,"&gt;"&amp;HS85)+COUNTIFS(HR86:HR$201,"&gt;"&amp;HR85,HS86:HS$201,"&gt;"&amp;HS85),"")</f>
        <v/>
      </c>
      <c r="HU85" s="104" t="str">
        <f>IF(AND(Include_study?="Yes",Sufficient_data="Yes"),COUNTIFS(HR$2:HR84,"&lt;"&amp;HR85,HS$2:HS84,"&gt;"&amp;HS85)+COUNTIFS(HR86:HR$201,"&lt;"&amp;HR85,HS86:HS$201,"&gt;"&amp;HS85)+COUNTIFS(HR$2:HR84,"&gt;"&amp;HR85,HS$2:HS84,"&lt;"&amp;HS85)+COUNTIFS(HR86:HR$201,"&gt;"&amp;HR85,HS86:HS$201,"&lt;"&amp;HS85),"")</f>
        <v/>
      </c>
      <c r="HW85" s="176"/>
      <c r="IB85" s="176"/>
      <c r="IC85" s="146" t="e">
        <f t="shared" si="320"/>
        <v>#N/A</v>
      </c>
      <c r="ID85" s="137" t="e">
        <f t="shared" si="321"/>
        <v>#N/A</v>
      </c>
      <c r="IE85" s="137" t="str">
        <f t="shared" si="322"/>
        <v/>
      </c>
      <c r="IF85" s="95" t="str">
        <f t="shared" si="323"/>
        <v/>
      </c>
      <c r="IK85" s="176"/>
      <c r="IL85" s="69" t="e">
        <f>IF(AND(Include_study?="Yes",Sufficient_data="Yes"),'Publication Bias Analysis'!AV:AV,NA())</f>
        <v>#N/A</v>
      </c>
      <c r="IM85" s="158" t="e">
        <f>IF(AND(Sufficient_data="Yes",Include_study?="Yes"),'Publication Bias Analysis'!AU:AU,NA())</f>
        <v>#N/A</v>
      </c>
      <c r="IN85" s="69" t="str">
        <f t="shared" si="219"/>
        <v/>
      </c>
      <c r="IO85" s="74" t="str">
        <f>IF(AND(Include_study?="Yes",Sufficient_data="Yes"),Z_score-('Publication Bias Analysis'!AY$30+'Publication Bias Analysis'!AY$31*Inverse_standard_error),"")</f>
        <v/>
      </c>
      <c r="IU85" s="176"/>
      <c r="IV85" s="7" t="str">
        <f>IF('Publication Bias Analysis'!BG:BG&lt;&gt;"",RANK('Publication Bias Analysis'!BG:BG,'Publication Bias Analysis'!BG:BG,1)+COUNTIF('Publication Bias Analysis'!BG$2:BG84,'Publication Bias Analysis'!BG85),"")</f>
        <v/>
      </c>
      <c r="IW85" s="124" t="str">
        <f t="shared" si="324"/>
        <v/>
      </c>
      <c r="IX85" s="125" t="e">
        <f>IF('Publication Bias Analysis'!BF85&lt;&gt;"",'Publication Bias Analysis'!BF85,NA())</f>
        <v>#N/A</v>
      </c>
      <c r="IY85" s="125" t="e">
        <f>IF('Publication Bias Analysis'!BG85&lt;&gt;"",'Publication Bias Analysis'!BG85,NA())</f>
        <v>#N/A</v>
      </c>
      <c r="IZ85" s="69" t="str">
        <f>IF(AND(Include_study?="Yes",Sufficient_data="Yes"),'Publication Bias Analysis'!BF:BF-AVERAGE('Publication Bias Analysis'!BF:BF),"")</f>
        <v/>
      </c>
      <c r="JA85" s="74" t="str">
        <f>IF(AND(Include_study?="Yes",Sufficient_data="Yes"),'Publication Bias Analysis'!BG:BG-('Publication Bias Analysis'!BJ$30+'Publication Bias Analysis'!BJ$31*'Publication Bias Analysis'!BF:BF),"")</f>
        <v/>
      </c>
      <c r="JG85" s="176"/>
      <c r="JH85" s="39" t="str">
        <f t="shared" si="325"/>
        <v/>
      </c>
      <c r="JI85" s="148" t="str">
        <f t="shared" si="332"/>
        <v/>
      </c>
      <c r="JJ85" s="74" t="str">
        <f t="shared" si="333"/>
        <v/>
      </c>
    </row>
    <row r="86" spans="1:270" x14ac:dyDescent="0.2">
      <c r="A86" s="56" t="str">
        <f t="shared" si="126"/>
        <v/>
      </c>
      <c r="B86" s="7" t="str">
        <f>IF(AND(Include_study?="Yes",Sufficient_data="Yes"),IF(Input!a_&lt;&gt;"",Input!a_,Input!n1_-Input!b_),"")</f>
        <v/>
      </c>
      <c r="C86" s="7" t="str">
        <f>IF(AND(Include_study?="Yes",Sufficient_data="Yes"),IF(Input!b_&lt;&gt;"",Input!b_,Input!n1_-Input!a_),"")</f>
        <v/>
      </c>
      <c r="D86" s="7" t="str">
        <f>IF(AND(Include_study?="Yes",Sufficient_data="Yes"),IF(Input!c_&lt;&gt;"",Input!c_,Input!n2_-Input!d_),"")</f>
        <v/>
      </c>
      <c r="E86" s="7" t="str">
        <f>IF(AND(Include_study?="Yes",Sufficient_data="Yes"),IF(Input!d_&lt;&gt;"",Input!d_,Input!n2_-Input!c_),"")</f>
        <v/>
      </c>
      <c r="F86" s="74" t="str">
        <f t="shared" si="244"/>
        <v/>
      </c>
      <c r="H86" s="196"/>
      <c r="I86" s="182"/>
      <c r="J86" s="146" t="str">
        <f t="shared" si="245"/>
        <v/>
      </c>
      <c r="K86" s="39" t="str">
        <f t="shared" si="246"/>
        <v/>
      </c>
      <c r="L86" s="39" t="str">
        <f t="shared" si="247"/>
        <v/>
      </c>
      <c r="M86" s="39" t="str">
        <f t="shared" si="248"/>
        <v/>
      </c>
      <c r="N86" s="74" t="str">
        <f t="shared" si="249"/>
        <v/>
      </c>
      <c r="P86" s="176"/>
      <c r="Q86" s="130" t="str">
        <f t="shared" si="250"/>
        <v/>
      </c>
      <c r="R86" s="39" t="str">
        <f t="shared" si="251"/>
        <v/>
      </c>
      <c r="S86" s="39" t="str">
        <f t="shared" si="252"/>
        <v/>
      </c>
      <c r="T86" s="74" t="str">
        <f t="shared" si="253"/>
        <v/>
      </c>
      <c r="V86" s="176"/>
      <c r="W86" s="130" t="str">
        <f t="shared" si="254"/>
        <v/>
      </c>
      <c r="X86" s="39" t="str">
        <f t="shared" si="255"/>
        <v/>
      </c>
      <c r="Y86" s="39" t="str">
        <f t="shared" si="256"/>
        <v/>
      </c>
      <c r="Z86" s="74" t="str">
        <f t="shared" si="257"/>
        <v/>
      </c>
      <c r="AB86" s="176"/>
      <c r="AC86" s="130" t="str">
        <f t="shared" si="258"/>
        <v/>
      </c>
      <c r="AD86" s="39" t="str">
        <f t="shared" si="259"/>
        <v/>
      </c>
      <c r="AE86" s="39" t="str">
        <f t="shared" si="260"/>
        <v/>
      </c>
      <c r="AF86" s="39" t="str">
        <f t="shared" si="261"/>
        <v/>
      </c>
      <c r="AG86" s="74" t="str">
        <f t="shared" si="262"/>
        <v/>
      </c>
      <c r="AI86" s="196"/>
      <c r="AJ8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6" s="136" t="str">
        <f>IF(AJ86&lt;&gt;"",IF(AJ86=0,COUNTIF(AJ$2:AJ85,0)+1,COUNTIF(AJ$2:AJ85,AJ86)+AJ86+COUNTIF(AJ:AJ,0)),"")</f>
        <v/>
      </c>
      <c r="AL86" s="136" t="str">
        <f t="shared" si="263"/>
        <v/>
      </c>
      <c r="AM86" s="155" t="str">
        <f>IF(AND(Include_study?="Yes",Sufficient_data="Yes",Input!Study_name&lt;&gt;""),Input!Study_name,"")</f>
        <v/>
      </c>
      <c r="AN86" s="136" t="str">
        <f t="shared" si="264"/>
        <v/>
      </c>
      <c r="AO86" s="19" t="str">
        <f t="shared" si="265"/>
        <v/>
      </c>
      <c r="AP86" s="158" t="str">
        <f t="shared" si="266"/>
        <v/>
      </c>
      <c r="AQ86" s="158" t="str">
        <f t="shared" si="267"/>
        <v/>
      </c>
      <c r="AR86" s="39" t="str">
        <f t="shared" si="268"/>
        <v/>
      </c>
      <c r="AS86" s="158" t="str">
        <f t="shared" si="269"/>
        <v/>
      </c>
      <c r="AT86" s="39" t="str">
        <f t="shared" si="270"/>
        <v/>
      </c>
      <c r="AU86" s="172" t="str">
        <f t="shared" si="271"/>
        <v/>
      </c>
      <c r="AV86" s="45"/>
      <c r="AW86" s="84" t="e">
        <f t="shared" si="152"/>
        <v>#N/A</v>
      </c>
      <c r="AX86" s="69" t="e">
        <f t="shared" si="272"/>
        <v>#N/A</v>
      </c>
      <c r="AY86" s="74" t="e">
        <f t="shared" si="273"/>
        <v>#N/A</v>
      </c>
      <c r="AZ86" s="45"/>
      <c r="BA86" s="45"/>
      <c r="BB86" s="45"/>
      <c r="BC86" s="45"/>
      <c r="BD86" s="196"/>
      <c r="BE86" s="182"/>
      <c r="BF86" s="69" t="str">
        <f t="shared" si="155"/>
        <v/>
      </c>
      <c r="BG86" s="69" t="str">
        <f t="shared" si="156"/>
        <v/>
      </c>
      <c r="BH86" s="69" t="str">
        <f t="shared" si="157"/>
        <v/>
      </c>
      <c r="BI86" s="39" t="str">
        <f t="shared" si="158"/>
        <v/>
      </c>
      <c r="BJ86" s="95" t="str">
        <f t="shared" si="274"/>
        <v/>
      </c>
      <c r="BO86" s="176"/>
      <c r="BP86" s="158" t="str">
        <f t="shared" si="275"/>
        <v/>
      </c>
      <c r="BQ86" s="158" t="str">
        <f t="shared" si="276"/>
        <v/>
      </c>
      <c r="BR86" s="158" t="str">
        <f t="shared" si="277"/>
        <v/>
      </c>
      <c r="BS86" s="158" t="str">
        <f>IF(AND(Sufficient_data="Yes",Include_study?="Yes"),IF(Add_0_5="Yes",(a_+d_+1)*(ab_+0.5)*(c_+0.5)/(Number_of_subjects+2)^2,(a_+d_)*b_*c_/Number_of_subjects^2),"")</f>
        <v/>
      </c>
      <c r="BT86" s="158" t="str">
        <f t="shared" si="278"/>
        <v/>
      </c>
      <c r="BU86" s="158" t="str">
        <f t="shared" si="279"/>
        <v/>
      </c>
      <c r="BV86" s="158" t="str">
        <f t="shared" si="280"/>
        <v/>
      </c>
      <c r="BW86" s="69" t="str">
        <f t="shared" si="166"/>
        <v/>
      </c>
      <c r="BX86" s="137" t="str">
        <f t="shared" si="167"/>
        <v/>
      </c>
      <c r="BY86" s="95" t="str">
        <f t="shared" si="281"/>
        <v/>
      </c>
      <c r="CD86" s="176"/>
      <c r="CE86" s="130" t="str">
        <f t="shared" si="282"/>
        <v/>
      </c>
      <c r="CF86" s="39" t="str">
        <f t="shared" si="283"/>
        <v/>
      </c>
      <c r="CG86" s="39" t="str">
        <f t="shared" si="284"/>
        <v/>
      </c>
      <c r="CH86" s="39" t="str">
        <f t="shared" si="285"/>
        <v/>
      </c>
      <c r="CI86" s="39" t="str">
        <f t="shared" si="286"/>
        <v/>
      </c>
      <c r="CJ86" s="39" t="str">
        <f t="shared" si="287"/>
        <v/>
      </c>
      <c r="CK86" s="95" t="str">
        <f t="shared" si="288"/>
        <v/>
      </c>
      <c r="CP86" s="176"/>
      <c r="CQ86" s="99" t="str">
        <f t="shared" si="175"/>
        <v/>
      </c>
      <c r="CX86" s="196"/>
      <c r="CY86" s="89" t="e">
        <f t="shared" si="289"/>
        <v>#N/A</v>
      </c>
      <c r="CZ86" s="136" t="str">
        <f t="shared" si="290"/>
        <v/>
      </c>
      <c r="DA86" s="140" t="str">
        <f t="shared" si="291"/>
        <v/>
      </c>
      <c r="DB86" s="39" t="str">
        <f t="shared" si="292"/>
        <v/>
      </c>
      <c r="DC86" s="39" t="str">
        <f t="shared" si="293"/>
        <v/>
      </c>
      <c r="DD86" s="39" t="str">
        <f t="shared" si="294"/>
        <v/>
      </c>
      <c r="DE86" s="39" t="str">
        <f t="shared" si="295"/>
        <v/>
      </c>
      <c r="DF86" s="141" t="str">
        <f t="shared" si="296"/>
        <v/>
      </c>
      <c r="DG86" s="39" t="str">
        <f t="shared" si="297"/>
        <v/>
      </c>
      <c r="DH86" s="39" t="str">
        <f t="shared" si="298"/>
        <v/>
      </c>
      <c r="DI86" s="39" t="str">
        <f t="shared" si="299"/>
        <v/>
      </c>
      <c r="DJ86" s="74" t="str">
        <f t="shared" si="300"/>
        <v/>
      </c>
      <c r="DK86" s="45"/>
      <c r="DL86" s="84" t="e">
        <f t="shared" si="222"/>
        <v>#N/A</v>
      </c>
      <c r="DM86" s="39" t="e">
        <f t="shared" si="301"/>
        <v>#N/A</v>
      </c>
      <c r="DN86" s="74" t="e">
        <f t="shared" si="302"/>
        <v>#N/A</v>
      </c>
      <c r="DO86" s="45"/>
      <c r="DP86" s="89" t="str">
        <f t="shared" si="326"/>
        <v/>
      </c>
      <c r="DQ86" s="26" t="str">
        <f>IF(AND(Sufficient_data="Yes",Subgroup&lt;&gt;""),IF(COUNTIFS(Input!J$2:J85,"="&amp;"Yes",Input!C$2:C85,"="&amp;"Yes",Input!K$2:K85,"="&amp;Subgroup)&gt;0,"",Subgroup),"")</f>
        <v/>
      </c>
      <c r="DR86" s="7" t="str">
        <f t="shared" si="327"/>
        <v/>
      </c>
      <c r="DS86" s="7" t="str">
        <f t="shared" si="303"/>
        <v/>
      </c>
      <c r="DT86" s="19" t="str">
        <f t="shared" si="304"/>
        <v/>
      </c>
      <c r="DU86" s="12" t="str">
        <f t="shared" si="223"/>
        <v/>
      </c>
      <c r="DV86" s="11" t="str">
        <f t="shared" si="224"/>
        <v/>
      </c>
      <c r="DW86" s="12" t="str">
        <f t="shared" si="225"/>
        <v/>
      </c>
      <c r="DX86" s="12" t="str">
        <f t="shared" si="305"/>
        <v/>
      </c>
      <c r="DY86" s="19" t="str">
        <f t="shared" si="226"/>
        <v/>
      </c>
      <c r="DZ86" s="12" t="str">
        <f t="shared" si="227"/>
        <v/>
      </c>
      <c r="EA86" s="19" t="str">
        <f t="shared" si="306"/>
        <v/>
      </c>
      <c r="EB86" s="7" t="str">
        <f t="shared" si="307"/>
        <v/>
      </c>
      <c r="EC86" s="19" t="str">
        <f t="shared" si="308"/>
        <v/>
      </c>
      <c r="ED86" s="19" t="str">
        <f t="shared" si="309"/>
        <v/>
      </c>
      <c r="EE86" s="19" t="str">
        <f t="shared" si="228"/>
        <v/>
      </c>
      <c r="EF86" s="19" t="str">
        <f t="shared" si="229"/>
        <v/>
      </c>
      <c r="EG86" s="19" t="str">
        <f t="shared" si="230"/>
        <v/>
      </c>
      <c r="EH86" s="19" t="str">
        <f t="shared" si="231"/>
        <v/>
      </c>
      <c r="EI86" s="19" t="str">
        <f t="shared" si="232"/>
        <v/>
      </c>
      <c r="EJ86" s="19" t="str">
        <f t="shared" si="310"/>
        <v/>
      </c>
      <c r="EK86" s="19" t="str">
        <f t="shared" si="311"/>
        <v/>
      </c>
      <c r="EL86" s="19" t="str">
        <f t="shared" si="233"/>
        <v/>
      </c>
      <c r="EM86" s="19" t="str">
        <f t="shared" si="234"/>
        <v/>
      </c>
      <c r="EN86" s="19" t="str">
        <f t="shared" si="235"/>
        <v/>
      </c>
      <c r="EO86" s="19" t="str">
        <f t="shared" si="236"/>
        <v/>
      </c>
      <c r="EP86" s="19" t="str">
        <f t="shared" si="237"/>
        <v/>
      </c>
      <c r="EQ86" s="19" t="e">
        <f t="shared" si="238"/>
        <v>#N/A</v>
      </c>
      <c r="ER86" s="11" t="str">
        <f t="shared" si="328"/>
        <v/>
      </c>
      <c r="ES86" s="19" t="str">
        <f t="shared" si="329"/>
        <v/>
      </c>
      <c r="ET86" s="156" t="str">
        <f t="shared" si="312"/>
        <v/>
      </c>
      <c r="EU86" s="39" t="str">
        <f t="shared" si="239"/>
        <v/>
      </c>
      <c r="EV86" s="74" t="str">
        <f t="shared" si="313"/>
        <v/>
      </c>
      <c r="FA86" s="196"/>
      <c r="FB86" s="84" t="e">
        <f>IF(AND(Include_study?="Yes",Sufficient_data="Yes",Moderator&lt;&gt;""),'Moderator Analysis'!E86,NA())</f>
        <v>#N/A</v>
      </c>
      <c r="FC86" s="39" t="e">
        <f>IF(AND(Include_study?="Yes",Sufficient_data="Yes",Moderator&lt;&gt;""),'Moderator Analysis'!F86,NA())</f>
        <v>#N/A</v>
      </c>
      <c r="FD86" s="39" t="str">
        <f t="shared" si="314"/>
        <v/>
      </c>
      <c r="FE86" s="39" t="str">
        <f t="shared" si="315"/>
        <v/>
      </c>
      <c r="FF86" s="39" t="str">
        <f>IF(AND(Include_study?="Yes",Sufficient_data="Yes",Moderator&lt;&gt;""),'Moderator Analysis'!F:F-FP$2,"")</f>
        <v/>
      </c>
      <c r="FG86" s="39" t="str">
        <f>IF(AND(Include_study?="Yes",Sufficient_data="Yes",Moderator&lt;&gt;""),'Moderator Analysis'!E:E-FP$3,"")</f>
        <v/>
      </c>
      <c r="FH86" s="74" t="str">
        <f>IF(AND(Include_study?="Yes",Sufficient_data="Yes",Moderator&lt;&gt;""),FE:FE*('Moderator Analysis'!F:F-FP$5-FP$4*'Moderator Analysis'!E:E)^2,"")</f>
        <v/>
      </c>
      <c r="FI86" s="128"/>
      <c r="FJ86" s="92" t="str">
        <f t="shared" si="316"/>
        <v/>
      </c>
      <c r="FK86" s="137" t="str">
        <f>IF(AND(Include_study?="Yes",Sufficient_data="Yes",Moderator&lt;&gt;""),'Moderator Analysis'!F:F-'Moderator Analysis'!J$37,"")</f>
        <v/>
      </c>
      <c r="FL86" s="137" t="str">
        <f>IF(AND(Include_study?="Yes",Sufficient_data="Yes",Moderator&lt;&gt;""),'Moderator Analysis'!E:E-SUMPRODUCT('Moderator Analysis'!E:E,FJ:FJ)/SUM(FJ:FJ),"")</f>
        <v/>
      </c>
      <c r="FM86" s="95" t="str">
        <f>IF(AND(Include_study?="Yes",Sufficient_data="Yes",Moderator&lt;&gt;""),FJ:FJ*('Moderator Analysis'!F:F-'Moderator Analysis'!J$29-'Moderator Analysis'!J$30*'Moderator Analysis'!E:E)^2,"")</f>
        <v/>
      </c>
      <c r="FR86" s="196"/>
      <c r="FS86" s="182"/>
      <c r="FT8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6" s="39" t="str">
        <f>IF(AND(Include_study?="Yes",Sufficient_data="Yes"),1/('Publication Bias Analysis'!F:F^2+IF(Additional_model="Fixed effect",0,Calculations!GH$12)),"")</f>
        <v/>
      </c>
      <c r="FV86" s="39" t="str">
        <f>IF(AND(Include_study?="Yes",Sufficient_data="Yes"),1/('Publication Bias Analysis'!F:F^2+IF(Additional_model="Fixed effect",0,'Publication Bias Analysis'!L$32)),"")</f>
        <v/>
      </c>
      <c r="FW86" s="39" t="str">
        <f>IF(AND(Include_study?="Yes",Sufficient_data="Yes"),'Publication Bias Analysis'!E:E-'Publication Bias Analysis'!I$37,"")</f>
        <v/>
      </c>
      <c r="FX86" s="39" t="str">
        <f>IF(AND(Include_study?="Yes",Sufficient_data="Yes"),IF(Additional_model="Fixed effect",1/'Publication Bias Analysis'!F:F,1/SQRT('Publication Bias Analysis'!F:F^2+GH$12)),"")</f>
        <v/>
      </c>
      <c r="FY8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6" s="136" t="str">
        <f t="shared" si="317"/>
        <v/>
      </c>
      <c r="GA86" s="144" t="str">
        <f>IF(AND(Include_study?="Yes",Sufficient_data="Yes"),FZ:FZ+IF(GL:GL&lt;0,-1,1)*COUNTIF(FZ$2:FZ85,FZ:FZ),"")</f>
        <v/>
      </c>
      <c r="GB86" s="144" t="str">
        <f>IF(AND(Include_study?="Yes",Sufficient_data="Yes"),RANK(GP:GP,GP:GP,1)*IF(GO:GO&lt;0,-1,1)+IF(GO:GO&lt;0,-1,1)*COUNTIF(FZ$2:FZ85,FZ:FZ),"")</f>
        <v/>
      </c>
      <c r="GC86" s="144" t="str">
        <f>IF(AND(Include_study?="Yes",Sufficient_data="Yes"),RANK(GS:GS,GS:GS,1)*IF(GR:GR&lt;0,-1,1)+IF(GR:GR&lt;0,-1,1)*COUNTIF(FZ$2:FZ85,FZ:FZ),"")</f>
        <v/>
      </c>
      <c r="GD86" s="39" t="e">
        <f>IF(AND(Include_study?="Yes",Sufficient_data="Yes"),'Publication Bias Analysis'!E86,NA())</f>
        <v>#N/A</v>
      </c>
      <c r="GE86" s="74" t="e">
        <f>IF(AND(Include_study?="Yes",Sufficient_data="Yes"),'Publication Bias Analysis'!F86,NA())</f>
        <v>#N/A</v>
      </c>
      <c r="GK86" s="176"/>
      <c r="GL8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6" s="39" t="str">
        <f t="shared" si="318"/>
        <v/>
      </c>
      <c r="GN8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6" s="39" t="str">
        <f>IF(AND(Include_study?="Yes",Sufficient_data="Yes"),IF('Publication Bias Analysis'!L$38="Left",'Publication Bias Analysis'!E:E-GW$3,GW$3-'Publication Bias Analysis'!E:E),"")</f>
        <v/>
      </c>
      <c r="GP86" s="39" t="str">
        <f t="shared" si="330"/>
        <v/>
      </c>
      <c r="GQ8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6" s="39" t="str">
        <f>IF(AND(Include_study?="Yes",Sufficient_data="Yes"),IF('Publication Bias Analysis'!L$38="Left",'Publication Bias Analysis'!E:E-GW$10,GW$10-'Publication Bias Analysis'!E:E),"")</f>
        <v/>
      </c>
      <c r="GS86" s="39" t="str">
        <f t="shared" si="331"/>
        <v/>
      </c>
      <c r="GT8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6" s="176"/>
      <c r="HL86" s="69" t="str">
        <f t="shared" si="319"/>
        <v/>
      </c>
      <c r="HM86" s="74" t="str">
        <f>IF(AND(Include_study?="Yes",Sufficient_data="Yes"),Z_score-('Publication Bias Analysis'!P$3+'Publication Bias Analysis'!P$4*Inverse_standard_error),"")</f>
        <v/>
      </c>
      <c r="HO86" s="176"/>
      <c r="HP86" s="69" t="str">
        <f>IF(AND(Include_study?="Yes",Sufficient_data="Yes"),(GD:GD-SUMPRODUCT(Calculations!FT:FT,'Publication Bias Analysis'!E:E)/SUM(Calculations!FT:FT))/SQRT(Calculations!HQ:HQ),"")</f>
        <v/>
      </c>
      <c r="HQ86" s="69" t="str">
        <f>IF(AND(Include_study?="Yes",Sufficient_data="Yes"),GE:GE^2-1/SUM(Calculations!FT:FT),"")</f>
        <v/>
      </c>
      <c r="HR86" s="7" t="str">
        <f t="shared" si="240"/>
        <v/>
      </c>
      <c r="HS86" s="7" t="str">
        <f t="shared" si="241"/>
        <v/>
      </c>
      <c r="HT86" s="7" t="str">
        <f>IF(AND(Include_study?="Yes",Sufficient_data="Yes"),COUNTIFS(HR$2:HR85,"&lt;"&amp;HR86,HS$2:HS85,"&lt;"&amp;HS86)+COUNTIFS(HR87:HR$201,"&lt;"&amp;HR86,HS87:HS$201,"&lt;"&amp;HS86)+COUNTIFS(HR$2:HR85,"&gt;"&amp;HR86,HS$2:HS85,"&gt;"&amp;HS86)+COUNTIFS(HR87:HR$201,"&gt;"&amp;HR86,HS87:HS$201,"&gt;"&amp;HS86),"")</f>
        <v/>
      </c>
      <c r="HU86" s="104" t="str">
        <f>IF(AND(Include_study?="Yes",Sufficient_data="Yes"),COUNTIFS(HR$2:HR85,"&lt;"&amp;HR86,HS$2:HS85,"&gt;"&amp;HS86)+COUNTIFS(HR87:HR$201,"&lt;"&amp;HR86,HS87:HS$201,"&gt;"&amp;HS86)+COUNTIFS(HR$2:HR85,"&gt;"&amp;HR86,HS$2:HS85,"&lt;"&amp;HS86)+COUNTIFS(HR87:HR$201,"&gt;"&amp;HR86,HS87:HS$201,"&lt;"&amp;HS86),"")</f>
        <v/>
      </c>
      <c r="HW86" s="176"/>
      <c r="IB86" s="176"/>
      <c r="IC86" s="146" t="e">
        <f t="shared" si="320"/>
        <v>#N/A</v>
      </c>
      <c r="ID86" s="137" t="e">
        <f t="shared" si="321"/>
        <v>#N/A</v>
      </c>
      <c r="IE86" s="137" t="str">
        <f t="shared" si="322"/>
        <v/>
      </c>
      <c r="IF86" s="95" t="str">
        <f t="shared" si="323"/>
        <v/>
      </c>
      <c r="IK86" s="176"/>
      <c r="IL86" s="69" t="e">
        <f>IF(AND(Include_study?="Yes",Sufficient_data="Yes"),'Publication Bias Analysis'!AV:AV,NA())</f>
        <v>#N/A</v>
      </c>
      <c r="IM86" s="158" t="e">
        <f>IF(AND(Sufficient_data="Yes",Include_study?="Yes"),'Publication Bias Analysis'!AU:AU,NA())</f>
        <v>#N/A</v>
      </c>
      <c r="IN86" s="69" t="str">
        <f t="shared" si="219"/>
        <v/>
      </c>
      <c r="IO86" s="74" t="str">
        <f>IF(AND(Include_study?="Yes",Sufficient_data="Yes"),Z_score-('Publication Bias Analysis'!AY$30+'Publication Bias Analysis'!AY$31*Inverse_standard_error),"")</f>
        <v/>
      </c>
      <c r="IU86" s="176"/>
      <c r="IV86" s="7" t="str">
        <f>IF('Publication Bias Analysis'!BG:BG&lt;&gt;"",RANK('Publication Bias Analysis'!BG:BG,'Publication Bias Analysis'!BG:BG,1)+COUNTIF('Publication Bias Analysis'!BG$2:BG85,'Publication Bias Analysis'!BG86),"")</f>
        <v/>
      </c>
      <c r="IW86" s="124" t="str">
        <f t="shared" si="324"/>
        <v/>
      </c>
      <c r="IX86" s="125" t="e">
        <f>IF('Publication Bias Analysis'!BF86&lt;&gt;"",'Publication Bias Analysis'!BF86,NA())</f>
        <v>#N/A</v>
      </c>
      <c r="IY86" s="125" t="e">
        <f>IF('Publication Bias Analysis'!BG86&lt;&gt;"",'Publication Bias Analysis'!BG86,NA())</f>
        <v>#N/A</v>
      </c>
      <c r="IZ86" s="69" t="str">
        <f>IF(AND(Include_study?="Yes",Sufficient_data="Yes"),'Publication Bias Analysis'!BF:BF-AVERAGE('Publication Bias Analysis'!BF:BF),"")</f>
        <v/>
      </c>
      <c r="JA86" s="74" t="str">
        <f>IF(AND(Include_study?="Yes",Sufficient_data="Yes"),'Publication Bias Analysis'!BG:BG-('Publication Bias Analysis'!BJ$30+'Publication Bias Analysis'!BJ$31*'Publication Bias Analysis'!BF:BF),"")</f>
        <v/>
      </c>
      <c r="JG86" s="176"/>
      <c r="JH86" s="39" t="str">
        <f t="shared" si="325"/>
        <v/>
      </c>
      <c r="JI86" s="148" t="str">
        <f t="shared" si="332"/>
        <v/>
      </c>
      <c r="JJ86" s="74" t="str">
        <f t="shared" si="333"/>
        <v/>
      </c>
    </row>
    <row r="87" spans="1:270" x14ac:dyDescent="0.2">
      <c r="A87" s="56" t="str">
        <f t="shared" si="126"/>
        <v/>
      </c>
      <c r="B87" s="7" t="str">
        <f>IF(AND(Include_study?="Yes",Sufficient_data="Yes"),IF(Input!a_&lt;&gt;"",Input!a_,Input!n1_-Input!b_),"")</f>
        <v/>
      </c>
      <c r="C87" s="7" t="str">
        <f>IF(AND(Include_study?="Yes",Sufficient_data="Yes"),IF(Input!b_&lt;&gt;"",Input!b_,Input!n1_-Input!a_),"")</f>
        <v/>
      </c>
      <c r="D87" s="7" t="str">
        <f>IF(AND(Include_study?="Yes",Sufficient_data="Yes"),IF(Input!c_&lt;&gt;"",Input!c_,Input!n2_-Input!d_),"")</f>
        <v/>
      </c>
      <c r="E87" s="7" t="str">
        <f>IF(AND(Include_study?="Yes",Sufficient_data="Yes"),IF(Input!d_&lt;&gt;"",Input!d_,Input!n2_-Input!c_),"")</f>
        <v/>
      </c>
      <c r="F87" s="74" t="str">
        <f t="shared" si="244"/>
        <v/>
      </c>
      <c r="H87" s="196"/>
      <c r="I87" s="182"/>
      <c r="J87" s="146" t="str">
        <f t="shared" si="245"/>
        <v/>
      </c>
      <c r="K87" s="39" t="str">
        <f t="shared" si="246"/>
        <v/>
      </c>
      <c r="L87" s="39" t="str">
        <f t="shared" si="247"/>
        <v/>
      </c>
      <c r="M87" s="39" t="str">
        <f t="shared" si="248"/>
        <v/>
      </c>
      <c r="N87" s="74" t="str">
        <f t="shared" si="249"/>
        <v/>
      </c>
      <c r="P87" s="176"/>
      <c r="Q87" s="130" t="str">
        <f t="shared" si="250"/>
        <v/>
      </c>
      <c r="R87" s="39" t="str">
        <f t="shared" si="251"/>
        <v/>
      </c>
      <c r="S87" s="39" t="str">
        <f t="shared" si="252"/>
        <v/>
      </c>
      <c r="T87" s="74" t="str">
        <f t="shared" si="253"/>
        <v/>
      </c>
      <c r="V87" s="176"/>
      <c r="W87" s="130" t="str">
        <f t="shared" si="254"/>
        <v/>
      </c>
      <c r="X87" s="39" t="str">
        <f t="shared" si="255"/>
        <v/>
      </c>
      <c r="Y87" s="39" t="str">
        <f t="shared" si="256"/>
        <v/>
      </c>
      <c r="Z87" s="74" t="str">
        <f t="shared" si="257"/>
        <v/>
      </c>
      <c r="AB87" s="176"/>
      <c r="AC87" s="130" t="str">
        <f t="shared" si="258"/>
        <v/>
      </c>
      <c r="AD87" s="39" t="str">
        <f t="shared" si="259"/>
        <v/>
      </c>
      <c r="AE87" s="39" t="str">
        <f t="shared" si="260"/>
        <v/>
      </c>
      <c r="AF87" s="39" t="str">
        <f t="shared" si="261"/>
        <v/>
      </c>
      <c r="AG87" s="74" t="str">
        <f t="shared" si="262"/>
        <v/>
      </c>
      <c r="AI87" s="196"/>
      <c r="AJ8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7" s="136" t="str">
        <f>IF(AJ87&lt;&gt;"",IF(AJ87=0,COUNTIF(AJ$2:AJ86,0)+1,COUNTIF(AJ$2:AJ86,AJ87)+AJ87+COUNTIF(AJ:AJ,0)),"")</f>
        <v/>
      </c>
      <c r="AL87" s="136" t="str">
        <f t="shared" si="263"/>
        <v/>
      </c>
      <c r="AM87" s="155" t="str">
        <f>IF(AND(Include_study?="Yes",Sufficient_data="Yes",Input!Study_name&lt;&gt;""),Input!Study_name,"")</f>
        <v/>
      </c>
      <c r="AN87" s="136" t="str">
        <f t="shared" si="264"/>
        <v/>
      </c>
      <c r="AO87" s="19" t="str">
        <f t="shared" si="265"/>
        <v/>
      </c>
      <c r="AP87" s="158" t="str">
        <f t="shared" si="266"/>
        <v/>
      </c>
      <c r="AQ87" s="158" t="str">
        <f t="shared" si="267"/>
        <v/>
      </c>
      <c r="AR87" s="39" t="str">
        <f t="shared" si="268"/>
        <v/>
      </c>
      <c r="AS87" s="158" t="str">
        <f t="shared" si="269"/>
        <v/>
      </c>
      <c r="AT87" s="39" t="str">
        <f t="shared" si="270"/>
        <v/>
      </c>
      <c r="AU87" s="172" t="str">
        <f t="shared" si="271"/>
        <v/>
      </c>
      <c r="AV87" s="45"/>
      <c r="AW87" s="84" t="e">
        <f t="shared" si="152"/>
        <v>#N/A</v>
      </c>
      <c r="AX87" s="69" t="e">
        <f t="shared" si="272"/>
        <v>#N/A</v>
      </c>
      <c r="AY87" s="74" t="e">
        <f t="shared" si="273"/>
        <v>#N/A</v>
      </c>
      <c r="AZ87" s="45"/>
      <c r="BA87" s="45"/>
      <c r="BB87" s="45"/>
      <c r="BC87" s="45"/>
      <c r="BD87" s="196"/>
      <c r="BE87" s="182"/>
      <c r="BF87" s="69" t="str">
        <f t="shared" si="155"/>
        <v/>
      </c>
      <c r="BG87" s="69" t="str">
        <f t="shared" si="156"/>
        <v/>
      </c>
      <c r="BH87" s="69" t="str">
        <f t="shared" si="157"/>
        <v/>
      </c>
      <c r="BI87" s="39" t="str">
        <f t="shared" si="158"/>
        <v/>
      </c>
      <c r="BJ87" s="95" t="str">
        <f t="shared" si="274"/>
        <v/>
      </c>
      <c r="BO87" s="176"/>
      <c r="BP87" s="158" t="str">
        <f t="shared" si="275"/>
        <v/>
      </c>
      <c r="BQ87" s="158" t="str">
        <f t="shared" si="276"/>
        <v/>
      </c>
      <c r="BR87" s="158" t="str">
        <f t="shared" si="277"/>
        <v/>
      </c>
      <c r="BS87" s="158" t="str">
        <f>IF(AND(Sufficient_data="Yes",Include_study?="Yes"),IF(Add_0_5="Yes",(a_+d_+1)*(ab_+0.5)*(c_+0.5)/(Number_of_subjects+2)^2,(a_+d_)*b_*c_/Number_of_subjects^2),"")</f>
        <v/>
      </c>
      <c r="BT87" s="158" t="str">
        <f t="shared" si="278"/>
        <v/>
      </c>
      <c r="BU87" s="158" t="str">
        <f t="shared" si="279"/>
        <v/>
      </c>
      <c r="BV87" s="158" t="str">
        <f t="shared" si="280"/>
        <v/>
      </c>
      <c r="BW87" s="69" t="str">
        <f t="shared" si="166"/>
        <v/>
      </c>
      <c r="BX87" s="137" t="str">
        <f t="shared" si="167"/>
        <v/>
      </c>
      <c r="BY87" s="95" t="str">
        <f t="shared" si="281"/>
        <v/>
      </c>
      <c r="CD87" s="176"/>
      <c r="CE87" s="130" t="str">
        <f t="shared" si="282"/>
        <v/>
      </c>
      <c r="CF87" s="39" t="str">
        <f t="shared" si="283"/>
        <v/>
      </c>
      <c r="CG87" s="39" t="str">
        <f t="shared" si="284"/>
        <v/>
      </c>
      <c r="CH87" s="39" t="str">
        <f t="shared" si="285"/>
        <v/>
      </c>
      <c r="CI87" s="39" t="str">
        <f t="shared" si="286"/>
        <v/>
      </c>
      <c r="CJ87" s="39" t="str">
        <f t="shared" si="287"/>
        <v/>
      </c>
      <c r="CK87" s="95" t="str">
        <f t="shared" si="288"/>
        <v/>
      </c>
      <c r="CP87" s="176"/>
      <c r="CQ87" s="99" t="str">
        <f t="shared" si="175"/>
        <v/>
      </c>
      <c r="CX87" s="196"/>
      <c r="CY87" s="89" t="e">
        <f t="shared" si="289"/>
        <v>#N/A</v>
      </c>
      <c r="CZ87" s="136" t="str">
        <f t="shared" si="290"/>
        <v/>
      </c>
      <c r="DA87" s="140" t="str">
        <f t="shared" si="291"/>
        <v/>
      </c>
      <c r="DB87" s="39" t="str">
        <f t="shared" si="292"/>
        <v/>
      </c>
      <c r="DC87" s="39" t="str">
        <f t="shared" si="293"/>
        <v/>
      </c>
      <c r="DD87" s="39" t="str">
        <f t="shared" si="294"/>
        <v/>
      </c>
      <c r="DE87" s="39" t="str">
        <f t="shared" si="295"/>
        <v/>
      </c>
      <c r="DF87" s="141" t="str">
        <f t="shared" si="296"/>
        <v/>
      </c>
      <c r="DG87" s="39" t="str">
        <f t="shared" si="297"/>
        <v/>
      </c>
      <c r="DH87" s="39" t="str">
        <f t="shared" si="298"/>
        <v/>
      </c>
      <c r="DI87" s="39" t="str">
        <f t="shared" si="299"/>
        <v/>
      </c>
      <c r="DJ87" s="74" t="str">
        <f t="shared" si="300"/>
        <v/>
      </c>
      <c r="DK87" s="45"/>
      <c r="DL87" s="84" t="e">
        <f t="shared" si="222"/>
        <v>#N/A</v>
      </c>
      <c r="DM87" s="39" t="e">
        <f t="shared" si="301"/>
        <v>#N/A</v>
      </c>
      <c r="DN87" s="74" t="e">
        <f t="shared" si="302"/>
        <v>#N/A</v>
      </c>
      <c r="DO87" s="45"/>
      <c r="DP87" s="89" t="str">
        <f t="shared" si="326"/>
        <v/>
      </c>
      <c r="DQ87" s="26" t="str">
        <f>IF(AND(Sufficient_data="Yes",Subgroup&lt;&gt;""),IF(COUNTIFS(Input!J$2:J86,"="&amp;"Yes",Input!C$2:C86,"="&amp;"Yes",Input!K$2:K86,"="&amp;Subgroup)&gt;0,"",Subgroup),"")</f>
        <v/>
      </c>
      <c r="DR87" s="7" t="str">
        <f t="shared" si="327"/>
        <v/>
      </c>
      <c r="DS87" s="7" t="str">
        <f t="shared" si="303"/>
        <v/>
      </c>
      <c r="DT87" s="19" t="str">
        <f t="shared" si="304"/>
        <v/>
      </c>
      <c r="DU87" s="12" t="str">
        <f t="shared" si="223"/>
        <v/>
      </c>
      <c r="DV87" s="11" t="str">
        <f t="shared" si="224"/>
        <v/>
      </c>
      <c r="DW87" s="12" t="str">
        <f t="shared" si="225"/>
        <v/>
      </c>
      <c r="DX87" s="12" t="str">
        <f t="shared" si="305"/>
        <v/>
      </c>
      <c r="DY87" s="19" t="str">
        <f t="shared" si="226"/>
        <v/>
      </c>
      <c r="DZ87" s="12" t="str">
        <f t="shared" si="227"/>
        <v/>
      </c>
      <c r="EA87" s="19" t="str">
        <f t="shared" si="306"/>
        <v/>
      </c>
      <c r="EB87" s="7" t="str">
        <f t="shared" si="307"/>
        <v/>
      </c>
      <c r="EC87" s="19" t="str">
        <f t="shared" si="308"/>
        <v/>
      </c>
      <c r="ED87" s="19" t="str">
        <f t="shared" si="309"/>
        <v/>
      </c>
      <c r="EE87" s="19" t="str">
        <f t="shared" si="228"/>
        <v/>
      </c>
      <c r="EF87" s="19" t="str">
        <f t="shared" si="229"/>
        <v/>
      </c>
      <c r="EG87" s="19" t="str">
        <f t="shared" si="230"/>
        <v/>
      </c>
      <c r="EH87" s="19" t="str">
        <f t="shared" si="231"/>
        <v/>
      </c>
      <c r="EI87" s="19" t="str">
        <f t="shared" si="232"/>
        <v/>
      </c>
      <c r="EJ87" s="19" t="str">
        <f t="shared" si="310"/>
        <v/>
      </c>
      <c r="EK87" s="19" t="str">
        <f t="shared" si="311"/>
        <v/>
      </c>
      <c r="EL87" s="19" t="str">
        <f t="shared" si="233"/>
        <v/>
      </c>
      <c r="EM87" s="19" t="str">
        <f t="shared" si="234"/>
        <v/>
      </c>
      <c r="EN87" s="19" t="str">
        <f t="shared" si="235"/>
        <v/>
      </c>
      <c r="EO87" s="19" t="str">
        <f t="shared" si="236"/>
        <v/>
      </c>
      <c r="EP87" s="19" t="str">
        <f t="shared" si="237"/>
        <v/>
      </c>
      <c r="EQ87" s="19" t="e">
        <f t="shared" si="238"/>
        <v>#N/A</v>
      </c>
      <c r="ER87" s="11" t="str">
        <f t="shared" si="328"/>
        <v/>
      </c>
      <c r="ES87" s="19" t="str">
        <f t="shared" si="329"/>
        <v/>
      </c>
      <c r="ET87" s="156" t="str">
        <f t="shared" si="312"/>
        <v/>
      </c>
      <c r="EU87" s="39" t="str">
        <f t="shared" si="239"/>
        <v/>
      </c>
      <c r="EV87" s="74" t="str">
        <f t="shared" si="313"/>
        <v/>
      </c>
      <c r="FA87" s="196"/>
      <c r="FB87" s="84" t="e">
        <f>IF(AND(Include_study?="Yes",Sufficient_data="Yes",Moderator&lt;&gt;""),'Moderator Analysis'!E87,NA())</f>
        <v>#N/A</v>
      </c>
      <c r="FC87" s="39" t="e">
        <f>IF(AND(Include_study?="Yes",Sufficient_data="Yes",Moderator&lt;&gt;""),'Moderator Analysis'!F87,NA())</f>
        <v>#N/A</v>
      </c>
      <c r="FD87" s="39" t="str">
        <f t="shared" si="314"/>
        <v/>
      </c>
      <c r="FE87" s="39" t="str">
        <f t="shared" si="315"/>
        <v/>
      </c>
      <c r="FF87" s="39" t="str">
        <f>IF(AND(Include_study?="Yes",Sufficient_data="Yes",Moderator&lt;&gt;""),'Moderator Analysis'!F:F-FP$2,"")</f>
        <v/>
      </c>
      <c r="FG87" s="39" t="str">
        <f>IF(AND(Include_study?="Yes",Sufficient_data="Yes",Moderator&lt;&gt;""),'Moderator Analysis'!E:E-FP$3,"")</f>
        <v/>
      </c>
      <c r="FH87" s="74" t="str">
        <f>IF(AND(Include_study?="Yes",Sufficient_data="Yes",Moderator&lt;&gt;""),FE:FE*('Moderator Analysis'!F:F-FP$5-FP$4*'Moderator Analysis'!E:E)^2,"")</f>
        <v/>
      </c>
      <c r="FI87" s="128"/>
      <c r="FJ87" s="92" t="str">
        <f t="shared" si="316"/>
        <v/>
      </c>
      <c r="FK87" s="137" t="str">
        <f>IF(AND(Include_study?="Yes",Sufficient_data="Yes",Moderator&lt;&gt;""),'Moderator Analysis'!F:F-'Moderator Analysis'!J$37,"")</f>
        <v/>
      </c>
      <c r="FL87" s="137" t="str">
        <f>IF(AND(Include_study?="Yes",Sufficient_data="Yes",Moderator&lt;&gt;""),'Moderator Analysis'!E:E-SUMPRODUCT('Moderator Analysis'!E:E,FJ:FJ)/SUM(FJ:FJ),"")</f>
        <v/>
      </c>
      <c r="FM87" s="95" t="str">
        <f>IF(AND(Include_study?="Yes",Sufficient_data="Yes",Moderator&lt;&gt;""),FJ:FJ*('Moderator Analysis'!F:F-'Moderator Analysis'!J$29-'Moderator Analysis'!J$30*'Moderator Analysis'!E:E)^2,"")</f>
        <v/>
      </c>
      <c r="FR87" s="196"/>
      <c r="FS87" s="182"/>
      <c r="FT8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7" s="39" t="str">
        <f>IF(AND(Include_study?="Yes",Sufficient_data="Yes"),1/('Publication Bias Analysis'!F:F^2+IF(Additional_model="Fixed effect",0,Calculations!GH$12)),"")</f>
        <v/>
      </c>
      <c r="FV87" s="39" t="str">
        <f>IF(AND(Include_study?="Yes",Sufficient_data="Yes"),1/('Publication Bias Analysis'!F:F^2+IF(Additional_model="Fixed effect",0,'Publication Bias Analysis'!L$32)),"")</f>
        <v/>
      </c>
      <c r="FW87" s="39" t="str">
        <f>IF(AND(Include_study?="Yes",Sufficient_data="Yes"),'Publication Bias Analysis'!E:E-'Publication Bias Analysis'!I$37,"")</f>
        <v/>
      </c>
      <c r="FX87" s="39" t="str">
        <f>IF(AND(Include_study?="Yes",Sufficient_data="Yes"),IF(Additional_model="Fixed effect",1/'Publication Bias Analysis'!F:F,1/SQRT('Publication Bias Analysis'!F:F^2+GH$12)),"")</f>
        <v/>
      </c>
      <c r="FY8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7" s="136" t="str">
        <f t="shared" si="317"/>
        <v/>
      </c>
      <c r="GA87" s="144" t="str">
        <f>IF(AND(Include_study?="Yes",Sufficient_data="Yes"),FZ:FZ+IF(GL:GL&lt;0,-1,1)*COUNTIF(FZ$2:FZ86,FZ:FZ),"")</f>
        <v/>
      </c>
      <c r="GB87" s="144" t="str">
        <f>IF(AND(Include_study?="Yes",Sufficient_data="Yes"),RANK(GP:GP,GP:GP,1)*IF(GO:GO&lt;0,-1,1)+IF(GO:GO&lt;0,-1,1)*COUNTIF(FZ$2:FZ86,FZ:FZ),"")</f>
        <v/>
      </c>
      <c r="GC87" s="144" t="str">
        <f>IF(AND(Include_study?="Yes",Sufficient_data="Yes"),RANK(GS:GS,GS:GS,1)*IF(GR:GR&lt;0,-1,1)+IF(GR:GR&lt;0,-1,1)*COUNTIF(FZ$2:FZ86,FZ:FZ),"")</f>
        <v/>
      </c>
      <c r="GD87" s="39" t="e">
        <f>IF(AND(Include_study?="Yes",Sufficient_data="Yes"),'Publication Bias Analysis'!E87,NA())</f>
        <v>#N/A</v>
      </c>
      <c r="GE87" s="74" t="e">
        <f>IF(AND(Include_study?="Yes",Sufficient_data="Yes"),'Publication Bias Analysis'!F87,NA())</f>
        <v>#N/A</v>
      </c>
      <c r="GK87" s="176"/>
      <c r="GL8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7" s="39" t="str">
        <f t="shared" si="318"/>
        <v/>
      </c>
      <c r="GN8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7" s="39" t="str">
        <f>IF(AND(Include_study?="Yes",Sufficient_data="Yes"),IF('Publication Bias Analysis'!L$38="Left",'Publication Bias Analysis'!E:E-GW$3,GW$3-'Publication Bias Analysis'!E:E),"")</f>
        <v/>
      </c>
      <c r="GP87" s="39" t="str">
        <f t="shared" si="330"/>
        <v/>
      </c>
      <c r="GQ8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7" s="39" t="str">
        <f>IF(AND(Include_study?="Yes",Sufficient_data="Yes"),IF('Publication Bias Analysis'!L$38="Left",'Publication Bias Analysis'!E:E-GW$10,GW$10-'Publication Bias Analysis'!E:E),"")</f>
        <v/>
      </c>
      <c r="GS87" s="39" t="str">
        <f t="shared" si="331"/>
        <v/>
      </c>
      <c r="GT8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7" s="176"/>
      <c r="HL87" s="69" t="str">
        <f t="shared" si="319"/>
        <v/>
      </c>
      <c r="HM87" s="74" t="str">
        <f>IF(AND(Include_study?="Yes",Sufficient_data="Yes"),Z_score-('Publication Bias Analysis'!P$3+'Publication Bias Analysis'!P$4*Inverse_standard_error),"")</f>
        <v/>
      </c>
      <c r="HO87" s="176"/>
      <c r="HP87" s="69" t="str">
        <f>IF(AND(Include_study?="Yes",Sufficient_data="Yes"),(GD:GD-SUMPRODUCT(Calculations!FT:FT,'Publication Bias Analysis'!E:E)/SUM(Calculations!FT:FT))/SQRT(Calculations!HQ:HQ),"")</f>
        <v/>
      </c>
      <c r="HQ87" s="69" t="str">
        <f>IF(AND(Include_study?="Yes",Sufficient_data="Yes"),GE:GE^2-1/SUM(Calculations!FT:FT),"")</f>
        <v/>
      </c>
      <c r="HR87" s="7" t="str">
        <f t="shared" si="240"/>
        <v/>
      </c>
      <c r="HS87" s="7" t="str">
        <f t="shared" si="241"/>
        <v/>
      </c>
      <c r="HT87" s="7" t="str">
        <f>IF(AND(Include_study?="Yes",Sufficient_data="Yes"),COUNTIFS(HR$2:HR86,"&lt;"&amp;HR87,HS$2:HS86,"&lt;"&amp;HS87)+COUNTIFS(HR88:HR$201,"&lt;"&amp;HR87,HS88:HS$201,"&lt;"&amp;HS87)+COUNTIFS(HR$2:HR86,"&gt;"&amp;HR87,HS$2:HS86,"&gt;"&amp;HS87)+COUNTIFS(HR88:HR$201,"&gt;"&amp;HR87,HS88:HS$201,"&gt;"&amp;HS87),"")</f>
        <v/>
      </c>
      <c r="HU87" s="104" t="str">
        <f>IF(AND(Include_study?="Yes",Sufficient_data="Yes"),COUNTIFS(HR$2:HR86,"&lt;"&amp;HR87,HS$2:HS86,"&gt;"&amp;HS87)+COUNTIFS(HR88:HR$201,"&lt;"&amp;HR87,HS88:HS$201,"&gt;"&amp;HS87)+COUNTIFS(HR$2:HR86,"&gt;"&amp;HR87,HS$2:HS86,"&lt;"&amp;HS87)+COUNTIFS(HR88:HR$201,"&gt;"&amp;HR87,HS88:HS$201,"&lt;"&amp;HS87),"")</f>
        <v/>
      </c>
      <c r="HW87" s="176"/>
      <c r="IB87" s="176"/>
      <c r="IC87" s="146" t="e">
        <f t="shared" si="320"/>
        <v>#N/A</v>
      </c>
      <c r="ID87" s="137" t="e">
        <f t="shared" si="321"/>
        <v>#N/A</v>
      </c>
      <c r="IE87" s="137" t="str">
        <f t="shared" si="322"/>
        <v/>
      </c>
      <c r="IF87" s="95" t="str">
        <f t="shared" si="323"/>
        <v/>
      </c>
      <c r="IK87" s="176"/>
      <c r="IL87" s="69" t="e">
        <f>IF(AND(Include_study?="Yes",Sufficient_data="Yes"),'Publication Bias Analysis'!AV:AV,NA())</f>
        <v>#N/A</v>
      </c>
      <c r="IM87" s="158" t="e">
        <f>IF(AND(Sufficient_data="Yes",Include_study?="Yes"),'Publication Bias Analysis'!AU:AU,NA())</f>
        <v>#N/A</v>
      </c>
      <c r="IN87" s="69" t="str">
        <f t="shared" si="219"/>
        <v/>
      </c>
      <c r="IO87" s="74" t="str">
        <f>IF(AND(Include_study?="Yes",Sufficient_data="Yes"),Z_score-('Publication Bias Analysis'!AY$30+'Publication Bias Analysis'!AY$31*Inverse_standard_error),"")</f>
        <v/>
      </c>
      <c r="IU87" s="176"/>
      <c r="IV87" s="7" t="str">
        <f>IF('Publication Bias Analysis'!BG:BG&lt;&gt;"",RANK('Publication Bias Analysis'!BG:BG,'Publication Bias Analysis'!BG:BG,1)+COUNTIF('Publication Bias Analysis'!BG$2:BG86,'Publication Bias Analysis'!BG87),"")</f>
        <v/>
      </c>
      <c r="IW87" s="124" t="str">
        <f t="shared" si="324"/>
        <v/>
      </c>
      <c r="IX87" s="125" t="e">
        <f>IF('Publication Bias Analysis'!BF87&lt;&gt;"",'Publication Bias Analysis'!BF87,NA())</f>
        <v>#N/A</v>
      </c>
      <c r="IY87" s="125" t="e">
        <f>IF('Publication Bias Analysis'!BG87&lt;&gt;"",'Publication Bias Analysis'!BG87,NA())</f>
        <v>#N/A</v>
      </c>
      <c r="IZ87" s="69" t="str">
        <f>IF(AND(Include_study?="Yes",Sufficient_data="Yes"),'Publication Bias Analysis'!BF:BF-AVERAGE('Publication Bias Analysis'!BF:BF),"")</f>
        <v/>
      </c>
      <c r="JA87" s="74" t="str">
        <f>IF(AND(Include_study?="Yes",Sufficient_data="Yes"),'Publication Bias Analysis'!BG:BG-('Publication Bias Analysis'!BJ$30+'Publication Bias Analysis'!BJ$31*'Publication Bias Analysis'!BF:BF),"")</f>
        <v/>
      </c>
      <c r="JG87" s="176"/>
      <c r="JH87" s="39" t="str">
        <f t="shared" si="325"/>
        <v/>
      </c>
      <c r="JI87" s="148" t="str">
        <f t="shared" si="332"/>
        <v/>
      </c>
      <c r="JJ87" s="74" t="str">
        <f t="shared" si="333"/>
        <v/>
      </c>
    </row>
    <row r="88" spans="1:270" x14ac:dyDescent="0.2">
      <c r="A88" s="56" t="str">
        <f t="shared" si="126"/>
        <v/>
      </c>
      <c r="B88" s="7" t="str">
        <f>IF(AND(Include_study?="Yes",Sufficient_data="Yes"),IF(Input!a_&lt;&gt;"",Input!a_,Input!n1_-Input!b_),"")</f>
        <v/>
      </c>
      <c r="C88" s="7" t="str">
        <f>IF(AND(Include_study?="Yes",Sufficient_data="Yes"),IF(Input!b_&lt;&gt;"",Input!b_,Input!n1_-Input!a_),"")</f>
        <v/>
      </c>
      <c r="D88" s="7" t="str">
        <f>IF(AND(Include_study?="Yes",Sufficient_data="Yes"),IF(Input!c_&lt;&gt;"",Input!c_,Input!n2_-Input!d_),"")</f>
        <v/>
      </c>
      <c r="E88" s="7" t="str">
        <f>IF(AND(Include_study?="Yes",Sufficient_data="Yes"),IF(Input!d_&lt;&gt;"",Input!d_,Input!n2_-Input!c_),"")</f>
        <v/>
      </c>
      <c r="F88" s="74" t="str">
        <f t="shared" si="244"/>
        <v/>
      </c>
      <c r="H88" s="196"/>
      <c r="I88" s="182"/>
      <c r="J88" s="146" t="str">
        <f t="shared" si="245"/>
        <v/>
      </c>
      <c r="K88" s="39" t="str">
        <f t="shared" si="246"/>
        <v/>
      </c>
      <c r="L88" s="39" t="str">
        <f t="shared" si="247"/>
        <v/>
      </c>
      <c r="M88" s="39" t="str">
        <f t="shared" si="248"/>
        <v/>
      </c>
      <c r="N88" s="74" t="str">
        <f t="shared" si="249"/>
        <v/>
      </c>
      <c r="P88" s="176"/>
      <c r="Q88" s="130" t="str">
        <f t="shared" si="250"/>
        <v/>
      </c>
      <c r="R88" s="39" t="str">
        <f t="shared" si="251"/>
        <v/>
      </c>
      <c r="S88" s="39" t="str">
        <f t="shared" si="252"/>
        <v/>
      </c>
      <c r="T88" s="74" t="str">
        <f t="shared" si="253"/>
        <v/>
      </c>
      <c r="V88" s="176"/>
      <c r="W88" s="130" t="str">
        <f t="shared" si="254"/>
        <v/>
      </c>
      <c r="X88" s="39" t="str">
        <f t="shared" si="255"/>
        <v/>
      </c>
      <c r="Y88" s="39" t="str">
        <f t="shared" si="256"/>
        <v/>
      </c>
      <c r="Z88" s="74" t="str">
        <f t="shared" si="257"/>
        <v/>
      </c>
      <c r="AB88" s="176"/>
      <c r="AC88" s="130" t="str">
        <f t="shared" si="258"/>
        <v/>
      </c>
      <c r="AD88" s="39" t="str">
        <f t="shared" si="259"/>
        <v/>
      </c>
      <c r="AE88" s="39" t="str">
        <f t="shared" si="260"/>
        <v/>
      </c>
      <c r="AF88" s="39" t="str">
        <f t="shared" si="261"/>
        <v/>
      </c>
      <c r="AG88" s="74" t="str">
        <f t="shared" si="262"/>
        <v/>
      </c>
      <c r="AI88" s="196"/>
      <c r="AJ8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8" s="136" t="str">
        <f>IF(AJ88&lt;&gt;"",IF(AJ88=0,COUNTIF(AJ$2:AJ87,0)+1,COUNTIF(AJ$2:AJ87,AJ88)+AJ88+COUNTIF(AJ:AJ,0)),"")</f>
        <v/>
      </c>
      <c r="AL88" s="136" t="str">
        <f t="shared" si="263"/>
        <v/>
      </c>
      <c r="AM88" s="155" t="str">
        <f>IF(AND(Include_study?="Yes",Sufficient_data="Yes",Input!Study_name&lt;&gt;""),Input!Study_name,"")</f>
        <v/>
      </c>
      <c r="AN88" s="136" t="str">
        <f t="shared" si="264"/>
        <v/>
      </c>
      <c r="AO88" s="19" t="str">
        <f t="shared" si="265"/>
        <v/>
      </c>
      <c r="AP88" s="158" t="str">
        <f t="shared" si="266"/>
        <v/>
      </c>
      <c r="AQ88" s="158" t="str">
        <f t="shared" si="267"/>
        <v/>
      </c>
      <c r="AR88" s="39" t="str">
        <f t="shared" si="268"/>
        <v/>
      </c>
      <c r="AS88" s="158" t="str">
        <f t="shared" si="269"/>
        <v/>
      </c>
      <c r="AT88" s="39" t="str">
        <f t="shared" si="270"/>
        <v/>
      </c>
      <c r="AU88" s="172" t="str">
        <f t="shared" si="271"/>
        <v/>
      </c>
      <c r="AV88" s="45"/>
      <c r="AW88" s="84" t="e">
        <f t="shared" si="152"/>
        <v>#N/A</v>
      </c>
      <c r="AX88" s="69" t="e">
        <f t="shared" si="272"/>
        <v>#N/A</v>
      </c>
      <c r="AY88" s="74" t="e">
        <f t="shared" si="273"/>
        <v>#N/A</v>
      </c>
      <c r="AZ88" s="45"/>
      <c r="BA88" s="45"/>
      <c r="BB88" s="45"/>
      <c r="BC88" s="45"/>
      <c r="BD88" s="196"/>
      <c r="BE88" s="182"/>
      <c r="BF88" s="69" t="str">
        <f t="shared" si="155"/>
        <v/>
      </c>
      <c r="BG88" s="69" t="str">
        <f t="shared" si="156"/>
        <v/>
      </c>
      <c r="BH88" s="69" t="str">
        <f t="shared" si="157"/>
        <v/>
      </c>
      <c r="BI88" s="39" t="str">
        <f t="shared" si="158"/>
        <v/>
      </c>
      <c r="BJ88" s="95" t="str">
        <f t="shared" si="274"/>
        <v/>
      </c>
      <c r="BO88" s="176"/>
      <c r="BP88" s="158" t="str">
        <f t="shared" si="275"/>
        <v/>
      </c>
      <c r="BQ88" s="158" t="str">
        <f t="shared" si="276"/>
        <v/>
      </c>
      <c r="BR88" s="158" t="str">
        <f t="shared" si="277"/>
        <v/>
      </c>
      <c r="BS88" s="158" t="str">
        <f>IF(AND(Sufficient_data="Yes",Include_study?="Yes"),IF(Add_0_5="Yes",(a_+d_+1)*(ab_+0.5)*(c_+0.5)/(Number_of_subjects+2)^2,(a_+d_)*b_*c_/Number_of_subjects^2),"")</f>
        <v/>
      </c>
      <c r="BT88" s="158" t="str">
        <f t="shared" si="278"/>
        <v/>
      </c>
      <c r="BU88" s="158" t="str">
        <f t="shared" si="279"/>
        <v/>
      </c>
      <c r="BV88" s="158" t="str">
        <f t="shared" si="280"/>
        <v/>
      </c>
      <c r="BW88" s="69" t="str">
        <f t="shared" si="166"/>
        <v/>
      </c>
      <c r="BX88" s="137" t="str">
        <f t="shared" si="167"/>
        <v/>
      </c>
      <c r="BY88" s="95" t="str">
        <f t="shared" si="281"/>
        <v/>
      </c>
      <c r="CD88" s="176"/>
      <c r="CE88" s="130" t="str">
        <f t="shared" si="282"/>
        <v/>
      </c>
      <c r="CF88" s="39" t="str">
        <f t="shared" si="283"/>
        <v/>
      </c>
      <c r="CG88" s="39" t="str">
        <f t="shared" si="284"/>
        <v/>
      </c>
      <c r="CH88" s="39" t="str">
        <f t="shared" si="285"/>
        <v/>
      </c>
      <c r="CI88" s="39" t="str">
        <f t="shared" si="286"/>
        <v/>
      </c>
      <c r="CJ88" s="39" t="str">
        <f t="shared" si="287"/>
        <v/>
      </c>
      <c r="CK88" s="95" t="str">
        <f t="shared" si="288"/>
        <v/>
      </c>
      <c r="CP88" s="176"/>
      <c r="CQ88" s="99" t="str">
        <f t="shared" si="175"/>
        <v/>
      </c>
      <c r="CX88" s="196"/>
      <c r="CY88" s="89" t="e">
        <f t="shared" si="289"/>
        <v>#N/A</v>
      </c>
      <c r="CZ88" s="136" t="str">
        <f t="shared" si="290"/>
        <v/>
      </c>
      <c r="DA88" s="140" t="str">
        <f t="shared" si="291"/>
        <v/>
      </c>
      <c r="DB88" s="39" t="str">
        <f t="shared" si="292"/>
        <v/>
      </c>
      <c r="DC88" s="39" t="str">
        <f t="shared" si="293"/>
        <v/>
      </c>
      <c r="DD88" s="39" t="str">
        <f t="shared" si="294"/>
        <v/>
      </c>
      <c r="DE88" s="39" t="str">
        <f t="shared" si="295"/>
        <v/>
      </c>
      <c r="DF88" s="141" t="str">
        <f t="shared" si="296"/>
        <v/>
      </c>
      <c r="DG88" s="39" t="str">
        <f t="shared" si="297"/>
        <v/>
      </c>
      <c r="DH88" s="39" t="str">
        <f t="shared" si="298"/>
        <v/>
      </c>
      <c r="DI88" s="39" t="str">
        <f t="shared" si="299"/>
        <v/>
      </c>
      <c r="DJ88" s="74" t="str">
        <f t="shared" si="300"/>
        <v/>
      </c>
      <c r="DK88" s="45"/>
      <c r="DL88" s="84" t="e">
        <f t="shared" si="222"/>
        <v>#N/A</v>
      </c>
      <c r="DM88" s="39" t="e">
        <f t="shared" si="301"/>
        <v>#N/A</v>
      </c>
      <c r="DN88" s="74" t="e">
        <f t="shared" si="302"/>
        <v>#N/A</v>
      </c>
      <c r="DO88" s="45"/>
      <c r="DP88" s="89" t="str">
        <f t="shared" si="326"/>
        <v/>
      </c>
      <c r="DQ88" s="26" t="str">
        <f>IF(AND(Sufficient_data="Yes",Subgroup&lt;&gt;""),IF(COUNTIFS(Input!J$2:J87,"="&amp;"Yes",Input!C$2:C87,"="&amp;"Yes",Input!K$2:K87,"="&amp;Subgroup)&gt;0,"",Subgroup),"")</f>
        <v/>
      </c>
      <c r="DR88" s="7" t="str">
        <f t="shared" si="327"/>
        <v/>
      </c>
      <c r="DS88" s="7" t="str">
        <f t="shared" si="303"/>
        <v/>
      </c>
      <c r="DT88" s="19" t="str">
        <f t="shared" si="304"/>
        <v/>
      </c>
      <c r="DU88" s="12" t="str">
        <f t="shared" si="223"/>
        <v/>
      </c>
      <c r="DV88" s="11" t="str">
        <f t="shared" si="224"/>
        <v/>
      </c>
      <c r="DW88" s="12" t="str">
        <f t="shared" si="225"/>
        <v/>
      </c>
      <c r="DX88" s="12" t="str">
        <f t="shared" si="305"/>
        <v/>
      </c>
      <c r="DY88" s="19" t="str">
        <f t="shared" si="226"/>
        <v/>
      </c>
      <c r="DZ88" s="12" t="str">
        <f t="shared" si="227"/>
        <v/>
      </c>
      <c r="EA88" s="19" t="str">
        <f t="shared" si="306"/>
        <v/>
      </c>
      <c r="EB88" s="7" t="str">
        <f t="shared" si="307"/>
        <v/>
      </c>
      <c r="EC88" s="19" t="str">
        <f t="shared" si="308"/>
        <v/>
      </c>
      <c r="ED88" s="19" t="str">
        <f t="shared" si="309"/>
        <v/>
      </c>
      <c r="EE88" s="19" t="str">
        <f t="shared" si="228"/>
        <v/>
      </c>
      <c r="EF88" s="19" t="str">
        <f t="shared" si="229"/>
        <v/>
      </c>
      <c r="EG88" s="19" t="str">
        <f t="shared" si="230"/>
        <v/>
      </c>
      <c r="EH88" s="19" t="str">
        <f t="shared" si="231"/>
        <v/>
      </c>
      <c r="EI88" s="19" t="str">
        <f t="shared" si="232"/>
        <v/>
      </c>
      <c r="EJ88" s="19" t="str">
        <f t="shared" si="310"/>
        <v/>
      </c>
      <c r="EK88" s="19" t="str">
        <f t="shared" si="311"/>
        <v/>
      </c>
      <c r="EL88" s="19" t="str">
        <f t="shared" si="233"/>
        <v/>
      </c>
      <c r="EM88" s="19" t="str">
        <f t="shared" si="234"/>
        <v/>
      </c>
      <c r="EN88" s="19" t="str">
        <f t="shared" si="235"/>
        <v/>
      </c>
      <c r="EO88" s="19" t="str">
        <f t="shared" si="236"/>
        <v/>
      </c>
      <c r="EP88" s="19" t="str">
        <f t="shared" si="237"/>
        <v/>
      </c>
      <c r="EQ88" s="19" t="e">
        <f t="shared" si="238"/>
        <v>#N/A</v>
      </c>
      <c r="ER88" s="11" t="str">
        <f t="shared" si="328"/>
        <v/>
      </c>
      <c r="ES88" s="19" t="str">
        <f t="shared" si="329"/>
        <v/>
      </c>
      <c r="ET88" s="156" t="str">
        <f t="shared" si="312"/>
        <v/>
      </c>
      <c r="EU88" s="39" t="str">
        <f t="shared" si="239"/>
        <v/>
      </c>
      <c r="EV88" s="74" t="str">
        <f t="shared" si="313"/>
        <v/>
      </c>
      <c r="FA88" s="196"/>
      <c r="FB88" s="84" t="e">
        <f>IF(AND(Include_study?="Yes",Sufficient_data="Yes",Moderator&lt;&gt;""),'Moderator Analysis'!E88,NA())</f>
        <v>#N/A</v>
      </c>
      <c r="FC88" s="39" t="e">
        <f>IF(AND(Include_study?="Yes",Sufficient_data="Yes",Moderator&lt;&gt;""),'Moderator Analysis'!F88,NA())</f>
        <v>#N/A</v>
      </c>
      <c r="FD88" s="39" t="str">
        <f t="shared" si="314"/>
        <v/>
      </c>
      <c r="FE88" s="39" t="str">
        <f t="shared" si="315"/>
        <v/>
      </c>
      <c r="FF88" s="39" t="str">
        <f>IF(AND(Include_study?="Yes",Sufficient_data="Yes",Moderator&lt;&gt;""),'Moderator Analysis'!F:F-FP$2,"")</f>
        <v/>
      </c>
      <c r="FG88" s="39" t="str">
        <f>IF(AND(Include_study?="Yes",Sufficient_data="Yes",Moderator&lt;&gt;""),'Moderator Analysis'!E:E-FP$3,"")</f>
        <v/>
      </c>
      <c r="FH88" s="74" t="str">
        <f>IF(AND(Include_study?="Yes",Sufficient_data="Yes",Moderator&lt;&gt;""),FE:FE*('Moderator Analysis'!F:F-FP$5-FP$4*'Moderator Analysis'!E:E)^2,"")</f>
        <v/>
      </c>
      <c r="FI88" s="128"/>
      <c r="FJ88" s="92" t="str">
        <f t="shared" si="316"/>
        <v/>
      </c>
      <c r="FK88" s="137" t="str">
        <f>IF(AND(Include_study?="Yes",Sufficient_data="Yes",Moderator&lt;&gt;""),'Moderator Analysis'!F:F-'Moderator Analysis'!J$37,"")</f>
        <v/>
      </c>
      <c r="FL88" s="137" t="str">
        <f>IF(AND(Include_study?="Yes",Sufficient_data="Yes",Moderator&lt;&gt;""),'Moderator Analysis'!E:E-SUMPRODUCT('Moderator Analysis'!E:E,FJ:FJ)/SUM(FJ:FJ),"")</f>
        <v/>
      </c>
      <c r="FM88" s="95" t="str">
        <f>IF(AND(Include_study?="Yes",Sufficient_data="Yes",Moderator&lt;&gt;""),FJ:FJ*('Moderator Analysis'!F:F-'Moderator Analysis'!J$29-'Moderator Analysis'!J$30*'Moderator Analysis'!E:E)^2,"")</f>
        <v/>
      </c>
      <c r="FR88" s="196"/>
      <c r="FS88" s="182"/>
      <c r="FT8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8" s="39" t="str">
        <f>IF(AND(Include_study?="Yes",Sufficient_data="Yes"),1/('Publication Bias Analysis'!F:F^2+IF(Additional_model="Fixed effect",0,Calculations!GH$12)),"")</f>
        <v/>
      </c>
      <c r="FV88" s="39" t="str">
        <f>IF(AND(Include_study?="Yes",Sufficient_data="Yes"),1/('Publication Bias Analysis'!F:F^2+IF(Additional_model="Fixed effect",0,'Publication Bias Analysis'!L$32)),"")</f>
        <v/>
      </c>
      <c r="FW88" s="39" t="str">
        <f>IF(AND(Include_study?="Yes",Sufficient_data="Yes"),'Publication Bias Analysis'!E:E-'Publication Bias Analysis'!I$37,"")</f>
        <v/>
      </c>
      <c r="FX88" s="39" t="str">
        <f>IF(AND(Include_study?="Yes",Sufficient_data="Yes"),IF(Additional_model="Fixed effect",1/'Publication Bias Analysis'!F:F,1/SQRT('Publication Bias Analysis'!F:F^2+GH$12)),"")</f>
        <v/>
      </c>
      <c r="FY8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8" s="136" t="str">
        <f t="shared" si="317"/>
        <v/>
      </c>
      <c r="GA88" s="144" t="str">
        <f>IF(AND(Include_study?="Yes",Sufficient_data="Yes"),FZ:FZ+IF(GL:GL&lt;0,-1,1)*COUNTIF(FZ$2:FZ87,FZ:FZ),"")</f>
        <v/>
      </c>
      <c r="GB88" s="144" t="str">
        <f>IF(AND(Include_study?="Yes",Sufficient_data="Yes"),RANK(GP:GP,GP:GP,1)*IF(GO:GO&lt;0,-1,1)+IF(GO:GO&lt;0,-1,1)*COUNTIF(FZ$2:FZ87,FZ:FZ),"")</f>
        <v/>
      </c>
      <c r="GC88" s="144" t="str">
        <f>IF(AND(Include_study?="Yes",Sufficient_data="Yes"),RANK(GS:GS,GS:GS,1)*IF(GR:GR&lt;0,-1,1)+IF(GR:GR&lt;0,-1,1)*COUNTIF(FZ$2:FZ87,FZ:FZ),"")</f>
        <v/>
      </c>
      <c r="GD88" s="39" t="e">
        <f>IF(AND(Include_study?="Yes",Sufficient_data="Yes"),'Publication Bias Analysis'!E88,NA())</f>
        <v>#N/A</v>
      </c>
      <c r="GE88" s="74" t="e">
        <f>IF(AND(Include_study?="Yes",Sufficient_data="Yes"),'Publication Bias Analysis'!F88,NA())</f>
        <v>#N/A</v>
      </c>
      <c r="GK88" s="176"/>
      <c r="GL8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8" s="39" t="str">
        <f t="shared" si="318"/>
        <v/>
      </c>
      <c r="GN8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8" s="39" t="str">
        <f>IF(AND(Include_study?="Yes",Sufficient_data="Yes"),IF('Publication Bias Analysis'!L$38="Left",'Publication Bias Analysis'!E:E-GW$3,GW$3-'Publication Bias Analysis'!E:E),"")</f>
        <v/>
      </c>
      <c r="GP88" s="39" t="str">
        <f t="shared" si="330"/>
        <v/>
      </c>
      <c r="GQ8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8" s="39" t="str">
        <f>IF(AND(Include_study?="Yes",Sufficient_data="Yes"),IF('Publication Bias Analysis'!L$38="Left",'Publication Bias Analysis'!E:E-GW$10,GW$10-'Publication Bias Analysis'!E:E),"")</f>
        <v/>
      </c>
      <c r="GS88" s="39" t="str">
        <f t="shared" si="331"/>
        <v/>
      </c>
      <c r="GT8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8" s="176"/>
      <c r="HL88" s="69" t="str">
        <f t="shared" si="319"/>
        <v/>
      </c>
      <c r="HM88" s="74" t="str">
        <f>IF(AND(Include_study?="Yes",Sufficient_data="Yes"),Z_score-('Publication Bias Analysis'!P$3+'Publication Bias Analysis'!P$4*Inverse_standard_error),"")</f>
        <v/>
      </c>
      <c r="HO88" s="176"/>
      <c r="HP88" s="69" t="str">
        <f>IF(AND(Include_study?="Yes",Sufficient_data="Yes"),(GD:GD-SUMPRODUCT(Calculations!FT:FT,'Publication Bias Analysis'!E:E)/SUM(Calculations!FT:FT))/SQRT(Calculations!HQ:HQ),"")</f>
        <v/>
      </c>
      <c r="HQ88" s="69" t="str">
        <f>IF(AND(Include_study?="Yes",Sufficient_data="Yes"),GE:GE^2-1/SUM(Calculations!FT:FT),"")</f>
        <v/>
      </c>
      <c r="HR88" s="7" t="str">
        <f t="shared" si="240"/>
        <v/>
      </c>
      <c r="HS88" s="7" t="str">
        <f t="shared" si="241"/>
        <v/>
      </c>
      <c r="HT88" s="7" t="str">
        <f>IF(AND(Include_study?="Yes",Sufficient_data="Yes"),COUNTIFS(HR$2:HR87,"&lt;"&amp;HR88,HS$2:HS87,"&lt;"&amp;HS88)+COUNTIFS(HR89:HR$201,"&lt;"&amp;HR88,HS89:HS$201,"&lt;"&amp;HS88)+COUNTIFS(HR$2:HR87,"&gt;"&amp;HR88,HS$2:HS87,"&gt;"&amp;HS88)+COUNTIFS(HR89:HR$201,"&gt;"&amp;HR88,HS89:HS$201,"&gt;"&amp;HS88),"")</f>
        <v/>
      </c>
      <c r="HU88" s="104" t="str">
        <f>IF(AND(Include_study?="Yes",Sufficient_data="Yes"),COUNTIFS(HR$2:HR87,"&lt;"&amp;HR88,HS$2:HS87,"&gt;"&amp;HS88)+COUNTIFS(HR89:HR$201,"&lt;"&amp;HR88,HS89:HS$201,"&gt;"&amp;HS88)+COUNTIFS(HR$2:HR87,"&gt;"&amp;HR88,HS$2:HS87,"&lt;"&amp;HS88)+COUNTIFS(HR89:HR$201,"&gt;"&amp;HR88,HS89:HS$201,"&lt;"&amp;HS88),"")</f>
        <v/>
      </c>
      <c r="HW88" s="176"/>
      <c r="IB88" s="176"/>
      <c r="IC88" s="146" t="e">
        <f t="shared" si="320"/>
        <v>#N/A</v>
      </c>
      <c r="ID88" s="137" t="e">
        <f t="shared" si="321"/>
        <v>#N/A</v>
      </c>
      <c r="IE88" s="137" t="str">
        <f t="shared" si="322"/>
        <v/>
      </c>
      <c r="IF88" s="95" t="str">
        <f t="shared" si="323"/>
        <v/>
      </c>
      <c r="IK88" s="176"/>
      <c r="IL88" s="69" t="e">
        <f>IF(AND(Include_study?="Yes",Sufficient_data="Yes"),'Publication Bias Analysis'!AV:AV,NA())</f>
        <v>#N/A</v>
      </c>
      <c r="IM88" s="158" t="e">
        <f>IF(AND(Sufficient_data="Yes",Include_study?="Yes"),'Publication Bias Analysis'!AU:AU,NA())</f>
        <v>#N/A</v>
      </c>
      <c r="IN88" s="69" t="str">
        <f t="shared" si="219"/>
        <v/>
      </c>
      <c r="IO88" s="74" t="str">
        <f>IF(AND(Include_study?="Yes",Sufficient_data="Yes"),Z_score-('Publication Bias Analysis'!AY$30+'Publication Bias Analysis'!AY$31*Inverse_standard_error),"")</f>
        <v/>
      </c>
      <c r="IU88" s="176"/>
      <c r="IV88" s="7" t="str">
        <f>IF('Publication Bias Analysis'!BG:BG&lt;&gt;"",RANK('Publication Bias Analysis'!BG:BG,'Publication Bias Analysis'!BG:BG,1)+COUNTIF('Publication Bias Analysis'!BG$2:BG87,'Publication Bias Analysis'!BG88),"")</f>
        <v/>
      </c>
      <c r="IW88" s="124" t="str">
        <f t="shared" si="324"/>
        <v/>
      </c>
      <c r="IX88" s="125" t="e">
        <f>IF('Publication Bias Analysis'!BF88&lt;&gt;"",'Publication Bias Analysis'!BF88,NA())</f>
        <v>#N/A</v>
      </c>
      <c r="IY88" s="125" t="e">
        <f>IF('Publication Bias Analysis'!BG88&lt;&gt;"",'Publication Bias Analysis'!BG88,NA())</f>
        <v>#N/A</v>
      </c>
      <c r="IZ88" s="69" t="str">
        <f>IF(AND(Include_study?="Yes",Sufficient_data="Yes"),'Publication Bias Analysis'!BF:BF-AVERAGE('Publication Bias Analysis'!BF:BF),"")</f>
        <v/>
      </c>
      <c r="JA88" s="74" t="str">
        <f>IF(AND(Include_study?="Yes",Sufficient_data="Yes"),'Publication Bias Analysis'!BG:BG-('Publication Bias Analysis'!BJ$30+'Publication Bias Analysis'!BJ$31*'Publication Bias Analysis'!BF:BF),"")</f>
        <v/>
      </c>
      <c r="JG88" s="176"/>
      <c r="JH88" s="39" t="str">
        <f t="shared" si="325"/>
        <v/>
      </c>
      <c r="JI88" s="148" t="str">
        <f t="shared" si="332"/>
        <v/>
      </c>
      <c r="JJ88" s="74" t="str">
        <f t="shared" si="333"/>
        <v/>
      </c>
    </row>
    <row r="89" spans="1:270" x14ac:dyDescent="0.2">
      <c r="A89" s="56" t="str">
        <f t="shared" si="126"/>
        <v/>
      </c>
      <c r="B89" s="7" t="str">
        <f>IF(AND(Include_study?="Yes",Sufficient_data="Yes"),IF(Input!a_&lt;&gt;"",Input!a_,Input!n1_-Input!b_),"")</f>
        <v/>
      </c>
      <c r="C89" s="7" t="str">
        <f>IF(AND(Include_study?="Yes",Sufficient_data="Yes"),IF(Input!b_&lt;&gt;"",Input!b_,Input!n1_-Input!a_),"")</f>
        <v/>
      </c>
      <c r="D89" s="7" t="str">
        <f>IF(AND(Include_study?="Yes",Sufficient_data="Yes"),IF(Input!c_&lt;&gt;"",Input!c_,Input!n2_-Input!d_),"")</f>
        <v/>
      </c>
      <c r="E89" s="7" t="str">
        <f>IF(AND(Include_study?="Yes",Sufficient_data="Yes"),IF(Input!d_&lt;&gt;"",Input!d_,Input!n2_-Input!c_),"")</f>
        <v/>
      </c>
      <c r="F89" s="74" t="str">
        <f t="shared" si="244"/>
        <v/>
      </c>
      <c r="H89" s="196"/>
      <c r="I89" s="182"/>
      <c r="J89" s="146" t="str">
        <f t="shared" si="245"/>
        <v/>
      </c>
      <c r="K89" s="39" t="str">
        <f t="shared" si="246"/>
        <v/>
      </c>
      <c r="L89" s="39" t="str">
        <f t="shared" si="247"/>
        <v/>
      </c>
      <c r="M89" s="39" t="str">
        <f t="shared" si="248"/>
        <v/>
      </c>
      <c r="N89" s="74" t="str">
        <f t="shared" si="249"/>
        <v/>
      </c>
      <c r="P89" s="176"/>
      <c r="Q89" s="130" t="str">
        <f t="shared" si="250"/>
        <v/>
      </c>
      <c r="R89" s="39" t="str">
        <f t="shared" si="251"/>
        <v/>
      </c>
      <c r="S89" s="39" t="str">
        <f t="shared" si="252"/>
        <v/>
      </c>
      <c r="T89" s="74" t="str">
        <f t="shared" si="253"/>
        <v/>
      </c>
      <c r="V89" s="176"/>
      <c r="W89" s="130" t="str">
        <f t="shared" si="254"/>
        <v/>
      </c>
      <c r="X89" s="39" t="str">
        <f t="shared" si="255"/>
        <v/>
      </c>
      <c r="Y89" s="39" t="str">
        <f t="shared" si="256"/>
        <v/>
      </c>
      <c r="Z89" s="74" t="str">
        <f t="shared" si="257"/>
        <v/>
      </c>
      <c r="AB89" s="176"/>
      <c r="AC89" s="130" t="str">
        <f t="shared" si="258"/>
        <v/>
      </c>
      <c r="AD89" s="39" t="str">
        <f t="shared" si="259"/>
        <v/>
      </c>
      <c r="AE89" s="39" t="str">
        <f t="shared" si="260"/>
        <v/>
      </c>
      <c r="AF89" s="39" t="str">
        <f t="shared" si="261"/>
        <v/>
      </c>
      <c r="AG89" s="74" t="str">
        <f t="shared" si="262"/>
        <v/>
      </c>
      <c r="AI89" s="196"/>
      <c r="AJ8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89" s="136" t="str">
        <f>IF(AJ89&lt;&gt;"",IF(AJ89=0,COUNTIF(AJ$2:AJ88,0)+1,COUNTIF(AJ$2:AJ88,AJ89)+AJ89+COUNTIF(AJ:AJ,0)),"")</f>
        <v/>
      </c>
      <c r="AL89" s="136" t="str">
        <f t="shared" si="263"/>
        <v/>
      </c>
      <c r="AM89" s="155" t="str">
        <f>IF(AND(Include_study?="Yes",Sufficient_data="Yes",Input!Study_name&lt;&gt;""),Input!Study_name,"")</f>
        <v/>
      </c>
      <c r="AN89" s="136" t="str">
        <f t="shared" si="264"/>
        <v/>
      </c>
      <c r="AO89" s="19" t="str">
        <f t="shared" si="265"/>
        <v/>
      </c>
      <c r="AP89" s="158" t="str">
        <f t="shared" si="266"/>
        <v/>
      </c>
      <c r="AQ89" s="158" t="str">
        <f t="shared" si="267"/>
        <v/>
      </c>
      <c r="AR89" s="39" t="str">
        <f t="shared" si="268"/>
        <v/>
      </c>
      <c r="AS89" s="158" t="str">
        <f t="shared" si="269"/>
        <v/>
      </c>
      <c r="AT89" s="39" t="str">
        <f t="shared" si="270"/>
        <v/>
      </c>
      <c r="AU89" s="172" t="str">
        <f t="shared" si="271"/>
        <v/>
      </c>
      <c r="AV89" s="45"/>
      <c r="AW89" s="84" t="e">
        <f t="shared" si="152"/>
        <v>#N/A</v>
      </c>
      <c r="AX89" s="69" t="e">
        <f t="shared" si="272"/>
        <v>#N/A</v>
      </c>
      <c r="AY89" s="74" t="e">
        <f t="shared" si="273"/>
        <v>#N/A</v>
      </c>
      <c r="AZ89" s="45"/>
      <c r="BA89" s="45"/>
      <c r="BB89" s="45"/>
      <c r="BC89" s="45"/>
      <c r="BD89" s="196"/>
      <c r="BE89" s="182"/>
      <c r="BF89" s="69" t="str">
        <f t="shared" si="155"/>
        <v/>
      </c>
      <c r="BG89" s="69" t="str">
        <f t="shared" si="156"/>
        <v/>
      </c>
      <c r="BH89" s="69" t="str">
        <f t="shared" si="157"/>
        <v/>
      </c>
      <c r="BI89" s="39" t="str">
        <f t="shared" si="158"/>
        <v/>
      </c>
      <c r="BJ89" s="95" t="str">
        <f t="shared" si="274"/>
        <v/>
      </c>
      <c r="BO89" s="176"/>
      <c r="BP89" s="158" t="str">
        <f t="shared" si="275"/>
        <v/>
      </c>
      <c r="BQ89" s="158" t="str">
        <f t="shared" si="276"/>
        <v/>
      </c>
      <c r="BR89" s="158" t="str">
        <f t="shared" si="277"/>
        <v/>
      </c>
      <c r="BS89" s="158" t="str">
        <f>IF(AND(Sufficient_data="Yes",Include_study?="Yes"),IF(Add_0_5="Yes",(a_+d_+1)*(ab_+0.5)*(c_+0.5)/(Number_of_subjects+2)^2,(a_+d_)*b_*c_/Number_of_subjects^2),"")</f>
        <v/>
      </c>
      <c r="BT89" s="158" t="str">
        <f t="shared" si="278"/>
        <v/>
      </c>
      <c r="BU89" s="158" t="str">
        <f t="shared" si="279"/>
        <v/>
      </c>
      <c r="BV89" s="158" t="str">
        <f t="shared" si="280"/>
        <v/>
      </c>
      <c r="BW89" s="69" t="str">
        <f t="shared" si="166"/>
        <v/>
      </c>
      <c r="BX89" s="137" t="str">
        <f t="shared" si="167"/>
        <v/>
      </c>
      <c r="BY89" s="95" t="str">
        <f t="shared" si="281"/>
        <v/>
      </c>
      <c r="CD89" s="176"/>
      <c r="CE89" s="130" t="str">
        <f t="shared" si="282"/>
        <v/>
      </c>
      <c r="CF89" s="39" t="str">
        <f t="shared" si="283"/>
        <v/>
      </c>
      <c r="CG89" s="39" t="str">
        <f t="shared" si="284"/>
        <v/>
      </c>
      <c r="CH89" s="39" t="str">
        <f t="shared" si="285"/>
        <v/>
      </c>
      <c r="CI89" s="39" t="str">
        <f t="shared" si="286"/>
        <v/>
      </c>
      <c r="CJ89" s="39" t="str">
        <f t="shared" si="287"/>
        <v/>
      </c>
      <c r="CK89" s="95" t="str">
        <f t="shared" si="288"/>
        <v/>
      </c>
      <c r="CP89" s="176"/>
      <c r="CQ89" s="99" t="str">
        <f t="shared" si="175"/>
        <v/>
      </c>
      <c r="CX89" s="196"/>
      <c r="CY89" s="89" t="e">
        <f t="shared" si="289"/>
        <v>#N/A</v>
      </c>
      <c r="CZ89" s="136" t="str">
        <f t="shared" si="290"/>
        <v/>
      </c>
      <c r="DA89" s="140" t="str">
        <f t="shared" si="291"/>
        <v/>
      </c>
      <c r="DB89" s="39" t="str">
        <f t="shared" si="292"/>
        <v/>
      </c>
      <c r="DC89" s="39" t="str">
        <f t="shared" si="293"/>
        <v/>
      </c>
      <c r="DD89" s="39" t="str">
        <f t="shared" si="294"/>
        <v/>
      </c>
      <c r="DE89" s="39" t="str">
        <f t="shared" si="295"/>
        <v/>
      </c>
      <c r="DF89" s="141" t="str">
        <f t="shared" si="296"/>
        <v/>
      </c>
      <c r="DG89" s="39" t="str">
        <f t="shared" si="297"/>
        <v/>
      </c>
      <c r="DH89" s="39" t="str">
        <f t="shared" si="298"/>
        <v/>
      </c>
      <c r="DI89" s="39" t="str">
        <f t="shared" si="299"/>
        <v/>
      </c>
      <c r="DJ89" s="74" t="str">
        <f t="shared" si="300"/>
        <v/>
      </c>
      <c r="DK89" s="45"/>
      <c r="DL89" s="84" t="e">
        <f t="shared" si="222"/>
        <v>#N/A</v>
      </c>
      <c r="DM89" s="39" t="e">
        <f t="shared" si="301"/>
        <v>#N/A</v>
      </c>
      <c r="DN89" s="74" t="e">
        <f t="shared" si="302"/>
        <v>#N/A</v>
      </c>
      <c r="DO89" s="45"/>
      <c r="DP89" s="89" t="str">
        <f t="shared" si="326"/>
        <v/>
      </c>
      <c r="DQ89" s="26" t="str">
        <f>IF(AND(Sufficient_data="Yes",Subgroup&lt;&gt;""),IF(COUNTIFS(Input!J$2:J88,"="&amp;"Yes",Input!C$2:C88,"="&amp;"Yes",Input!K$2:K88,"="&amp;Subgroup)&gt;0,"",Subgroup),"")</f>
        <v/>
      </c>
      <c r="DR89" s="7" t="str">
        <f t="shared" si="327"/>
        <v/>
      </c>
      <c r="DS89" s="7" t="str">
        <f t="shared" si="303"/>
        <v/>
      </c>
      <c r="DT89" s="19" t="str">
        <f t="shared" si="304"/>
        <v/>
      </c>
      <c r="DU89" s="12" t="str">
        <f t="shared" si="223"/>
        <v/>
      </c>
      <c r="DV89" s="11" t="str">
        <f t="shared" si="224"/>
        <v/>
      </c>
      <c r="DW89" s="12" t="str">
        <f t="shared" si="225"/>
        <v/>
      </c>
      <c r="DX89" s="12" t="str">
        <f t="shared" si="305"/>
        <v/>
      </c>
      <c r="DY89" s="19" t="str">
        <f t="shared" si="226"/>
        <v/>
      </c>
      <c r="DZ89" s="12" t="str">
        <f t="shared" si="227"/>
        <v/>
      </c>
      <c r="EA89" s="19" t="str">
        <f t="shared" si="306"/>
        <v/>
      </c>
      <c r="EB89" s="7" t="str">
        <f t="shared" si="307"/>
        <v/>
      </c>
      <c r="EC89" s="19" t="str">
        <f t="shared" si="308"/>
        <v/>
      </c>
      <c r="ED89" s="19" t="str">
        <f t="shared" si="309"/>
        <v/>
      </c>
      <c r="EE89" s="19" t="str">
        <f t="shared" si="228"/>
        <v/>
      </c>
      <c r="EF89" s="19" t="str">
        <f t="shared" si="229"/>
        <v/>
      </c>
      <c r="EG89" s="19" t="str">
        <f t="shared" si="230"/>
        <v/>
      </c>
      <c r="EH89" s="19" t="str">
        <f t="shared" si="231"/>
        <v/>
      </c>
      <c r="EI89" s="19" t="str">
        <f t="shared" si="232"/>
        <v/>
      </c>
      <c r="EJ89" s="19" t="str">
        <f t="shared" si="310"/>
        <v/>
      </c>
      <c r="EK89" s="19" t="str">
        <f t="shared" si="311"/>
        <v/>
      </c>
      <c r="EL89" s="19" t="str">
        <f t="shared" si="233"/>
        <v/>
      </c>
      <c r="EM89" s="19" t="str">
        <f t="shared" si="234"/>
        <v/>
      </c>
      <c r="EN89" s="19" t="str">
        <f t="shared" si="235"/>
        <v/>
      </c>
      <c r="EO89" s="19" t="str">
        <f t="shared" si="236"/>
        <v/>
      </c>
      <c r="EP89" s="19" t="str">
        <f t="shared" si="237"/>
        <v/>
      </c>
      <c r="EQ89" s="19" t="e">
        <f t="shared" si="238"/>
        <v>#N/A</v>
      </c>
      <c r="ER89" s="11" t="str">
        <f t="shared" si="328"/>
        <v/>
      </c>
      <c r="ES89" s="19" t="str">
        <f t="shared" si="329"/>
        <v/>
      </c>
      <c r="ET89" s="156" t="str">
        <f t="shared" si="312"/>
        <v/>
      </c>
      <c r="EU89" s="39" t="str">
        <f t="shared" si="239"/>
        <v/>
      </c>
      <c r="EV89" s="74" t="str">
        <f t="shared" si="313"/>
        <v/>
      </c>
      <c r="FA89" s="196"/>
      <c r="FB89" s="84" t="e">
        <f>IF(AND(Include_study?="Yes",Sufficient_data="Yes",Moderator&lt;&gt;""),'Moderator Analysis'!E89,NA())</f>
        <v>#N/A</v>
      </c>
      <c r="FC89" s="39" t="e">
        <f>IF(AND(Include_study?="Yes",Sufficient_data="Yes",Moderator&lt;&gt;""),'Moderator Analysis'!F89,NA())</f>
        <v>#N/A</v>
      </c>
      <c r="FD89" s="39" t="str">
        <f t="shared" si="314"/>
        <v/>
      </c>
      <c r="FE89" s="39" t="str">
        <f t="shared" si="315"/>
        <v/>
      </c>
      <c r="FF89" s="39" t="str">
        <f>IF(AND(Include_study?="Yes",Sufficient_data="Yes",Moderator&lt;&gt;""),'Moderator Analysis'!F:F-FP$2,"")</f>
        <v/>
      </c>
      <c r="FG89" s="39" t="str">
        <f>IF(AND(Include_study?="Yes",Sufficient_data="Yes",Moderator&lt;&gt;""),'Moderator Analysis'!E:E-FP$3,"")</f>
        <v/>
      </c>
      <c r="FH89" s="74" t="str">
        <f>IF(AND(Include_study?="Yes",Sufficient_data="Yes",Moderator&lt;&gt;""),FE:FE*('Moderator Analysis'!F:F-FP$5-FP$4*'Moderator Analysis'!E:E)^2,"")</f>
        <v/>
      </c>
      <c r="FI89" s="128"/>
      <c r="FJ89" s="92" t="str">
        <f t="shared" si="316"/>
        <v/>
      </c>
      <c r="FK89" s="137" t="str">
        <f>IF(AND(Include_study?="Yes",Sufficient_data="Yes",Moderator&lt;&gt;""),'Moderator Analysis'!F:F-'Moderator Analysis'!J$37,"")</f>
        <v/>
      </c>
      <c r="FL89" s="137" t="str">
        <f>IF(AND(Include_study?="Yes",Sufficient_data="Yes",Moderator&lt;&gt;""),'Moderator Analysis'!E:E-SUMPRODUCT('Moderator Analysis'!E:E,FJ:FJ)/SUM(FJ:FJ),"")</f>
        <v/>
      </c>
      <c r="FM89" s="95" t="str">
        <f>IF(AND(Include_study?="Yes",Sufficient_data="Yes",Moderator&lt;&gt;""),FJ:FJ*('Moderator Analysis'!F:F-'Moderator Analysis'!J$29-'Moderator Analysis'!J$30*'Moderator Analysis'!E:E)^2,"")</f>
        <v/>
      </c>
      <c r="FR89" s="196"/>
      <c r="FS89" s="182"/>
      <c r="FT8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89" s="39" t="str">
        <f>IF(AND(Include_study?="Yes",Sufficient_data="Yes"),1/('Publication Bias Analysis'!F:F^2+IF(Additional_model="Fixed effect",0,Calculations!GH$12)),"")</f>
        <v/>
      </c>
      <c r="FV89" s="39" t="str">
        <f>IF(AND(Include_study?="Yes",Sufficient_data="Yes"),1/('Publication Bias Analysis'!F:F^2+IF(Additional_model="Fixed effect",0,'Publication Bias Analysis'!L$32)),"")</f>
        <v/>
      </c>
      <c r="FW89" s="39" t="str">
        <f>IF(AND(Include_study?="Yes",Sufficient_data="Yes"),'Publication Bias Analysis'!E:E-'Publication Bias Analysis'!I$37,"")</f>
        <v/>
      </c>
      <c r="FX89" s="39" t="str">
        <f>IF(AND(Include_study?="Yes",Sufficient_data="Yes"),IF(Additional_model="Fixed effect",1/'Publication Bias Analysis'!F:F,1/SQRT('Publication Bias Analysis'!F:F^2+GH$12)),"")</f>
        <v/>
      </c>
      <c r="FY8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89" s="136" t="str">
        <f t="shared" si="317"/>
        <v/>
      </c>
      <c r="GA89" s="144" t="str">
        <f>IF(AND(Include_study?="Yes",Sufficient_data="Yes"),FZ:FZ+IF(GL:GL&lt;0,-1,1)*COUNTIF(FZ$2:FZ88,FZ:FZ),"")</f>
        <v/>
      </c>
      <c r="GB89" s="144" t="str">
        <f>IF(AND(Include_study?="Yes",Sufficient_data="Yes"),RANK(GP:GP,GP:GP,1)*IF(GO:GO&lt;0,-1,1)+IF(GO:GO&lt;0,-1,1)*COUNTIF(FZ$2:FZ88,FZ:FZ),"")</f>
        <v/>
      </c>
      <c r="GC89" s="144" t="str">
        <f>IF(AND(Include_study?="Yes",Sufficient_data="Yes"),RANK(GS:GS,GS:GS,1)*IF(GR:GR&lt;0,-1,1)+IF(GR:GR&lt;0,-1,1)*COUNTIF(FZ$2:FZ88,FZ:FZ),"")</f>
        <v/>
      </c>
      <c r="GD89" s="39" t="e">
        <f>IF(AND(Include_study?="Yes",Sufficient_data="Yes"),'Publication Bias Analysis'!E89,NA())</f>
        <v>#N/A</v>
      </c>
      <c r="GE89" s="74" t="e">
        <f>IF(AND(Include_study?="Yes",Sufficient_data="Yes"),'Publication Bias Analysis'!F89,NA())</f>
        <v>#N/A</v>
      </c>
      <c r="GK89" s="176"/>
      <c r="GL8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89" s="39" t="str">
        <f t="shared" si="318"/>
        <v/>
      </c>
      <c r="GN8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89" s="39" t="str">
        <f>IF(AND(Include_study?="Yes",Sufficient_data="Yes"),IF('Publication Bias Analysis'!L$38="Left",'Publication Bias Analysis'!E:E-GW$3,GW$3-'Publication Bias Analysis'!E:E),"")</f>
        <v/>
      </c>
      <c r="GP89" s="39" t="str">
        <f t="shared" si="330"/>
        <v/>
      </c>
      <c r="GQ8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89" s="39" t="str">
        <f>IF(AND(Include_study?="Yes",Sufficient_data="Yes"),IF('Publication Bias Analysis'!L$38="Left",'Publication Bias Analysis'!E:E-GW$10,GW$10-'Publication Bias Analysis'!E:E),"")</f>
        <v/>
      </c>
      <c r="GS89" s="39" t="str">
        <f t="shared" si="331"/>
        <v/>
      </c>
      <c r="GT8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89" s="176"/>
      <c r="HL89" s="69" t="str">
        <f t="shared" si="319"/>
        <v/>
      </c>
      <c r="HM89" s="74" t="str">
        <f>IF(AND(Include_study?="Yes",Sufficient_data="Yes"),Z_score-('Publication Bias Analysis'!P$3+'Publication Bias Analysis'!P$4*Inverse_standard_error),"")</f>
        <v/>
      </c>
      <c r="HO89" s="176"/>
      <c r="HP89" s="69" t="str">
        <f>IF(AND(Include_study?="Yes",Sufficient_data="Yes"),(GD:GD-SUMPRODUCT(Calculations!FT:FT,'Publication Bias Analysis'!E:E)/SUM(Calculations!FT:FT))/SQRT(Calculations!HQ:HQ),"")</f>
        <v/>
      </c>
      <c r="HQ89" s="69" t="str">
        <f>IF(AND(Include_study?="Yes",Sufficient_data="Yes"),GE:GE^2-1/SUM(Calculations!FT:FT),"")</f>
        <v/>
      </c>
      <c r="HR89" s="7" t="str">
        <f t="shared" si="240"/>
        <v/>
      </c>
      <c r="HS89" s="7" t="str">
        <f t="shared" si="241"/>
        <v/>
      </c>
      <c r="HT89" s="7" t="str">
        <f>IF(AND(Include_study?="Yes",Sufficient_data="Yes"),COUNTIFS(HR$2:HR88,"&lt;"&amp;HR89,HS$2:HS88,"&lt;"&amp;HS89)+COUNTIFS(HR90:HR$201,"&lt;"&amp;HR89,HS90:HS$201,"&lt;"&amp;HS89)+COUNTIFS(HR$2:HR88,"&gt;"&amp;HR89,HS$2:HS88,"&gt;"&amp;HS89)+COUNTIFS(HR90:HR$201,"&gt;"&amp;HR89,HS90:HS$201,"&gt;"&amp;HS89),"")</f>
        <v/>
      </c>
      <c r="HU89" s="104" t="str">
        <f>IF(AND(Include_study?="Yes",Sufficient_data="Yes"),COUNTIFS(HR$2:HR88,"&lt;"&amp;HR89,HS$2:HS88,"&gt;"&amp;HS89)+COUNTIFS(HR90:HR$201,"&lt;"&amp;HR89,HS90:HS$201,"&gt;"&amp;HS89)+COUNTIFS(HR$2:HR88,"&gt;"&amp;HR89,HS$2:HS88,"&lt;"&amp;HS89)+COUNTIFS(HR90:HR$201,"&gt;"&amp;HR89,HS90:HS$201,"&lt;"&amp;HS89),"")</f>
        <v/>
      </c>
      <c r="HW89" s="176"/>
      <c r="IB89" s="176"/>
      <c r="IC89" s="146" t="e">
        <f t="shared" si="320"/>
        <v>#N/A</v>
      </c>
      <c r="ID89" s="137" t="e">
        <f t="shared" si="321"/>
        <v>#N/A</v>
      </c>
      <c r="IE89" s="137" t="str">
        <f t="shared" si="322"/>
        <v/>
      </c>
      <c r="IF89" s="95" t="str">
        <f t="shared" si="323"/>
        <v/>
      </c>
      <c r="IK89" s="176"/>
      <c r="IL89" s="69" t="e">
        <f>IF(AND(Include_study?="Yes",Sufficient_data="Yes"),'Publication Bias Analysis'!AV:AV,NA())</f>
        <v>#N/A</v>
      </c>
      <c r="IM89" s="158" t="e">
        <f>IF(AND(Sufficient_data="Yes",Include_study?="Yes"),'Publication Bias Analysis'!AU:AU,NA())</f>
        <v>#N/A</v>
      </c>
      <c r="IN89" s="69" t="str">
        <f t="shared" si="219"/>
        <v/>
      </c>
      <c r="IO89" s="74" t="str">
        <f>IF(AND(Include_study?="Yes",Sufficient_data="Yes"),Z_score-('Publication Bias Analysis'!AY$30+'Publication Bias Analysis'!AY$31*Inverse_standard_error),"")</f>
        <v/>
      </c>
      <c r="IU89" s="176"/>
      <c r="IV89" s="7" t="str">
        <f>IF('Publication Bias Analysis'!BG:BG&lt;&gt;"",RANK('Publication Bias Analysis'!BG:BG,'Publication Bias Analysis'!BG:BG,1)+COUNTIF('Publication Bias Analysis'!BG$2:BG88,'Publication Bias Analysis'!BG89),"")</f>
        <v/>
      </c>
      <c r="IW89" s="124" t="str">
        <f t="shared" si="324"/>
        <v/>
      </c>
      <c r="IX89" s="125" t="e">
        <f>IF('Publication Bias Analysis'!BF89&lt;&gt;"",'Publication Bias Analysis'!BF89,NA())</f>
        <v>#N/A</v>
      </c>
      <c r="IY89" s="125" t="e">
        <f>IF('Publication Bias Analysis'!BG89&lt;&gt;"",'Publication Bias Analysis'!BG89,NA())</f>
        <v>#N/A</v>
      </c>
      <c r="IZ89" s="69" t="str">
        <f>IF(AND(Include_study?="Yes",Sufficient_data="Yes"),'Publication Bias Analysis'!BF:BF-AVERAGE('Publication Bias Analysis'!BF:BF),"")</f>
        <v/>
      </c>
      <c r="JA89" s="74" t="str">
        <f>IF(AND(Include_study?="Yes",Sufficient_data="Yes"),'Publication Bias Analysis'!BG:BG-('Publication Bias Analysis'!BJ$30+'Publication Bias Analysis'!BJ$31*'Publication Bias Analysis'!BF:BF),"")</f>
        <v/>
      </c>
      <c r="JG89" s="176"/>
      <c r="JH89" s="39" t="str">
        <f t="shared" si="325"/>
        <v/>
      </c>
      <c r="JI89" s="148" t="str">
        <f t="shared" si="332"/>
        <v/>
      </c>
      <c r="JJ89" s="74" t="str">
        <f t="shared" si="333"/>
        <v/>
      </c>
    </row>
    <row r="90" spans="1:270" x14ac:dyDescent="0.2">
      <c r="A90" s="56" t="str">
        <f t="shared" si="126"/>
        <v/>
      </c>
      <c r="B90" s="7" t="str">
        <f>IF(AND(Include_study?="Yes",Sufficient_data="Yes"),IF(Input!a_&lt;&gt;"",Input!a_,Input!n1_-Input!b_),"")</f>
        <v/>
      </c>
      <c r="C90" s="7" t="str">
        <f>IF(AND(Include_study?="Yes",Sufficient_data="Yes"),IF(Input!b_&lt;&gt;"",Input!b_,Input!n1_-Input!a_),"")</f>
        <v/>
      </c>
      <c r="D90" s="7" t="str">
        <f>IF(AND(Include_study?="Yes",Sufficient_data="Yes"),IF(Input!c_&lt;&gt;"",Input!c_,Input!n2_-Input!d_),"")</f>
        <v/>
      </c>
      <c r="E90" s="7" t="str">
        <f>IF(AND(Include_study?="Yes",Sufficient_data="Yes"),IF(Input!d_&lt;&gt;"",Input!d_,Input!n2_-Input!c_),"")</f>
        <v/>
      </c>
      <c r="F90" s="74" t="str">
        <f t="shared" si="244"/>
        <v/>
      </c>
      <c r="H90" s="196"/>
      <c r="I90" s="182"/>
      <c r="J90" s="146" t="str">
        <f t="shared" si="245"/>
        <v/>
      </c>
      <c r="K90" s="39" t="str">
        <f t="shared" si="246"/>
        <v/>
      </c>
      <c r="L90" s="39" t="str">
        <f t="shared" si="247"/>
        <v/>
      </c>
      <c r="M90" s="39" t="str">
        <f t="shared" si="248"/>
        <v/>
      </c>
      <c r="N90" s="74" t="str">
        <f t="shared" si="249"/>
        <v/>
      </c>
      <c r="P90" s="176"/>
      <c r="Q90" s="130" t="str">
        <f t="shared" si="250"/>
        <v/>
      </c>
      <c r="R90" s="39" t="str">
        <f t="shared" si="251"/>
        <v/>
      </c>
      <c r="S90" s="39" t="str">
        <f t="shared" si="252"/>
        <v/>
      </c>
      <c r="T90" s="74" t="str">
        <f t="shared" si="253"/>
        <v/>
      </c>
      <c r="V90" s="176"/>
      <c r="W90" s="130" t="str">
        <f t="shared" si="254"/>
        <v/>
      </c>
      <c r="X90" s="39" t="str">
        <f t="shared" si="255"/>
        <v/>
      </c>
      <c r="Y90" s="39" t="str">
        <f t="shared" si="256"/>
        <v/>
      </c>
      <c r="Z90" s="74" t="str">
        <f t="shared" si="257"/>
        <v/>
      </c>
      <c r="AB90" s="176"/>
      <c r="AC90" s="130" t="str">
        <f t="shared" si="258"/>
        <v/>
      </c>
      <c r="AD90" s="39" t="str">
        <f t="shared" si="259"/>
        <v/>
      </c>
      <c r="AE90" s="39" t="str">
        <f t="shared" si="260"/>
        <v/>
      </c>
      <c r="AF90" s="39" t="str">
        <f t="shared" si="261"/>
        <v/>
      </c>
      <c r="AG90" s="74" t="str">
        <f t="shared" si="262"/>
        <v/>
      </c>
      <c r="AI90" s="196"/>
      <c r="AJ9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0" s="136" t="str">
        <f>IF(AJ90&lt;&gt;"",IF(AJ90=0,COUNTIF(AJ$2:AJ89,0)+1,COUNTIF(AJ$2:AJ89,AJ90)+AJ90+COUNTIF(AJ:AJ,0)),"")</f>
        <v/>
      </c>
      <c r="AL90" s="136" t="str">
        <f t="shared" si="263"/>
        <v/>
      </c>
      <c r="AM90" s="155" t="str">
        <f>IF(AND(Include_study?="Yes",Sufficient_data="Yes",Input!Study_name&lt;&gt;""),Input!Study_name,"")</f>
        <v/>
      </c>
      <c r="AN90" s="136" t="str">
        <f t="shared" si="264"/>
        <v/>
      </c>
      <c r="AO90" s="19" t="str">
        <f t="shared" si="265"/>
        <v/>
      </c>
      <c r="AP90" s="158" t="str">
        <f t="shared" si="266"/>
        <v/>
      </c>
      <c r="AQ90" s="158" t="str">
        <f t="shared" si="267"/>
        <v/>
      </c>
      <c r="AR90" s="39" t="str">
        <f t="shared" si="268"/>
        <v/>
      </c>
      <c r="AS90" s="158" t="str">
        <f t="shared" si="269"/>
        <v/>
      </c>
      <c r="AT90" s="39" t="str">
        <f t="shared" si="270"/>
        <v/>
      </c>
      <c r="AU90" s="172" t="str">
        <f t="shared" si="271"/>
        <v/>
      </c>
      <c r="AV90" s="45"/>
      <c r="AW90" s="84" t="e">
        <f t="shared" si="152"/>
        <v>#N/A</v>
      </c>
      <c r="AX90" s="69" t="e">
        <f t="shared" si="272"/>
        <v>#N/A</v>
      </c>
      <c r="AY90" s="74" t="e">
        <f t="shared" si="273"/>
        <v>#N/A</v>
      </c>
      <c r="AZ90" s="45"/>
      <c r="BA90" s="45"/>
      <c r="BB90" s="45"/>
      <c r="BC90" s="45"/>
      <c r="BD90" s="196"/>
      <c r="BE90" s="182"/>
      <c r="BF90" s="69" t="str">
        <f t="shared" si="155"/>
        <v/>
      </c>
      <c r="BG90" s="69" t="str">
        <f t="shared" si="156"/>
        <v/>
      </c>
      <c r="BH90" s="69" t="str">
        <f t="shared" si="157"/>
        <v/>
      </c>
      <c r="BI90" s="39" t="str">
        <f t="shared" si="158"/>
        <v/>
      </c>
      <c r="BJ90" s="95" t="str">
        <f t="shared" si="274"/>
        <v/>
      </c>
      <c r="BO90" s="176"/>
      <c r="BP90" s="158" t="str">
        <f t="shared" si="275"/>
        <v/>
      </c>
      <c r="BQ90" s="158" t="str">
        <f t="shared" si="276"/>
        <v/>
      </c>
      <c r="BR90" s="158" t="str">
        <f t="shared" si="277"/>
        <v/>
      </c>
      <c r="BS90" s="158" t="str">
        <f>IF(AND(Sufficient_data="Yes",Include_study?="Yes"),IF(Add_0_5="Yes",(a_+d_+1)*(ab_+0.5)*(c_+0.5)/(Number_of_subjects+2)^2,(a_+d_)*b_*c_/Number_of_subjects^2),"")</f>
        <v/>
      </c>
      <c r="BT90" s="158" t="str">
        <f t="shared" si="278"/>
        <v/>
      </c>
      <c r="BU90" s="158" t="str">
        <f t="shared" si="279"/>
        <v/>
      </c>
      <c r="BV90" s="158" t="str">
        <f t="shared" si="280"/>
        <v/>
      </c>
      <c r="BW90" s="69" t="str">
        <f t="shared" si="166"/>
        <v/>
      </c>
      <c r="BX90" s="137" t="str">
        <f t="shared" si="167"/>
        <v/>
      </c>
      <c r="BY90" s="95" t="str">
        <f t="shared" si="281"/>
        <v/>
      </c>
      <c r="CD90" s="176"/>
      <c r="CE90" s="130" t="str">
        <f t="shared" si="282"/>
        <v/>
      </c>
      <c r="CF90" s="39" t="str">
        <f t="shared" si="283"/>
        <v/>
      </c>
      <c r="CG90" s="39" t="str">
        <f t="shared" si="284"/>
        <v/>
      </c>
      <c r="CH90" s="39" t="str">
        <f t="shared" si="285"/>
        <v/>
      </c>
      <c r="CI90" s="39" t="str">
        <f t="shared" si="286"/>
        <v/>
      </c>
      <c r="CJ90" s="39" t="str">
        <f t="shared" si="287"/>
        <v/>
      </c>
      <c r="CK90" s="95" t="str">
        <f t="shared" si="288"/>
        <v/>
      </c>
      <c r="CP90" s="176"/>
      <c r="CQ90" s="99" t="str">
        <f t="shared" si="175"/>
        <v/>
      </c>
      <c r="CX90" s="196"/>
      <c r="CY90" s="89" t="e">
        <f t="shared" si="289"/>
        <v>#N/A</v>
      </c>
      <c r="CZ90" s="136" t="str">
        <f t="shared" si="290"/>
        <v/>
      </c>
      <c r="DA90" s="140" t="str">
        <f t="shared" si="291"/>
        <v/>
      </c>
      <c r="DB90" s="39" t="str">
        <f t="shared" si="292"/>
        <v/>
      </c>
      <c r="DC90" s="39" t="str">
        <f t="shared" si="293"/>
        <v/>
      </c>
      <c r="DD90" s="39" t="str">
        <f t="shared" si="294"/>
        <v/>
      </c>
      <c r="DE90" s="39" t="str">
        <f t="shared" si="295"/>
        <v/>
      </c>
      <c r="DF90" s="141" t="str">
        <f t="shared" si="296"/>
        <v/>
      </c>
      <c r="DG90" s="39" t="str">
        <f t="shared" si="297"/>
        <v/>
      </c>
      <c r="DH90" s="39" t="str">
        <f t="shared" si="298"/>
        <v/>
      </c>
      <c r="DI90" s="39" t="str">
        <f t="shared" si="299"/>
        <v/>
      </c>
      <c r="DJ90" s="74" t="str">
        <f t="shared" si="300"/>
        <v/>
      </c>
      <c r="DK90" s="45"/>
      <c r="DL90" s="84" t="e">
        <f t="shared" si="222"/>
        <v>#N/A</v>
      </c>
      <c r="DM90" s="39" t="e">
        <f t="shared" si="301"/>
        <v>#N/A</v>
      </c>
      <c r="DN90" s="74" t="e">
        <f t="shared" si="302"/>
        <v>#N/A</v>
      </c>
      <c r="DO90" s="45"/>
      <c r="DP90" s="89" t="str">
        <f t="shared" si="326"/>
        <v/>
      </c>
      <c r="DQ90" s="26" t="str">
        <f>IF(AND(Sufficient_data="Yes",Subgroup&lt;&gt;""),IF(COUNTIFS(Input!J$2:J89,"="&amp;"Yes",Input!C$2:C89,"="&amp;"Yes",Input!K$2:K89,"="&amp;Subgroup)&gt;0,"",Subgroup),"")</f>
        <v/>
      </c>
      <c r="DR90" s="7" t="str">
        <f t="shared" si="327"/>
        <v/>
      </c>
      <c r="DS90" s="7" t="str">
        <f t="shared" si="303"/>
        <v/>
      </c>
      <c r="DT90" s="19" t="str">
        <f t="shared" si="304"/>
        <v/>
      </c>
      <c r="DU90" s="12" t="str">
        <f t="shared" si="223"/>
        <v/>
      </c>
      <c r="DV90" s="11" t="str">
        <f t="shared" si="224"/>
        <v/>
      </c>
      <c r="DW90" s="12" t="str">
        <f t="shared" si="225"/>
        <v/>
      </c>
      <c r="DX90" s="12" t="str">
        <f t="shared" si="305"/>
        <v/>
      </c>
      <c r="DY90" s="19" t="str">
        <f t="shared" si="226"/>
        <v/>
      </c>
      <c r="DZ90" s="12" t="str">
        <f t="shared" si="227"/>
        <v/>
      </c>
      <c r="EA90" s="19" t="str">
        <f t="shared" si="306"/>
        <v/>
      </c>
      <c r="EB90" s="7" t="str">
        <f t="shared" si="307"/>
        <v/>
      </c>
      <c r="EC90" s="19" t="str">
        <f t="shared" si="308"/>
        <v/>
      </c>
      <c r="ED90" s="19" t="str">
        <f t="shared" si="309"/>
        <v/>
      </c>
      <c r="EE90" s="19" t="str">
        <f t="shared" si="228"/>
        <v/>
      </c>
      <c r="EF90" s="19" t="str">
        <f t="shared" si="229"/>
        <v/>
      </c>
      <c r="EG90" s="19" t="str">
        <f t="shared" si="230"/>
        <v/>
      </c>
      <c r="EH90" s="19" t="str">
        <f t="shared" si="231"/>
        <v/>
      </c>
      <c r="EI90" s="19" t="str">
        <f t="shared" si="232"/>
        <v/>
      </c>
      <c r="EJ90" s="19" t="str">
        <f t="shared" si="310"/>
        <v/>
      </c>
      <c r="EK90" s="19" t="str">
        <f t="shared" si="311"/>
        <v/>
      </c>
      <c r="EL90" s="19" t="str">
        <f t="shared" si="233"/>
        <v/>
      </c>
      <c r="EM90" s="19" t="str">
        <f t="shared" si="234"/>
        <v/>
      </c>
      <c r="EN90" s="19" t="str">
        <f t="shared" si="235"/>
        <v/>
      </c>
      <c r="EO90" s="19" t="str">
        <f t="shared" si="236"/>
        <v/>
      </c>
      <c r="EP90" s="19" t="str">
        <f t="shared" si="237"/>
        <v/>
      </c>
      <c r="EQ90" s="19" t="e">
        <f t="shared" si="238"/>
        <v>#N/A</v>
      </c>
      <c r="ER90" s="11" t="str">
        <f t="shared" si="328"/>
        <v/>
      </c>
      <c r="ES90" s="19" t="str">
        <f t="shared" si="329"/>
        <v/>
      </c>
      <c r="ET90" s="156" t="str">
        <f t="shared" si="312"/>
        <v/>
      </c>
      <c r="EU90" s="39" t="str">
        <f t="shared" si="239"/>
        <v/>
      </c>
      <c r="EV90" s="74" t="str">
        <f t="shared" si="313"/>
        <v/>
      </c>
      <c r="FA90" s="196"/>
      <c r="FB90" s="84" t="e">
        <f>IF(AND(Include_study?="Yes",Sufficient_data="Yes",Moderator&lt;&gt;""),'Moderator Analysis'!E90,NA())</f>
        <v>#N/A</v>
      </c>
      <c r="FC90" s="39" t="e">
        <f>IF(AND(Include_study?="Yes",Sufficient_data="Yes",Moderator&lt;&gt;""),'Moderator Analysis'!F90,NA())</f>
        <v>#N/A</v>
      </c>
      <c r="FD90" s="39" t="str">
        <f t="shared" si="314"/>
        <v/>
      </c>
      <c r="FE90" s="39" t="str">
        <f t="shared" si="315"/>
        <v/>
      </c>
      <c r="FF90" s="39" t="str">
        <f>IF(AND(Include_study?="Yes",Sufficient_data="Yes",Moderator&lt;&gt;""),'Moderator Analysis'!F:F-FP$2,"")</f>
        <v/>
      </c>
      <c r="FG90" s="39" t="str">
        <f>IF(AND(Include_study?="Yes",Sufficient_data="Yes",Moderator&lt;&gt;""),'Moderator Analysis'!E:E-FP$3,"")</f>
        <v/>
      </c>
      <c r="FH90" s="74" t="str">
        <f>IF(AND(Include_study?="Yes",Sufficient_data="Yes",Moderator&lt;&gt;""),FE:FE*('Moderator Analysis'!F:F-FP$5-FP$4*'Moderator Analysis'!E:E)^2,"")</f>
        <v/>
      </c>
      <c r="FI90" s="128"/>
      <c r="FJ90" s="92" t="str">
        <f t="shared" si="316"/>
        <v/>
      </c>
      <c r="FK90" s="137" t="str">
        <f>IF(AND(Include_study?="Yes",Sufficient_data="Yes",Moderator&lt;&gt;""),'Moderator Analysis'!F:F-'Moderator Analysis'!J$37,"")</f>
        <v/>
      </c>
      <c r="FL90" s="137" t="str">
        <f>IF(AND(Include_study?="Yes",Sufficient_data="Yes",Moderator&lt;&gt;""),'Moderator Analysis'!E:E-SUMPRODUCT('Moderator Analysis'!E:E,FJ:FJ)/SUM(FJ:FJ),"")</f>
        <v/>
      </c>
      <c r="FM90" s="95" t="str">
        <f>IF(AND(Include_study?="Yes",Sufficient_data="Yes",Moderator&lt;&gt;""),FJ:FJ*('Moderator Analysis'!F:F-'Moderator Analysis'!J$29-'Moderator Analysis'!J$30*'Moderator Analysis'!E:E)^2,"")</f>
        <v/>
      </c>
      <c r="FR90" s="196"/>
      <c r="FS90" s="182"/>
      <c r="FT9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0" s="39" t="str">
        <f>IF(AND(Include_study?="Yes",Sufficient_data="Yes"),1/('Publication Bias Analysis'!F:F^2+IF(Additional_model="Fixed effect",0,Calculations!GH$12)),"")</f>
        <v/>
      </c>
      <c r="FV90" s="39" t="str">
        <f>IF(AND(Include_study?="Yes",Sufficient_data="Yes"),1/('Publication Bias Analysis'!F:F^2+IF(Additional_model="Fixed effect",0,'Publication Bias Analysis'!L$32)),"")</f>
        <v/>
      </c>
      <c r="FW90" s="39" t="str">
        <f>IF(AND(Include_study?="Yes",Sufficient_data="Yes"),'Publication Bias Analysis'!E:E-'Publication Bias Analysis'!I$37,"")</f>
        <v/>
      </c>
      <c r="FX90" s="39" t="str">
        <f>IF(AND(Include_study?="Yes",Sufficient_data="Yes"),IF(Additional_model="Fixed effect",1/'Publication Bias Analysis'!F:F,1/SQRT('Publication Bias Analysis'!F:F^2+GH$12)),"")</f>
        <v/>
      </c>
      <c r="FY9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0" s="136" t="str">
        <f t="shared" si="317"/>
        <v/>
      </c>
      <c r="GA90" s="144" t="str">
        <f>IF(AND(Include_study?="Yes",Sufficient_data="Yes"),FZ:FZ+IF(GL:GL&lt;0,-1,1)*COUNTIF(FZ$2:FZ89,FZ:FZ),"")</f>
        <v/>
      </c>
      <c r="GB90" s="144" t="str">
        <f>IF(AND(Include_study?="Yes",Sufficient_data="Yes"),RANK(GP:GP,GP:GP,1)*IF(GO:GO&lt;0,-1,1)+IF(GO:GO&lt;0,-1,1)*COUNTIF(FZ$2:FZ89,FZ:FZ),"")</f>
        <v/>
      </c>
      <c r="GC90" s="144" t="str">
        <f>IF(AND(Include_study?="Yes",Sufficient_data="Yes"),RANK(GS:GS,GS:GS,1)*IF(GR:GR&lt;0,-1,1)+IF(GR:GR&lt;0,-1,1)*COUNTIF(FZ$2:FZ89,FZ:FZ),"")</f>
        <v/>
      </c>
      <c r="GD90" s="39" t="e">
        <f>IF(AND(Include_study?="Yes",Sufficient_data="Yes"),'Publication Bias Analysis'!E90,NA())</f>
        <v>#N/A</v>
      </c>
      <c r="GE90" s="74" t="e">
        <f>IF(AND(Include_study?="Yes",Sufficient_data="Yes"),'Publication Bias Analysis'!F90,NA())</f>
        <v>#N/A</v>
      </c>
      <c r="GK90" s="176"/>
      <c r="GL9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0" s="39" t="str">
        <f t="shared" si="318"/>
        <v/>
      </c>
      <c r="GN9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0" s="39" t="str">
        <f>IF(AND(Include_study?="Yes",Sufficient_data="Yes"),IF('Publication Bias Analysis'!L$38="Left",'Publication Bias Analysis'!E:E-GW$3,GW$3-'Publication Bias Analysis'!E:E),"")</f>
        <v/>
      </c>
      <c r="GP90" s="39" t="str">
        <f t="shared" si="330"/>
        <v/>
      </c>
      <c r="GQ9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0" s="39" t="str">
        <f>IF(AND(Include_study?="Yes",Sufficient_data="Yes"),IF('Publication Bias Analysis'!L$38="Left",'Publication Bias Analysis'!E:E-GW$10,GW$10-'Publication Bias Analysis'!E:E),"")</f>
        <v/>
      </c>
      <c r="GS90" s="39" t="str">
        <f t="shared" si="331"/>
        <v/>
      </c>
      <c r="GT9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0" s="176"/>
      <c r="HL90" s="69" t="str">
        <f t="shared" si="319"/>
        <v/>
      </c>
      <c r="HM90" s="74" t="str">
        <f>IF(AND(Include_study?="Yes",Sufficient_data="Yes"),Z_score-('Publication Bias Analysis'!P$3+'Publication Bias Analysis'!P$4*Inverse_standard_error),"")</f>
        <v/>
      </c>
      <c r="HO90" s="176"/>
      <c r="HP90" s="69" t="str">
        <f>IF(AND(Include_study?="Yes",Sufficient_data="Yes"),(GD:GD-SUMPRODUCT(Calculations!FT:FT,'Publication Bias Analysis'!E:E)/SUM(Calculations!FT:FT))/SQRT(Calculations!HQ:HQ),"")</f>
        <v/>
      </c>
      <c r="HQ90" s="69" t="str">
        <f>IF(AND(Include_study?="Yes",Sufficient_data="Yes"),GE:GE^2-1/SUM(Calculations!FT:FT),"")</f>
        <v/>
      </c>
      <c r="HR90" s="7" t="str">
        <f t="shared" si="240"/>
        <v/>
      </c>
      <c r="HS90" s="7" t="str">
        <f t="shared" si="241"/>
        <v/>
      </c>
      <c r="HT90" s="7" t="str">
        <f>IF(AND(Include_study?="Yes",Sufficient_data="Yes"),COUNTIFS(HR$2:HR89,"&lt;"&amp;HR90,HS$2:HS89,"&lt;"&amp;HS90)+COUNTIFS(HR91:HR$201,"&lt;"&amp;HR90,HS91:HS$201,"&lt;"&amp;HS90)+COUNTIFS(HR$2:HR89,"&gt;"&amp;HR90,HS$2:HS89,"&gt;"&amp;HS90)+COUNTIFS(HR91:HR$201,"&gt;"&amp;HR90,HS91:HS$201,"&gt;"&amp;HS90),"")</f>
        <v/>
      </c>
      <c r="HU90" s="104" t="str">
        <f>IF(AND(Include_study?="Yes",Sufficient_data="Yes"),COUNTIFS(HR$2:HR89,"&lt;"&amp;HR90,HS$2:HS89,"&gt;"&amp;HS90)+COUNTIFS(HR91:HR$201,"&lt;"&amp;HR90,HS91:HS$201,"&gt;"&amp;HS90)+COUNTIFS(HR$2:HR89,"&gt;"&amp;HR90,HS$2:HS89,"&lt;"&amp;HS90)+COUNTIFS(HR91:HR$201,"&gt;"&amp;HR90,HS91:HS$201,"&lt;"&amp;HS90),"")</f>
        <v/>
      </c>
      <c r="HW90" s="176"/>
      <c r="IB90" s="176"/>
      <c r="IC90" s="146" t="e">
        <f t="shared" si="320"/>
        <v>#N/A</v>
      </c>
      <c r="ID90" s="137" t="e">
        <f t="shared" si="321"/>
        <v>#N/A</v>
      </c>
      <c r="IE90" s="137" t="str">
        <f t="shared" si="322"/>
        <v/>
      </c>
      <c r="IF90" s="95" t="str">
        <f t="shared" si="323"/>
        <v/>
      </c>
      <c r="IK90" s="176"/>
      <c r="IL90" s="69" t="e">
        <f>IF(AND(Include_study?="Yes",Sufficient_data="Yes"),'Publication Bias Analysis'!AV:AV,NA())</f>
        <v>#N/A</v>
      </c>
      <c r="IM90" s="158" t="e">
        <f>IF(AND(Sufficient_data="Yes",Include_study?="Yes"),'Publication Bias Analysis'!AU:AU,NA())</f>
        <v>#N/A</v>
      </c>
      <c r="IN90" s="69" t="str">
        <f t="shared" si="219"/>
        <v/>
      </c>
      <c r="IO90" s="74" t="str">
        <f>IF(AND(Include_study?="Yes",Sufficient_data="Yes"),Z_score-('Publication Bias Analysis'!AY$30+'Publication Bias Analysis'!AY$31*Inverse_standard_error),"")</f>
        <v/>
      </c>
      <c r="IU90" s="176"/>
      <c r="IV90" s="7" t="str">
        <f>IF('Publication Bias Analysis'!BG:BG&lt;&gt;"",RANK('Publication Bias Analysis'!BG:BG,'Publication Bias Analysis'!BG:BG,1)+COUNTIF('Publication Bias Analysis'!BG$2:BG89,'Publication Bias Analysis'!BG90),"")</f>
        <v/>
      </c>
      <c r="IW90" s="124" t="str">
        <f t="shared" si="324"/>
        <v/>
      </c>
      <c r="IX90" s="125" t="e">
        <f>IF('Publication Bias Analysis'!BF90&lt;&gt;"",'Publication Bias Analysis'!BF90,NA())</f>
        <v>#N/A</v>
      </c>
      <c r="IY90" s="125" t="e">
        <f>IF('Publication Bias Analysis'!BG90&lt;&gt;"",'Publication Bias Analysis'!BG90,NA())</f>
        <v>#N/A</v>
      </c>
      <c r="IZ90" s="69" t="str">
        <f>IF(AND(Include_study?="Yes",Sufficient_data="Yes"),'Publication Bias Analysis'!BF:BF-AVERAGE('Publication Bias Analysis'!BF:BF),"")</f>
        <v/>
      </c>
      <c r="JA90" s="74" t="str">
        <f>IF(AND(Include_study?="Yes",Sufficient_data="Yes"),'Publication Bias Analysis'!BG:BG-('Publication Bias Analysis'!BJ$30+'Publication Bias Analysis'!BJ$31*'Publication Bias Analysis'!BF:BF),"")</f>
        <v/>
      </c>
      <c r="JG90" s="176"/>
      <c r="JH90" s="39" t="str">
        <f t="shared" si="325"/>
        <v/>
      </c>
      <c r="JI90" s="148" t="str">
        <f t="shared" si="332"/>
        <v/>
      </c>
      <c r="JJ90" s="74" t="str">
        <f t="shared" si="333"/>
        <v/>
      </c>
    </row>
    <row r="91" spans="1:270" x14ac:dyDescent="0.2">
      <c r="A91" s="56" t="str">
        <f t="shared" si="126"/>
        <v/>
      </c>
      <c r="B91" s="7" t="str">
        <f>IF(AND(Include_study?="Yes",Sufficient_data="Yes"),IF(Input!a_&lt;&gt;"",Input!a_,Input!n1_-Input!b_),"")</f>
        <v/>
      </c>
      <c r="C91" s="7" t="str">
        <f>IF(AND(Include_study?="Yes",Sufficient_data="Yes"),IF(Input!b_&lt;&gt;"",Input!b_,Input!n1_-Input!a_),"")</f>
        <v/>
      </c>
      <c r="D91" s="7" t="str">
        <f>IF(AND(Include_study?="Yes",Sufficient_data="Yes"),IF(Input!c_&lt;&gt;"",Input!c_,Input!n2_-Input!d_),"")</f>
        <v/>
      </c>
      <c r="E91" s="7" t="str">
        <f>IF(AND(Include_study?="Yes",Sufficient_data="Yes"),IF(Input!d_&lt;&gt;"",Input!d_,Input!n2_-Input!c_),"")</f>
        <v/>
      </c>
      <c r="F91" s="74" t="str">
        <f t="shared" si="244"/>
        <v/>
      </c>
      <c r="H91" s="196"/>
      <c r="I91" s="182"/>
      <c r="J91" s="146" t="str">
        <f t="shared" si="245"/>
        <v/>
      </c>
      <c r="K91" s="39" t="str">
        <f t="shared" si="246"/>
        <v/>
      </c>
      <c r="L91" s="39" t="str">
        <f t="shared" si="247"/>
        <v/>
      </c>
      <c r="M91" s="39" t="str">
        <f t="shared" si="248"/>
        <v/>
      </c>
      <c r="N91" s="74" t="str">
        <f t="shared" si="249"/>
        <v/>
      </c>
      <c r="P91" s="176"/>
      <c r="Q91" s="130" t="str">
        <f t="shared" si="250"/>
        <v/>
      </c>
      <c r="R91" s="39" t="str">
        <f t="shared" si="251"/>
        <v/>
      </c>
      <c r="S91" s="39" t="str">
        <f t="shared" si="252"/>
        <v/>
      </c>
      <c r="T91" s="74" t="str">
        <f t="shared" si="253"/>
        <v/>
      </c>
      <c r="V91" s="176"/>
      <c r="W91" s="130" t="str">
        <f t="shared" si="254"/>
        <v/>
      </c>
      <c r="X91" s="39" t="str">
        <f t="shared" si="255"/>
        <v/>
      </c>
      <c r="Y91" s="39" t="str">
        <f t="shared" si="256"/>
        <v/>
      </c>
      <c r="Z91" s="74" t="str">
        <f t="shared" si="257"/>
        <v/>
      </c>
      <c r="AB91" s="176"/>
      <c r="AC91" s="130" t="str">
        <f t="shared" si="258"/>
        <v/>
      </c>
      <c r="AD91" s="39" t="str">
        <f t="shared" si="259"/>
        <v/>
      </c>
      <c r="AE91" s="39" t="str">
        <f t="shared" si="260"/>
        <v/>
      </c>
      <c r="AF91" s="39" t="str">
        <f t="shared" si="261"/>
        <v/>
      </c>
      <c r="AG91" s="74" t="str">
        <f t="shared" si="262"/>
        <v/>
      </c>
      <c r="AI91" s="196"/>
      <c r="AJ9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1" s="136" t="str">
        <f>IF(AJ91&lt;&gt;"",IF(AJ91=0,COUNTIF(AJ$2:AJ90,0)+1,COUNTIF(AJ$2:AJ90,AJ91)+AJ91+COUNTIF(AJ:AJ,0)),"")</f>
        <v/>
      </c>
      <c r="AL91" s="136" t="str">
        <f t="shared" si="263"/>
        <v/>
      </c>
      <c r="AM91" s="155" t="str">
        <f>IF(AND(Include_study?="Yes",Sufficient_data="Yes",Input!Study_name&lt;&gt;""),Input!Study_name,"")</f>
        <v/>
      </c>
      <c r="AN91" s="136" t="str">
        <f t="shared" si="264"/>
        <v/>
      </c>
      <c r="AO91" s="19" t="str">
        <f t="shared" si="265"/>
        <v/>
      </c>
      <c r="AP91" s="158" t="str">
        <f t="shared" si="266"/>
        <v/>
      </c>
      <c r="AQ91" s="158" t="str">
        <f t="shared" si="267"/>
        <v/>
      </c>
      <c r="AR91" s="39" t="str">
        <f t="shared" si="268"/>
        <v/>
      </c>
      <c r="AS91" s="158" t="str">
        <f t="shared" si="269"/>
        <v/>
      </c>
      <c r="AT91" s="39" t="str">
        <f t="shared" si="270"/>
        <v/>
      </c>
      <c r="AU91" s="172" t="str">
        <f t="shared" si="271"/>
        <v/>
      </c>
      <c r="AV91" s="45"/>
      <c r="AW91" s="84" t="e">
        <f t="shared" si="152"/>
        <v>#N/A</v>
      </c>
      <c r="AX91" s="69" t="e">
        <f t="shared" si="272"/>
        <v>#N/A</v>
      </c>
      <c r="AY91" s="74" t="e">
        <f t="shared" si="273"/>
        <v>#N/A</v>
      </c>
      <c r="AZ91" s="45"/>
      <c r="BA91" s="45"/>
      <c r="BB91" s="45"/>
      <c r="BC91" s="45"/>
      <c r="BD91" s="196"/>
      <c r="BE91" s="182"/>
      <c r="BF91" s="69" t="str">
        <f t="shared" si="155"/>
        <v/>
      </c>
      <c r="BG91" s="69" t="str">
        <f t="shared" si="156"/>
        <v/>
      </c>
      <c r="BH91" s="69" t="str">
        <f t="shared" si="157"/>
        <v/>
      </c>
      <c r="BI91" s="39" t="str">
        <f t="shared" si="158"/>
        <v/>
      </c>
      <c r="BJ91" s="95" t="str">
        <f t="shared" si="274"/>
        <v/>
      </c>
      <c r="BO91" s="176"/>
      <c r="BP91" s="158" t="str">
        <f t="shared" si="275"/>
        <v/>
      </c>
      <c r="BQ91" s="158" t="str">
        <f t="shared" si="276"/>
        <v/>
      </c>
      <c r="BR91" s="158" t="str">
        <f t="shared" si="277"/>
        <v/>
      </c>
      <c r="BS91" s="158" t="str">
        <f>IF(AND(Sufficient_data="Yes",Include_study?="Yes"),IF(Add_0_5="Yes",(a_+d_+1)*(ab_+0.5)*(c_+0.5)/(Number_of_subjects+2)^2,(a_+d_)*b_*c_/Number_of_subjects^2),"")</f>
        <v/>
      </c>
      <c r="BT91" s="158" t="str">
        <f t="shared" si="278"/>
        <v/>
      </c>
      <c r="BU91" s="158" t="str">
        <f t="shared" si="279"/>
        <v/>
      </c>
      <c r="BV91" s="158" t="str">
        <f t="shared" si="280"/>
        <v/>
      </c>
      <c r="BW91" s="69" t="str">
        <f t="shared" si="166"/>
        <v/>
      </c>
      <c r="BX91" s="137" t="str">
        <f t="shared" si="167"/>
        <v/>
      </c>
      <c r="BY91" s="95" t="str">
        <f t="shared" si="281"/>
        <v/>
      </c>
      <c r="CD91" s="176"/>
      <c r="CE91" s="130" t="str">
        <f t="shared" si="282"/>
        <v/>
      </c>
      <c r="CF91" s="39" t="str">
        <f t="shared" si="283"/>
        <v/>
      </c>
      <c r="CG91" s="39" t="str">
        <f t="shared" si="284"/>
        <v/>
      </c>
      <c r="CH91" s="39" t="str">
        <f t="shared" si="285"/>
        <v/>
      </c>
      <c r="CI91" s="39" t="str">
        <f t="shared" si="286"/>
        <v/>
      </c>
      <c r="CJ91" s="39" t="str">
        <f t="shared" si="287"/>
        <v/>
      </c>
      <c r="CK91" s="95" t="str">
        <f t="shared" si="288"/>
        <v/>
      </c>
      <c r="CP91" s="176"/>
      <c r="CQ91" s="99" t="str">
        <f t="shared" si="175"/>
        <v/>
      </c>
      <c r="CX91" s="196"/>
      <c r="CY91" s="89" t="e">
        <f t="shared" si="289"/>
        <v>#N/A</v>
      </c>
      <c r="CZ91" s="136" t="str">
        <f t="shared" si="290"/>
        <v/>
      </c>
      <c r="DA91" s="140" t="str">
        <f t="shared" si="291"/>
        <v/>
      </c>
      <c r="DB91" s="39" t="str">
        <f t="shared" si="292"/>
        <v/>
      </c>
      <c r="DC91" s="39" t="str">
        <f t="shared" si="293"/>
        <v/>
      </c>
      <c r="DD91" s="39" t="str">
        <f t="shared" si="294"/>
        <v/>
      </c>
      <c r="DE91" s="39" t="str">
        <f t="shared" si="295"/>
        <v/>
      </c>
      <c r="DF91" s="141" t="str">
        <f t="shared" si="296"/>
        <v/>
      </c>
      <c r="DG91" s="39" t="str">
        <f t="shared" si="297"/>
        <v/>
      </c>
      <c r="DH91" s="39" t="str">
        <f t="shared" si="298"/>
        <v/>
      </c>
      <c r="DI91" s="39" t="str">
        <f t="shared" si="299"/>
        <v/>
      </c>
      <c r="DJ91" s="74" t="str">
        <f t="shared" si="300"/>
        <v/>
      </c>
      <c r="DK91" s="45"/>
      <c r="DL91" s="84" t="e">
        <f t="shared" si="222"/>
        <v>#N/A</v>
      </c>
      <c r="DM91" s="39" t="e">
        <f t="shared" si="301"/>
        <v>#N/A</v>
      </c>
      <c r="DN91" s="74" t="e">
        <f t="shared" si="302"/>
        <v>#N/A</v>
      </c>
      <c r="DO91" s="45"/>
      <c r="DP91" s="89" t="str">
        <f t="shared" si="326"/>
        <v/>
      </c>
      <c r="DQ91" s="26" t="str">
        <f>IF(AND(Sufficient_data="Yes",Subgroup&lt;&gt;""),IF(COUNTIFS(Input!J$2:J90,"="&amp;"Yes",Input!C$2:C90,"="&amp;"Yes",Input!K$2:K90,"="&amp;Subgroup)&gt;0,"",Subgroup),"")</f>
        <v/>
      </c>
      <c r="DR91" s="7" t="str">
        <f t="shared" si="327"/>
        <v/>
      </c>
      <c r="DS91" s="7" t="str">
        <f t="shared" si="303"/>
        <v/>
      </c>
      <c r="DT91" s="19" t="str">
        <f t="shared" si="304"/>
        <v/>
      </c>
      <c r="DU91" s="12" t="str">
        <f t="shared" si="223"/>
        <v/>
      </c>
      <c r="DV91" s="11" t="str">
        <f t="shared" si="224"/>
        <v/>
      </c>
      <c r="DW91" s="12" t="str">
        <f t="shared" si="225"/>
        <v/>
      </c>
      <c r="DX91" s="12" t="str">
        <f t="shared" si="305"/>
        <v/>
      </c>
      <c r="DY91" s="19" t="str">
        <f t="shared" si="226"/>
        <v/>
      </c>
      <c r="DZ91" s="12" t="str">
        <f t="shared" si="227"/>
        <v/>
      </c>
      <c r="EA91" s="19" t="str">
        <f t="shared" si="306"/>
        <v/>
      </c>
      <c r="EB91" s="7" t="str">
        <f t="shared" si="307"/>
        <v/>
      </c>
      <c r="EC91" s="19" t="str">
        <f t="shared" si="308"/>
        <v/>
      </c>
      <c r="ED91" s="19" t="str">
        <f t="shared" si="309"/>
        <v/>
      </c>
      <c r="EE91" s="19" t="str">
        <f t="shared" si="228"/>
        <v/>
      </c>
      <c r="EF91" s="19" t="str">
        <f t="shared" si="229"/>
        <v/>
      </c>
      <c r="EG91" s="19" t="str">
        <f t="shared" si="230"/>
        <v/>
      </c>
      <c r="EH91" s="19" t="str">
        <f t="shared" si="231"/>
        <v/>
      </c>
      <c r="EI91" s="19" t="str">
        <f t="shared" si="232"/>
        <v/>
      </c>
      <c r="EJ91" s="19" t="str">
        <f t="shared" si="310"/>
        <v/>
      </c>
      <c r="EK91" s="19" t="str">
        <f t="shared" si="311"/>
        <v/>
      </c>
      <c r="EL91" s="19" t="str">
        <f t="shared" si="233"/>
        <v/>
      </c>
      <c r="EM91" s="19" t="str">
        <f t="shared" si="234"/>
        <v/>
      </c>
      <c r="EN91" s="19" t="str">
        <f t="shared" si="235"/>
        <v/>
      </c>
      <c r="EO91" s="19" t="str">
        <f t="shared" si="236"/>
        <v/>
      </c>
      <c r="EP91" s="19" t="str">
        <f t="shared" si="237"/>
        <v/>
      </c>
      <c r="EQ91" s="19" t="e">
        <f t="shared" si="238"/>
        <v>#N/A</v>
      </c>
      <c r="ER91" s="11" t="str">
        <f t="shared" si="328"/>
        <v/>
      </c>
      <c r="ES91" s="19" t="str">
        <f t="shared" si="329"/>
        <v/>
      </c>
      <c r="ET91" s="156" t="str">
        <f t="shared" si="312"/>
        <v/>
      </c>
      <c r="EU91" s="39" t="str">
        <f t="shared" si="239"/>
        <v/>
      </c>
      <c r="EV91" s="74" t="str">
        <f t="shared" si="313"/>
        <v/>
      </c>
      <c r="FA91" s="196"/>
      <c r="FB91" s="84" t="e">
        <f>IF(AND(Include_study?="Yes",Sufficient_data="Yes",Moderator&lt;&gt;""),'Moderator Analysis'!E91,NA())</f>
        <v>#N/A</v>
      </c>
      <c r="FC91" s="39" t="e">
        <f>IF(AND(Include_study?="Yes",Sufficient_data="Yes",Moderator&lt;&gt;""),'Moderator Analysis'!F91,NA())</f>
        <v>#N/A</v>
      </c>
      <c r="FD91" s="39" t="str">
        <f t="shared" si="314"/>
        <v/>
      </c>
      <c r="FE91" s="39" t="str">
        <f t="shared" si="315"/>
        <v/>
      </c>
      <c r="FF91" s="39" t="str">
        <f>IF(AND(Include_study?="Yes",Sufficient_data="Yes",Moderator&lt;&gt;""),'Moderator Analysis'!F:F-FP$2,"")</f>
        <v/>
      </c>
      <c r="FG91" s="39" t="str">
        <f>IF(AND(Include_study?="Yes",Sufficient_data="Yes",Moderator&lt;&gt;""),'Moderator Analysis'!E:E-FP$3,"")</f>
        <v/>
      </c>
      <c r="FH91" s="74" t="str">
        <f>IF(AND(Include_study?="Yes",Sufficient_data="Yes",Moderator&lt;&gt;""),FE:FE*('Moderator Analysis'!F:F-FP$5-FP$4*'Moderator Analysis'!E:E)^2,"")</f>
        <v/>
      </c>
      <c r="FI91" s="128"/>
      <c r="FJ91" s="92" t="str">
        <f t="shared" si="316"/>
        <v/>
      </c>
      <c r="FK91" s="137" t="str">
        <f>IF(AND(Include_study?="Yes",Sufficient_data="Yes",Moderator&lt;&gt;""),'Moderator Analysis'!F:F-'Moderator Analysis'!J$37,"")</f>
        <v/>
      </c>
      <c r="FL91" s="137" t="str">
        <f>IF(AND(Include_study?="Yes",Sufficient_data="Yes",Moderator&lt;&gt;""),'Moderator Analysis'!E:E-SUMPRODUCT('Moderator Analysis'!E:E,FJ:FJ)/SUM(FJ:FJ),"")</f>
        <v/>
      </c>
      <c r="FM91" s="95" t="str">
        <f>IF(AND(Include_study?="Yes",Sufficient_data="Yes",Moderator&lt;&gt;""),FJ:FJ*('Moderator Analysis'!F:F-'Moderator Analysis'!J$29-'Moderator Analysis'!J$30*'Moderator Analysis'!E:E)^2,"")</f>
        <v/>
      </c>
      <c r="FR91" s="196"/>
      <c r="FS91" s="182"/>
      <c r="FT9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1" s="39" t="str">
        <f>IF(AND(Include_study?="Yes",Sufficient_data="Yes"),1/('Publication Bias Analysis'!F:F^2+IF(Additional_model="Fixed effect",0,Calculations!GH$12)),"")</f>
        <v/>
      </c>
      <c r="FV91" s="39" t="str">
        <f>IF(AND(Include_study?="Yes",Sufficient_data="Yes"),1/('Publication Bias Analysis'!F:F^2+IF(Additional_model="Fixed effect",0,'Publication Bias Analysis'!L$32)),"")</f>
        <v/>
      </c>
      <c r="FW91" s="39" t="str">
        <f>IF(AND(Include_study?="Yes",Sufficient_data="Yes"),'Publication Bias Analysis'!E:E-'Publication Bias Analysis'!I$37,"")</f>
        <v/>
      </c>
      <c r="FX91" s="39" t="str">
        <f>IF(AND(Include_study?="Yes",Sufficient_data="Yes"),IF(Additional_model="Fixed effect",1/'Publication Bias Analysis'!F:F,1/SQRT('Publication Bias Analysis'!F:F^2+GH$12)),"")</f>
        <v/>
      </c>
      <c r="FY9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1" s="136" t="str">
        <f t="shared" si="317"/>
        <v/>
      </c>
      <c r="GA91" s="144" t="str">
        <f>IF(AND(Include_study?="Yes",Sufficient_data="Yes"),FZ:FZ+IF(GL:GL&lt;0,-1,1)*COUNTIF(FZ$2:FZ90,FZ:FZ),"")</f>
        <v/>
      </c>
      <c r="GB91" s="144" t="str">
        <f>IF(AND(Include_study?="Yes",Sufficient_data="Yes"),RANK(GP:GP,GP:GP,1)*IF(GO:GO&lt;0,-1,1)+IF(GO:GO&lt;0,-1,1)*COUNTIF(FZ$2:FZ90,FZ:FZ),"")</f>
        <v/>
      </c>
      <c r="GC91" s="144" t="str">
        <f>IF(AND(Include_study?="Yes",Sufficient_data="Yes"),RANK(GS:GS,GS:GS,1)*IF(GR:GR&lt;0,-1,1)+IF(GR:GR&lt;0,-1,1)*COUNTIF(FZ$2:FZ90,FZ:FZ),"")</f>
        <v/>
      </c>
      <c r="GD91" s="39" t="e">
        <f>IF(AND(Include_study?="Yes",Sufficient_data="Yes"),'Publication Bias Analysis'!E91,NA())</f>
        <v>#N/A</v>
      </c>
      <c r="GE91" s="74" t="e">
        <f>IF(AND(Include_study?="Yes",Sufficient_data="Yes"),'Publication Bias Analysis'!F91,NA())</f>
        <v>#N/A</v>
      </c>
      <c r="GK91" s="176"/>
      <c r="GL9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1" s="39" t="str">
        <f t="shared" si="318"/>
        <v/>
      </c>
      <c r="GN9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1" s="39" t="str">
        <f>IF(AND(Include_study?="Yes",Sufficient_data="Yes"),IF('Publication Bias Analysis'!L$38="Left",'Publication Bias Analysis'!E:E-GW$3,GW$3-'Publication Bias Analysis'!E:E),"")</f>
        <v/>
      </c>
      <c r="GP91" s="39" t="str">
        <f t="shared" si="330"/>
        <v/>
      </c>
      <c r="GQ9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1" s="39" t="str">
        <f>IF(AND(Include_study?="Yes",Sufficient_data="Yes"),IF('Publication Bias Analysis'!L$38="Left",'Publication Bias Analysis'!E:E-GW$10,GW$10-'Publication Bias Analysis'!E:E),"")</f>
        <v/>
      </c>
      <c r="GS91" s="39" t="str">
        <f t="shared" si="331"/>
        <v/>
      </c>
      <c r="GT9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1" s="176"/>
      <c r="HL91" s="69" t="str">
        <f t="shared" si="319"/>
        <v/>
      </c>
      <c r="HM91" s="74" t="str">
        <f>IF(AND(Include_study?="Yes",Sufficient_data="Yes"),Z_score-('Publication Bias Analysis'!P$3+'Publication Bias Analysis'!P$4*Inverse_standard_error),"")</f>
        <v/>
      </c>
      <c r="HO91" s="176"/>
      <c r="HP91" s="69" t="str">
        <f>IF(AND(Include_study?="Yes",Sufficient_data="Yes"),(GD:GD-SUMPRODUCT(Calculations!FT:FT,'Publication Bias Analysis'!E:E)/SUM(Calculations!FT:FT))/SQRT(Calculations!HQ:HQ),"")</f>
        <v/>
      </c>
      <c r="HQ91" s="69" t="str">
        <f>IF(AND(Include_study?="Yes",Sufficient_data="Yes"),GE:GE^2-1/SUM(Calculations!FT:FT),"")</f>
        <v/>
      </c>
      <c r="HR91" s="7" t="str">
        <f t="shared" si="240"/>
        <v/>
      </c>
      <c r="HS91" s="7" t="str">
        <f t="shared" si="241"/>
        <v/>
      </c>
      <c r="HT91" s="7" t="str">
        <f>IF(AND(Include_study?="Yes",Sufficient_data="Yes"),COUNTIFS(HR$2:HR90,"&lt;"&amp;HR91,HS$2:HS90,"&lt;"&amp;HS91)+COUNTIFS(HR92:HR$201,"&lt;"&amp;HR91,HS92:HS$201,"&lt;"&amp;HS91)+COUNTIFS(HR$2:HR90,"&gt;"&amp;HR91,HS$2:HS90,"&gt;"&amp;HS91)+COUNTIFS(HR92:HR$201,"&gt;"&amp;HR91,HS92:HS$201,"&gt;"&amp;HS91),"")</f>
        <v/>
      </c>
      <c r="HU91" s="104" t="str">
        <f>IF(AND(Include_study?="Yes",Sufficient_data="Yes"),COUNTIFS(HR$2:HR90,"&lt;"&amp;HR91,HS$2:HS90,"&gt;"&amp;HS91)+COUNTIFS(HR92:HR$201,"&lt;"&amp;HR91,HS92:HS$201,"&gt;"&amp;HS91)+COUNTIFS(HR$2:HR90,"&gt;"&amp;HR91,HS$2:HS90,"&lt;"&amp;HS91)+COUNTIFS(HR92:HR$201,"&gt;"&amp;HR91,HS92:HS$201,"&lt;"&amp;HS91),"")</f>
        <v/>
      </c>
      <c r="HW91" s="176"/>
      <c r="IB91" s="176"/>
      <c r="IC91" s="146" t="e">
        <f t="shared" si="320"/>
        <v>#N/A</v>
      </c>
      <c r="ID91" s="137" t="e">
        <f t="shared" si="321"/>
        <v>#N/A</v>
      </c>
      <c r="IE91" s="137" t="str">
        <f t="shared" si="322"/>
        <v/>
      </c>
      <c r="IF91" s="95" t="str">
        <f t="shared" si="323"/>
        <v/>
      </c>
      <c r="IK91" s="176"/>
      <c r="IL91" s="69" t="e">
        <f>IF(AND(Include_study?="Yes",Sufficient_data="Yes"),'Publication Bias Analysis'!AV:AV,NA())</f>
        <v>#N/A</v>
      </c>
      <c r="IM91" s="158" t="e">
        <f>IF(AND(Sufficient_data="Yes",Include_study?="Yes"),'Publication Bias Analysis'!AU:AU,NA())</f>
        <v>#N/A</v>
      </c>
      <c r="IN91" s="69" t="str">
        <f t="shared" si="219"/>
        <v/>
      </c>
      <c r="IO91" s="74" t="str">
        <f>IF(AND(Include_study?="Yes",Sufficient_data="Yes"),Z_score-('Publication Bias Analysis'!AY$30+'Publication Bias Analysis'!AY$31*Inverse_standard_error),"")</f>
        <v/>
      </c>
      <c r="IU91" s="176"/>
      <c r="IV91" s="7" t="str">
        <f>IF('Publication Bias Analysis'!BG:BG&lt;&gt;"",RANK('Publication Bias Analysis'!BG:BG,'Publication Bias Analysis'!BG:BG,1)+COUNTIF('Publication Bias Analysis'!BG$2:BG90,'Publication Bias Analysis'!BG91),"")</f>
        <v/>
      </c>
      <c r="IW91" s="124" t="str">
        <f t="shared" si="324"/>
        <v/>
      </c>
      <c r="IX91" s="125" t="e">
        <f>IF('Publication Bias Analysis'!BF91&lt;&gt;"",'Publication Bias Analysis'!BF91,NA())</f>
        <v>#N/A</v>
      </c>
      <c r="IY91" s="125" t="e">
        <f>IF('Publication Bias Analysis'!BG91&lt;&gt;"",'Publication Bias Analysis'!BG91,NA())</f>
        <v>#N/A</v>
      </c>
      <c r="IZ91" s="69" t="str">
        <f>IF(AND(Include_study?="Yes",Sufficient_data="Yes"),'Publication Bias Analysis'!BF:BF-AVERAGE('Publication Bias Analysis'!BF:BF),"")</f>
        <v/>
      </c>
      <c r="JA91" s="74" t="str">
        <f>IF(AND(Include_study?="Yes",Sufficient_data="Yes"),'Publication Bias Analysis'!BG:BG-('Publication Bias Analysis'!BJ$30+'Publication Bias Analysis'!BJ$31*'Publication Bias Analysis'!BF:BF),"")</f>
        <v/>
      </c>
      <c r="JG91" s="176"/>
      <c r="JH91" s="39" t="str">
        <f t="shared" si="325"/>
        <v/>
      </c>
      <c r="JI91" s="148" t="str">
        <f t="shared" si="332"/>
        <v/>
      </c>
      <c r="JJ91" s="74" t="str">
        <f t="shared" si="333"/>
        <v/>
      </c>
    </row>
    <row r="92" spans="1:270" x14ac:dyDescent="0.2">
      <c r="A92" s="56" t="str">
        <f t="shared" si="126"/>
        <v/>
      </c>
      <c r="B92" s="7" t="str">
        <f>IF(AND(Include_study?="Yes",Sufficient_data="Yes"),IF(Input!a_&lt;&gt;"",Input!a_,Input!n1_-Input!b_),"")</f>
        <v/>
      </c>
      <c r="C92" s="7" t="str">
        <f>IF(AND(Include_study?="Yes",Sufficient_data="Yes"),IF(Input!b_&lt;&gt;"",Input!b_,Input!n1_-Input!a_),"")</f>
        <v/>
      </c>
      <c r="D92" s="7" t="str">
        <f>IF(AND(Include_study?="Yes",Sufficient_data="Yes"),IF(Input!c_&lt;&gt;"",Input!c_,Input!n2_-Input!d_),"")</f>
        <v/>
      </c>
      <c r="E92" s="7" t="str">
        <f>IF(AND(Include_study?="Yes",Sufficient_data="Yes"),IF(Input!d_&lt;&gt;"",Input!d_,Input!n2_-Input!c_),"")</f>
        <v/>
      </c>
      <c r="F92" s="74" t="str">
        <f t="shared" si="244"/>
        <v/>
      </c>
      <c r="H92" s="196"/>
      <c r="I92" s="182"/>
      <c r="J92" s="146" t="str">
        <f t="shared" si="245"/>
        <v/>
      </c>
      <c r="K92" s="39" t="str">
        <f t="shared" si="246"/>
        <v/>
      </c>
      <c r="L92" s="39" t="str">
        <f t="shared" si="247"/>
        <v/>
      </c>
      <c r="M92" s="39" t="str">
        <f t="shared" si="248"/>
        <v/>
      </c>
      <c r="N92" s="74" t="str">
        <f t="shared" si="249"/>
        <v/>
      </c>
      <c r="P92" s="176"/>
      <c r="Q92" s="130" t="str">
        <f t="shared" si="250"/>
        <v/>
      </c>
      <c r="R92" s="39" t="str">
        <f t="shared" si="251"/>
        <v/>
      </c>
      <c r="S92" s="39" t="str">
        <f t="shared" si="252"/>
        <v/>
      </c>
      <c r="T92" s="74" t="str">
        <f t="shared" si="253"/>
        <v/>
      </c>
      <c r="V92" s="176"/>
      <c r="W92" s="130" t="str">
        <f t="shared" si="254"/>
        <v/>
      </c>
      <c r="X92" s="39" t="str">
        <f t="shared" si="255"/>
        <v/>
      </c>
      <c r="Y92" s="39" t="str">
        <f t="shared" si="256"/>
        <v/>
      </c>
      <c r="Z92" s="74" t="str">
        <f t="shared" si="257"/>
        <v/>
      </c>
      <c r="AB92" s="176"/>
      <c r="AC92" s="130" t="str">
        <f t="shared" si="258"/>
        <v/>
      </c>
      <c r="AD92" s="39" t="str">
        <f t="shared" si="259"/>
        <v/>
      </c>
      <c r="AE92" s="39" t="str">
        <f t="shared" si="260"/>
        <v/>
      </c>
      <c r="AF92" s="39" t="str">
        <f t="shared" si="261"/>
        <v/>
      </c>
      <c r="AG92" s="74" t="str">
        <f t="shared" si="262"/>
        <v/>
      </c>
      <c r="AI92" s="196"/>
      <c r="AJ9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2" s="136" t="str">
        <f>IF(AJ92&lt;&gt;"",IF(AJ92=0,COUNTIF(AJ$2:AJ91,0)+1,COUNTIF(AJ$2:AJ91,AJ92)+AJ92+COUNTIF(AJ:AJ,0)),"")</f>
        <v/>
      </c>
      <c r="AL92" s="136" t="str">
        <f t="shared" si="263"/>
        <v/>
      </c>
      <c r="AM92" s="155" t="str">
        <f>IF(AND(Include_study?="Yes",Sufficient_data="Yes",Input!Study_name&lt;&gt;""),Input!Study_name,"")</f>
        <v/>
      </c>
      <c r="AN92" s="136" t="str">
        <f t="shared" si="264"/>
        <v/>
      </c>
      <c r="AO92" s="19" t="str">
        <f t="shared" si="265"/>
        <v/>
      </c>
      <c r="AP92" s="158" t="str">
        <f t="shared" si="266"/>
        <v/>
      </c>
      <c r="AQ92" s="158" t="str">
        <f t="shared" si="267"/>
        <v/>
      </c>
      <c r="AR92" s="39" t="str">
        <f t="shared" si="268"/>
        <v/>
      </c>
      <c r="AS92" s="158" t="str">
        <f t="shared" si="269"/>
        <v/>
      </c>
      <c r="AT92" s="39" t="str">
        <f t="shared" si="270"/>
        <v/>
      </c>
      <c r="AU92" s="172" t="str">
        <f t="shared" si="271"/>
        <v/>
      </c>
      <c r="AV92" s="45"/>
      <c r="AW92" s="84" t="e">
        <f t="shared" si="152"/>
        <v>#N/A</v>
      </c>
      <c r="AX92" s="69" t="e">
        <f t="shared" si="272"/>
        <v>#N/A</v>
      </c>
      <c r="AY92" s="74" t="e">
        <f t="shared" si="273"/>
        <v>#N/A</v>
      </c>
      <c r="AZ92" s="45"/>
      <c r="BA92" s="45"/>
      <c r="BB92" s="45"/>
      <c r="BC92" s="45"/>
      <c r="BD92" s="196"/>
      <c r="BE92" s="182"/>
      <c r="BF92" s="69" t="str">
        <f t="shared" si="155"/>
        <v/>
      </c>
      <c r="BG92" s="69" t="str">
        <f t="shared" si="156"/>
        <v/>
      </c>
      <c r="BH92" s="69" t="str">
        <f t="shared" si="157"/>
        <v/>
      </c>
      <c r="BI92" s="39" t="str">
        <f t="shared" si="158"/>
        <v/>
      </c>
      <c r="BJ92" s="95" t="str">
        <f t="shared" si="274"/>
        <v/>
      </c>
      <c r="BO92" s="176"/>
      <c r="BP92" s="158" t="str">
        <f t="shared" si="275"/>
        <v/>
      </c>
      <c r="BQ92" s="158" t="str">
        <f t="shared" si="276"/>
        <v/>
      </c>
      <c r="BR92" s="158" t="str">
        <f t="shared" si="277"/>
        <v/>
      </c>
      <c r="BS92" s="158" t="str">
        <f>IF(AND(Sufficient_data="Yes",Include_study?="Yes"),IF(Add_0_5="Yes",(a_+d_+1)*(ab_+0.5)*(c_+0.5)/(Number_of_subjects+2)^2,(a_+d_)*b_*c_/Number_of_subjects^2),"")</f>
        <v/>
      </c>
      <c r="BT92" s="158" t="str">
        <f t="shared" si="278"/>
        <v/>
      </c>
      <c r="BU92" s="158" t="str">
        <f t="shared" si="279"/>
        <v/>
      </c>
      <c r="BV92" s="158" t="str">
        <f t="shared" si="280"/>
        <v/>
      </c>
      <c r="BW92" s="69" t="str">
        <f t="shared" si="166"/>
        <v/>
      </c>
      <c r="BX92" s="137" t="str">
        <f t="shared" si="167"/>
        <v/>
      </c>
      <c r="BY92" s="95" t="str">
        <f t="shared" si="281"/>
        <v/>
      </c>
      <c r="CD92" s="176"/>
      <c r="CE92" s="130" t="str">
        <f t="shared" si="282"/>
        <v/>
      </c>
      <c r="CF92" s="39" t="str">
        <f t="shared" si="283"/>
        <v/>
      </c>
      <c r="CG92" s="39" t="str">
        <f t="shared" si="284"/>
        <v/>
      </c>
      <c r="CH92" s="39" t="str">
        <f t="shared" si="285"/>
        <v/>
      </c>
      <c r="CI92" s="39" t="str">
        <f t="shared" si="286"/>
        <v/>
      </c>
      <c r="CJ92" s="39" t="str">
        <f t="shared" si="287"/>
        <v/>
      </c>
      <c r="CK92" s="95" t="str">
        <f t="shared" si="288"/>
        <v/>
      </c>
      <c r="CP92" s="176"/>
      <c r="CQ92" s="99" t="str">
        <f t="shared" si="175"/>
        <v/>
      </c>
      <c r="CX92" s="196"/>
      <c r="CY92" s="89" t="e">
        <f t="shared" si="289"/>
        <v>#N/A</v>
      </c>
      <c r="CZ92" s="136" t="str">
        <f t="shared" si="290"/>
        <v/>
      </c>
      <c r="DA92" s="140" t="str">
        <f t="shared" si="291"/>
        <v/>
      </c>
      <c r="DB92" s="39" t="str">
        <f t="shared" si="292"/>
        <v/>
      </c>
      <c r="DC92" s="39" t="str">
        <f t="shared" si="293"/>
        <v/>
      </c>
      <c r="DD92" s="39" t="str">
        <f t="shared" si="294"/>
        <v/>
      </c>
      <c r="DE92" s="39" t="str">
        <f t="shared" si="295"/>
        <v/>
      </c>
      <c r="DF92" s="141" t="str">
        <f t="shared" si="296"/>
        <v/>
      </c>
      <c r="DG92" s="39" t="str">
        <f t="shared" si="297"/>
        <v/>
      </c>
      <c r="DH92" s="39" t="str">
        <f t="shared" si="298"/>
        <v/>
      </c>
      <c r="DI92" s="39" t="str">
        <f t="shared" si="299"/>
        <v/>
      </c>
      <c r="DJ92" s="74" t="str">
        <f t="shared" si="300"/>
        <v/>
      </c>
      <c r="DK92" s="45"/>
      <c r="DL92" s="84" t="e">
        <f t="shared" si="222"/>
        <v>#N/A</v>
      </c>
      <c r="DM92" s="39" t="e">
        <f t="shared" si="301"/>
        <v>#N/A</v>
      </c>
      <c r="DN92" s="74" t="e">
        <f t="shared" si="302"/>
        <v>#N/A</v>
      </c>
      <c r="DO92" s="45"/>
      <c r="DP92" s="89" t="str">
        <f t="shared" si="326"/>
        <v/>
      </c>
      <c r="DQ92" s="26" t="str">
        <f>IF(AND(Sufficient_data="Yes",Subgroup&lt;&gt;""),IF(COUNTIFS(Input!J$2:J91,"="&amp;"Yes",Input!C$2:C91,"="&amp;"Yes",Input!K$2:K91,"="&amp;Subgroup)&gt;0,"",Subgroup),"")</f>
        <v/>
      </c>
      <c r="DR92" s="7" t="str">
        <f t="shared" si="327"/>
        <v/>
      </c>
      <c r="DS92" s="7" t="str">
        <f t="shared" si="303"/>
        <v/>
      </c>
      <c r="DT92" s="19" t="str">
        <f t="shared" si="304"/>
        <v/>
      </c>
      <c r="DU92" s="12" t="str">
        <f t="shared" si="223"/>
        <v/>
      </c>
      <c r="DV92" s="11" t="str">
        <f t="shared" si="224"/>
        <v/>
      </c>
      <c r="DW92" s="12" t="str">
        <f t="shared" si="225"/>
        <v/>
      </c>
      <c r="DX92" s="12" t="str">
        <f t="shared" si="305"/>
        <v/>
      </c>
      <c r="DY92" s="19" t="str">
        <f t="shared" si="226"/>
        <v/>
      </c>
      <c r="DZ92" s="12" t="str">
        <f t="shared" si="227"/>
        <v/>
      </c>
      <c r="EA92" s="19" t="str">
        <f t="shared" si="306"/>
        <v/>
      </c>
      <c r="EB92" s="7" t="str">
        <f t="shared" si="307"/>
        <v/>
      </c>
      <c r="EC92" s="19" t="str">
        <f t="shared" si="308"/>
        <v/>
      </c>
      <c r="ED92" s="19" t="str">
        <f t="shared" si="309"/>
        <v/>
      </c>
      <c r="EE92" s="19" t="str">
        <f t="shared" si="228"/>
        <v/>
      </c>
      <c r="EF92" s="19" t="str">
        <f t="shared" si="229"/>
        <v/>
      </c>
      <c r="EG92" s="19" t="str">
        <f t="shared" si="230"/>
        <v/>
      </c>
      <c r="EH92" s="19" t="str">
        <f t="shared" si="231"/>
        <v/>
      </c>
      <c r="EI92" s="19" t="str">
        <f t="shared" si="232"/>
        <v/>
      </c>
      <c r="EJ92" s="19" t="str">
        <f t="shared" si="310"/>
        <v/>
      </c>
      <c r="EK92" s="19" t="str">
        <f t="shared" si="311"/>
        <v/>
      </c>
      <c r="EL92" s="19" t="str">
        <f t="shared" si="233"/>
        <v/>
      </c>
      <c r="EM92" s="19" t="str">
        <f t="shared" si="234"/>
        <v/>
      </c>
      <c r="EN92" s="19" t="str">
        <f t="shared" si="235"/>
        <v/>
      </c>
      <c r="EO92" s="19" t="str">
        <f t="shared" si="236"/>
        <v/>
      </c>
      <c r="EP92" s="19" t="str">
        <f t="shared" si="237"/>
        <v/>
      </c>
      <c r="EQ92" s="19" t="e">
        <f t="shared" si="238"/>
        <v>#N/A</v>
      </c>
      <c r="ER92" s="11" t="str">
        <f t="shared" si="328"/>
        <v/>
      </c>
      <c r="ES92" s="19" t="str">
        <f t="shared" si="329"/>
        <v/>
      </c>
      <c r="ET92" s="156" t="str">
        <f t="shared" si="312"/>
        <v/>
      </c>
      <c r="EU92" s="39" t="str">
        <f t="shared" si="239"/>
        <v/>
      </c>
      <c r="EV92" s="74" t="str">
        <f t="shared" si="313"/>
        <v/>
      </c>
      <c r="FA92" s="196"/>
      <c r="FB92" s="84" t="e">
        <f>IF(AND(Include_study?="Yes",Sufficient_data="Yes",Moderator&lt;&gt;""),'Moderator Analysis'!E92,NA())</f>
        <v>#N/A</v>
      </c>
      <c r="FC92" s="39" t="e">
        <f>IF(AND(Include_study?="Yes",Sufficient_data="Yes",Moderator&lt;&gt;""),'Moderator Analysis'!F92,NA())</f>
        <v>#N/A</v>
      </c>
      <c r="FD92" s="39" t="str">
        <f t="shared" si="314"/>
        <v/>
      </c>
      <c r="FE92" s="39" t="str">
        <f t="shared" si="315"/>
        <v/>
      </c>
      <c r="FF92" s="39" t="str">
        <f>IF(AND(Include_study?="Yes",Sufficient_data="Yes",Moderator&lt;&gt;""),'Moderator Analysis'!F:F-FP$2,"")</f>
        <v/>
      </c>
      <c r="FG92" s="39" t="str">
        <f>IF(AND(Include_study?="Yes",Sufficient_data="Yes",Moderator&lt;&gt;""),'Moderator Analysis'!E:E-FP$3,"")</f>
        <v/>
      </c>
      <c r="FH92" s="74" t="str">
        <f>IF(AND(Include_study?="Yes",Sufficient_data="Yes",Moderator&lt;&gt;""),FE:FE*('Moderator Analysis'!F:F-FP$5-FP$4*'Moderator Analysis'!E:E)^2,"")</f>
        <v/>
      </c>
      <c r="FI92" s="128"/>
      <c r="FJ92" s="92" t="str">
        <f t="shared" si="316"/>
        <v/>
      </c>
      <c r="FK92" s="137" t="str">
        <f>IF(AND(Include_study?="Yes",Sufficient_data="Yes",Moderator&lt;&gt;""),'Moderator Analysis'!F:F-'Moderator Analysis'!J$37,"")</f>
        <v/>
      </c>
      <c r="FL92" s="137" t="str">
        <f>IF(AND(Include_study?="Yes",Sufficient_data="Yes",Moderator&lt;&gt;""),'Moderator Analysis'!E:E-SUMPRODUCT('Moderator Analysis'!E:E,FJ:FJ)/SUM(FJ:FJ),"")</f>
        <v/>
      </c>
      <c r="FM92" s="95" t="str">
        <f>IF(AND(Include_study?="Yes",Sufficient_data="Yes",Moderator&lt;&gt;""),FJ:FJ*('Moderator Analysis'!F:F-'Moderator Analysis'!J$29-'Moderator Analysis'!J$30*'Moderator Analysis'!E:E)^2,"")</f>
        <v/>
      </c>
      <c r="FR92" s="196"/>
      <c r="FS92" s="182"/>
      <c r="FT9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2" s="39" t="str">
        <f>IF(AND(Include_study?="Yes",Sufficient_data="Yes"),1/('Publication Bias Analysis'!F:F^2+IF(Additional_model="Fixed effect",0,Calculations!GH$12)),"")</f>
        <v/>
      </c>
      <c r="FV92" s="39" t="str">
        <f>IF(AND(Include_study?="Yes",Sufficient_data="Yes"),1/('Publication Bias Analysis'!F:F^2+IF(Additional_model="Fixed effect",0,'Publication Bias Analysis'!L$32)),"")</f>
        <v/>
      </c>
      <c r="FW92" s="39" t="str">
        <f>IF(AND(Include_study?="Yes",Sufficient_data="Yes"),'Publication Bias Analysis'!E:E-'Publication Bias Analysis'!I$37,"")</f>
        <v/>
      </c>
      <c r="FX92" s="39" t="str">
        <f>IF(AND(Include_study?="Yes",Sufficient_data="Yes"),IF(Additional_model="Fixed effect",1/'Publication Bias Analysis'!F:F,1/SQRT('Publication Bias Analysis'!F:F^2+GH$12)),"")</f>
        <v/>
      </c>
      <c r="FY9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2" s="136" t="str">
        <f t="shared" si="317"/>
        <v/>
      </c>
      <c r="GA92" s="144" t="str">
        <f>IF(AND(Include_study?="Yes",Sufficient_data="Yes"),FZ:FZ+IF(GL:GL&lt;0,-1,1)*COUNTIF(FZ$2:FZ91,FZ:FZ),"")</f>
        <v/>
      </c>
      <c r="GB92" s="144" t="str">
        <f>IF(AND(Include_study?="Yes",Sufficient_data="Yes"),RANK(GP:GP,GP:GP,1)*IF(GO:GO&lt;0,-1,1)+IF(GO:GO&lt;0,-1,1)*COUNTIF(FZ$2:FZ91,FZ:FZ),"")</f>
        <v/>
      </c>
      <c r="GC92" s="144" t="str">
        <f>IF(AND(Include_study?="Yes",Sufficient_data="Yes"),RANK(GS:GS,GS:GS,1)*IF(GR:GR&lt;0,-1,1)+IF(GR:GR&lt;0,-1,1)*COUNTIF(FZ$2:FZ91,FZ:FZ),"")</f>
        <v/>
      </c>
      <c r="GD92" s="39" t="e">
        <f>IF(AND(Include_study?="Yes",Sufficient_data="Yes"),'Publication Bias Analysis'!E92,NA())</f>
        <v>#N/A</v>
      </c>
      <c r="GE92" s="74" t="e">
        <f>IF(AND(Include_study?="Yes",Sufficient_data="Yes"),'Publication Bias Analysis'!F92,NA())</f>
        <v>#N/A</v>
      </c>
      <c r="GK92" s="176"/>
      <c r="GL9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2" s="39" t="str">
        <f t="shared" si="318"/>
        <v/>
      </c>
      <c r="GN9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2" s="39" t="str">
        <f>IF(AND(Include_study?="Yes",Sufficient_data="Yes"),IF('Publication Bias Analysis'!L$38="Left",'Publication Bias Analysis'!E:E-GW$3,GW$3-'Publication Bias Analysis'!E:E),"")</f>
        <v/>
      </c>
      <c r="GP92" s="39" t="str">
        <f t="shared" si="330"/>
        <v/>
      </c>
      <c r="GQ9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2" s="39" t="str">
        <f>IF(AND(Include_study?="Yes",Sufficient_data="Yes"),IF('Publication Bias Analysis'!L$38="Left",'Publication Bias Analysis'!E:E-GW$10,GW$10-'Publication Bias Analysis'!E:E),"")</f>
        <v/>
      </c>
      <c r="GS92" s="39" t="str">
        <f t="shared" si="331"/>
        <v/>
      </c>
      <c r="GT9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2" s="176"/>
      <c r="HL92" s="69" t="str">
        <f t="shared" si="319"/>
        <v/>
      </c>
      <c r="HM92" s="74" t="str">
        <f>IF(AND(Include_study?="Yes",Sufficient_data="Yes"),Z_score-('Publication Bias Analysis'!P$3+'Publication Bias Analysis'!P$4*Inverse_standard_error),"")</f>
        <v/>
      </c>
      <c r="HO92" s="176"/>
      <c r="HP92" s="69" t="str">
        <f>IF(AND(Include_study?="Yes",Sufficient_data="Yes"),(GD:GD-SUMPRODUCT(Calculations!FT:FT,'Publication Bias Analysis'!E:E)/SUM(Calculations!FT:FT))/SQRT(Calculations!HQ:HQ),"")</f>
        <v/>
      </c>
      <c r="HQ92" s="69" t="str">
        <f>IF(AND(Include_study?="Yes",Sufficient_data="Yes"),GE:GE^2-1/SUM(Calculations!FT:FT),"")</f>
        <v/>
      </c>
      <c r="HR92" s="7" t="str">
        <f t="shared" si="240"/>
        <v/>
      </c>
      <c r="HS92" s="7" t="str">
        <f t="shared" si="241"/>
        <v/>
      </c>
      <c r="HT92" s="7" t="str">
        <f>IF(AND(Include_study?="Yes",Sufficient_data="Yes"),COUNTIFS(HR$2:HR91,"&lt;"&amp;HR92,HS$2:HS91,"&lt;"&amp;HS92)+COUNTIFS(HR93:HR$201,"&lt;"&amp;HR92,HS93:HS$201,"&lt;"&amp;HS92)+COUNTIFS(HR$2:HR91,"&gt;"&amp;HR92,HS$2:HS91,"&gt;"&amp;HS92)+COUNTIFS(HR93:HR$201,"&gt;"&amp;HR92,HS93:HS$201,"&gt;"&amp;HS92),"")</f>
        <v/>
      </c>
      <c r="HU92" s="104" t="str">
        <f>IF(AND(Include_study?="Yes",Sufficient_data="Yes"),COUNTIFS(HR$2:HR91,"&lt;"&amp;HR92,HS$2:HS91,"&gt;"&amp;HS92)+COUNTIFS(HR93:HR$201,"&lt;"&amp;HR92,HS93:HS$201,"&gt;"&amp;HS92)+COUNTIFS(HR$2:HR91,"&gt;"&amp;HR92,HS$2:HS91,"&lt;"&amp;HS92)+COUNTIFS(HR93:HR$201,"&gt;"&amp;HR92,HS93:HS$201,"&lt;"&amp;HS92),"")</f>
        <v/>
      </c>
      <c r="HW92" s="176"/>
      <c r="IB92" s="176"/>
      <c r="IC92" s="146" t="e">
        <f t="shared" si="320"/>
        <v>#N/A</v>
      </c>
      <c r="ID92" s="137" t="e">
        <f t="shared" si="321"/>
        <v>#N/A</v>
      </c>
      <c r="IE92" s="137" t="str">
        <f t="shared" si="322"/>
        <v/>
      </c>
      <c r="IF92" s="95" t="str">
        <f t="shared" si="323"/>
        <v/>
      </c>
      <c r="IK92" s="176"/>
      <c r="IL92" s="69" t="e">
        <f>IF(AND(Include_study?="Yes",Sufficient_data="Yes"),'Publication Bias Analysis'!AV:AV,NA())</f>
        <v>#N/A</v>
      </c>
      <c r="IM92" s="158" t="e">
        <f>IF(AND(Sufficient_data="Yes",Include_study?="Yes"),'Publication Bias Analysis'!AU:AU,NA())</f>
        <v>#N/A</v>
      </c>
      <c r="IN92" s="69" t="str">
        <f t="shared" si="219"/>
        <v/>
      </c>
      <c r="IO92" s="74" t="str">
        <f>IF(AND(Include_study?="Yes",Sufficient_data="Yes"),Z_score-('Publication Bias Analysis'!AY$30+'Publication Bias Analysis'!AY$31*Inverse_standard_error),"")</f>
        <v/>
      </c>
      <c r="IU92" s="176"/>
      <c r="IV92" s="7" t="str">
        <f>IF('Publication Bias Analysis'!BG:BG&lt;&gt;"",RANK('Publication Bias Analysis'!BG:BG,'Publication Bias Analysis'!BG:BG,1)+COUNTIF('Publication Bias Analysis'!BG$2:BG91,'Publication Bias Analysis'!BG92),"")</f>
        <v/>
      </c>
      <c r="IW92" s="124" t="str">
        <f t="shared" si="324"/>
        <v/>
      </c>
      <c r="IX92" s="125" t="e">
        <f>IF('Publication Bias Analysis'!BF92&lt;&gt;"",'Publication Bias Analysis'!BF92,NA())</f>
        <v>#N/A</v>
      </c>
      <c r="IY92" s="125" t="e">
        <f>IF('Publication Bias Analysis'!BG92&lt;&gt;"",'Publication Bias Analysis'!BG92,NA())</f>
        <v>#N/A</v>
      </c>
      <c r="IZ92" s="69" t="str">
        <f>IF(AND(Include_study?="Yes",Sufficient_data="Yes"),'Publication Bias Analysis'!BF:BF-AVERAGE('Publication Bias Analysis'!BF:BF),"")</f>
        <v/>
      </c>
      <c r="JA92" s="74" t="str">
        <f>IF(AND(Include_study?="Yes",Sufficient_data="Yes"),'Publication Bias Analysis'!BG:BG-('Publication Bias Analysis'!BJ$30+'Publication Bias Analysis'!BJ$31*'Publication Bias Analysis'!BF:BF),"")</f>
        <v/>
      </c>
      <c r="JG92" s="176"/>
      <c r="JH92" s="39" t="str">
        <f t="shared" si="325"/>
        <v/>
      </c>
      <c r="JI92" s="148" t="str">
        <f t="shared" si="332"/>
        <v/>
      </c>
      <c r="JJ92" s="74" t="str">
        <f t="shared" si="333"/>
        <v/>
      </c>
    </row>
    <row r="93" spans="1:270" x14ac:dyDescent="0.2">
      <c r="A93" s="56" t="str">
        <f t="shared" si="126"/>
        <v/>
      </c>
      <c r="B93" s="7" t="str">
        <f>IF(AND(Include_study?="Yes",Sufficient_data="Yes"),IF(Input!a_&lt;&gt;"",Input!a_,Input!n1_-Input!b_),"")</f>
        <v/>
      </c>
      <c r="C93" s="7" t="str">
        <f>IF(AND(Include_study?="Yes",Sufficient_data="Yes"),IF(Input!b_&lt;&gt;"",Input!b_,Input!n1_-Input!a_),"")</f>
        <v/>
      </c>
      <c r="D93" s="7" t="str">
        <f>IF(AND(Include_study?="Yes",Sufficient_data="Yes"),IF(Input!c_&lt;&gt;"",Input!c_,Input!n2_-Input!d_),"")</f>
        <v/>
      </c>
      <c r="E93" s="7" t="str">
        <f>IF(AND(Include_study?="Yes",Sufficient_data="Yes"),IF(Input!d_&lt;&gt;"",Input!d_,Input!n2_-Input!c_),"")</f>
        <v/>
      </c>
      <c r="F93" s="74" t="str">
        <f t="shared" si="244"/>
        <v/>
      </c>
      <c r="H93" s="196"/>
      <c r="I93" s="182"/>
      <c r="J93" s="146" t="str">
        <f t="shared" si="245"/>
        <v/>
      </c>
      <c r="K93" s="39" t="str">
        <f t="shared" si="246"/>
        <v/>
      </c>
      <c r="L93" s="39" t="str">
        <f t="shared" si="247"/>
        <v/>
      </c>
      <c r="M93" s="39" t="str">
        <f t="shared" si="248"/>
        <v/>
      </c>
      <c r="N93" s="74" t="str">
        <f t="shared" si="249"/>
        <v/>
      </c>
      <c r="P93" s="176"/>
      <c r="Q93" s="130" t="str">
        <f t="shared" si="250"/>
        <v/>
      </c>
      <c r="R93" s="39" t="str">
        <f t="shared" si="251"/>
        <v/>
      </c>
      <c r="S93" s="39" t="str">
        <f t="shared" si="252"/>
        <v/>
      </c>
      <c r="T93" s="74" t="str">
        <f t="shared" si="253"/>
        <v/>
      </c>
      <c r="V93" s="176"/>
      <c r="W93" s="130" t="str">
        <f t="shared" si="254"/>
        <v/>
      </c>
      <c r="X93" s="39" t="str">
        <f t="shared" si="255"/>
        <v/>
      </c>
      <c r="Y93" s="39" t="str">
        <f t="shared" si="256"/>
        <v/>
      </c>
      <c r="Z93" s="74" t="str">
        <f t="shared" si="257"/>
        <v/>
      </c>
      <c r="AB93" s="176"/>
      <c r="AC93" s="130" t="str">
        <f t="shared" si="258"/>
        <v/>
      </c>
      <c r="AD93" s="39" t="str">
        <f t="shared" si="259"/>
        <v/>
      </c>
      <c r="AE93" s="39" t="str">
        <f t="shared" si="260"/>
        <v/>
      </c>
      <c r="AF93" s="39" t="str">
        <f t="shared" si="261"/>
        <v/>
      </c>
      <c r="AG93" s="74" t="str">
        <f t="shared" si="262"/>
        <v/>
      </c>
      <c r="AI93" s="196"/>
      <c r="AJ9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3" s="136" t="str">
        <f>IF(AJ93&lt;&gt;"",IF(AJ93=0,COUNTIF(AJ$2:AJ92,0)+1,COUNTIF(AJ$2:AJ92,AJ93)+AJ93+COUNTIF(AJ:AJ,0)),"")</f>
        <v/>
      </c>
      <c r="AL93" s="136" t="str">
        <f t="shared" si="263"/>
        <v/>
      </c>
      <c r="AM93" s="155" t="str">
        <f>IF(AND(Include_study?="Yes",Sufficient_data="Yes",Input!Study_name&lt;&gt;""),Input!Study_name,"")</f>
        <v/>
      </c>
      <c r="AN93" s="136" t="str">
        <f t="shared" si="264"/>
        <v/>
      </c>
      <c r="AO93" s="19" t="str">
        <f t="shared" si="265"/>
        <v/>
      </c>
      <c r="AP93" s="158" t="str">
        <f t="shared" si="266"/>
        <v/>
      </c>
      <c r="AQ93" s="158" t="str">
        <f t="shared" si="267"/>
        <v/>
      </c>
      <c r="AR93" s="39" t="str">
        <f t="shared" si="268"/>
        <v/>
      </c>
      <c r="AS93" s="158" t="str">
        <f t="shared" si="269"/>
        <v/>
      </c>
      <c r="AT93" s="39" t="str">
        <f t="shared" si="270"/>
        <v/>
      </c>
      <c r="AU93" s="172" t="str">
        <f t="shared" si="271"/>
        <v/>
      </c>
      <c r="AV93" s="45"/>
      <c r="AW93" s="84" t="e">
        <f t="shared" si="152"/>
        <v>#N/A</v>
      </c>
      <c r="AX93" s="69" t="e">
        <f t="shared" si="272"/>
        <v>#N/A</v>
      </c>
      <c r="AY93" s="74" t="e">
        <f t="shared" si="273"/>
        <v>#N/A</v>
      </c>
      <c r="AZ93" s="45"/>
      <c r="BA93" s="45"/>
      <c r="BB93" s="45"/>
      <c r="BC93" s="45"/>
      <c r="BD93" s="196"/>
      <c r="BE93" s="182"/>
      <c r="BF93" s="69" t="str">
        <f t="shared" si="155"/>
        <v/>
      </c>
      <c r="BG93" s="69" t="str">
        <f t="shared" si="156"/>
        <v/>
      </c>
      <c r="BH93" s="69" t="str">
        <f t="shared" si="157"/>
        <v/>
      </c>
      <c r="BI93" s="39" t="str">
        <f t="shared" si="158"/>
        <v/>
      </c>
      <c r="BJ93" s="95" t="str">
        <f t="shared" si="274"/>
        <v/>
      </c>
      <c r="BO93" s="176"/>
      <c r="BP93" s="158" t="str">
        <f t="shared" si="275"/>
        <v/>
      </c>
      <c r="BQ93" s="158" t="str">
        <f t="shared" si="276"/>
        <v/>
      </c>
      <c r="BR93" s="158" t="str">
        <f t="shared" si="277"/>
        <v/>
      </c>
      <c r="BS93" s="158" t="str">
        <f>IF(AND(Sufficient_data="Yes",Include_study?="Yes"),IF(Add_0_5="Yes",(a_+d_+1)*(ab_+0.5)*(c_+0.5)/(Number_of_subjects+2)^2,(a_+d_)*b_*c_/Number_of_subjects^2),"")</f>
        <v/>
      </c>
      <c r="BT93" s="158" t="str">
        <f t="shared" si="278"/>
        <v/>
      </c>
      <c r="BU93" s="158" t="str">
        <f t="shared" si="279"/>
        <v/>
      </c>
      <c r="BV93" s="158" t="str">
        <f t="shared" si="280"/>
        <v/>
      </c>
      <c r="BW93" s="69" t="str">
        <f t="shared" si="166"/>
        <v/>
      </c>
      <c r="BX93" s="137" t="str">
        <f t="shared" si="167"/>
        <v/>
      </c>
      <c r="BY93" s="95" t="str">
        <f t="shared" si="281"/>
        <v/>
      </c>
      <c r="CD93" s="176"/>
      <c r="CE93" s="130" t="str">
        <f t="shared" si="282"/>
        <v/>
      </c>
      <c r="CF93" s="39" t="str">
        <f t="shared" si="283"/>
        <v/>
      </c>
      <c r="CG93" s="39" t="str">
        <f t="shared" si="284"/>
        <v/>
      </c>
      <c r="CH93" s="39" t="str">
        <f t="shared" si="285"/>
        <v/>
      </c>
      <c r="CI93" s="39" t="str">
        <f t="shared" si="286"/>
        <v/>
      </c>
      <c r="CJ93" s="39" t="str">
        <f t="shared" si="287"/>
        <v/>
      </c>
      <c r="CK93" s="95" t="str">
        <f t="shared" si="288"/>
        <v/>
      </c>
      <c r="CP93" s="176"/>
      <c r="CQ93" s="99" t="str">
        <f t="shared" si="175"/>
        <v/>
      </c>
      <c r="CX93" s="196"/>
      <c r="CY93" s="89" t="e">
        <f t="shared" si="289"/>
        <v>#N/A</v>
      </c>
      <c r="CZ93" s="136" t="str">
        <f t="shared" si="290"/>
        <v/>
      </c>
      <c r="DA93" s="140" t="str">
        <f t="shared" si="291"/>
        <v/>
      </c>
      <c r="DB93" s="39" t="str">
        <f t="shared" si="292"/>
        <v/>
      </c>
      <c r="DC93" s="39" t="str">
        <f t="shared" si="293"/>
        <v/>
      </c>
      <c r="DD93" s="39" t="str">
        <f t="shared" si="294"/>
        <v/>
      </c>
      <c r="DE93" s="39" t="str">
        <f t="shared" si="295"/>
        <v/>
      </c>
      <c r="DF93" s="141" t="str">
        <f t="shared" si="296"/>
        <v/>
      </c>
      <c r="DG93" s="39" t="str">
        <f t="shared" si="297"/>
        <v/>
      </c>
      <c r="DH93" s="39" t="str">
        <f t="shared" si="298"/>
        <v/>
      </c>
      <c r="DI93" s="39" t="str">
        <f t="shared" si="299"/>
        <v/>
      </c>
      <c r="DJ93" s="74" t="str">
        <f t="shared" si="300"/>
        <v/>
      </c>
      <c r="DK93" s="45"/>
      <c r="DL93" s="84" t="e">
        <f t="shared" si="222"/>
        <v>#N/A</v>
      </c>
      <c r="DM93" s="39" t="e">
        <f t="shared" si="301"/>
        <v>#N/A</v>
      </c>
      <c r="DN93" s="74" t="e">
        <f t="shared" si="302"/>
        <v>#N/A</v>
      </c>
      <c r="DO93" s="45"/>
      <c r="DP93" s="89" t="str">
        <f t="shared" si="326"/>
        <v/>
      </c>
      <c r="DQ93" s="26" t="str">
        <f>IF(AND(Sufficient_data="Yes",Subgroup&lt;&gt;""),IF(COUNTIFS(Input!J$2:J92,"="&amp;"Yes",Input!C$2:C92,"="&amp;"Yes",Input!K$2:K92,"="&amp;Subgroup)&gt;0,"",Subgroup),"")</f>
        <v/>
      </c>
      <c r="DR93" s="7" t="str">
        <f t="shared" si="327"/>
        <v/>
      </c>
      <c r="DS93" s="7" t="str">
        <f t="shared" si="303"/>
        <v/>
      </c>
      <c r="DT93" s="19" t="str">
        <f t="shared" si="304"/>
        <v/>
      </c>
      <c r="DU93" s="12" t="str">
        <f t="shared" si="223"/>
        <v/>
      </c>
      <c r="DV93" s="11" t="str">
        <f t="shared" si="224"/>
        <v/>
      </c>
      <c r="DW93" s="12" t="str">
        <f t="shared" si="225"/>
        <v/>
      </c>
      <c r="DX93" s="12" t="str">
        <f t="shared" si="305"/>
        <v/>
      </c>
      <c r="DY93" s="19" t="str">
        <f t="shared" si="226"/>
        <v/>
      </c>
      <c r="DZ93" s="12" t="str">
        <f t="shared" si="227"/>
        <v/>
      </c>
      <c r="EA93" s="19" t="str">
        <f t="shared" si="306"/>
        <v/>
      </c>
      <c r="EB93" s="7" t="str">
        <f t="shared" si="307"/>
        <v/>
      </c>
      <c r="EC93" s="19" t="str">
        <f t="shared" si="308"/>
        <v/>
      </c>
      <c r="ED93" s="19" t="str">
        <f t="shared" si="309"/>
        <v/>
      </c>
      <c r="EE93" s="19" t="str">
        <f t="shared" si="228"/>
        <v/>
      </c>
      <c r="EF93" s="19" t="str">
        <f t="shared" si="229"/>
        <v/>
      </c>
      <c r="EG93" s="19" t="str">
        <f t="shared" si="230"/>
        <v/>
      </c>
      <c r="EH93" s="19" t="str">
        <f t="shared" si="231"/>
        <v/>
      </c>
      <c r="EI93" s="19" t="str">
        <f t="shared" si="232"/>
        <v/>
      </c>
      <c r="EJ93" s="19" t="str">
        <f t="shared" si="310"/>
        <v/>
      </c>
      <c r="EK93" s="19" t="str">
        <f t="shared" si="311"/>
        <v/>
      </c>
      <c r="EL93" s="19" t="str">
        <f t="shared" si="233"/>
        <v/>
      </c>
      <c r="EM93" s="19" t="str">
        <f t="shared" si="234"/>
        <v/>
      </c>
      <c r="EN93" s="19" t="str">
        <f t="shared" si="235"/>
        <v/>
      </c>
      <c r="EO93" s="19" t="str">
        <f t="shared" si="236"/>
        <v/>
      </c>
      <c r="EP93" s="19" t="str">
        <f t="shared" si="237"/>
        <v/>
      </c>
      <c r="EQ93" s="19" t="e">
        <f t="shared" si="238"/>
        <v>#N/A</v>
      </c>
      <c r="ER93" s="11" t="str">
        <f t="shared" si="328"/>
        <v/>
      </c>
      <c r="ES93" s="19" t="str">
        <f t="shared" si="329"/>
        <v/>
      </c>
      <c r="ET93" s="156" t="str">
        <f t="shared" si="312"/>
        <v/>
      </c>
      <c r="EU93" s="39" t="str">
        <f t="shared" si="239"/>
        <v/>
      </c>
      <c r="EV93" s="74" t="str">
        <f t="shared" si="313"/>
        <v/>
      </c>
      <c r="FA93" s="196"/>
      <c r="FB93" s="84" t="e">
        <f>IF(AND(Include_study?="Yes",Sufficient_data="Yes",Moderator&lt;&gt;""),'Moderator Analysis'!E93,NA())</f>
        <v>#N/A</v>
      </c>
      <c r="FC93" s="39" t="e">
        <f>IF(AND(Include_study?="Yes",Sufficient_data="Yes",Moderator&lt;&gt;""),'Moderator Analysis'!F93,NA())</f>
        <v>#N/A</v>
      </c>
      <c r="FD93" s="39" t="str">
        <f t="shared" si="314"/>
        <v/>
      </c>
      <c r="FE93" s="39" t="str">
        <f t="shared" si="315"/>
        <v/>
      </c>
      <c r="FF93" s="39" t="str">
        <f>IF(AND(Include_study?="Yes",Sufficient_data="Yes",Moderator&lt;&gt;""),'Moderator Analysis'!F:F-FP$2,"")</f>
        <v/>
      </c>
      <c r="FG93" s="39" t="str">
        <f>IF(AND(Include_study?="Yes",Sufficient_data="Yes",Moderator&lt;&gt;""),'Moderator Analysis'!E:E-FP$3,"")</f>
        <v/>
      </c>
      <c r="FH93" s="74" t="str">
        <f>IF(AND(Include_study?="Yes",Sufficient_data="Yes",Moderator&lt;&gt;""),FE:FE*('Moderator Analysis'!F:F-FP$5-FP$4*'Moderator Analysis'!E:E)^2,"")</f>
        <v/>
      </c>
      <c r="FI93" s="128"/>
      <c r="FJ93" s="92" t="str">
        <f t="shared" si="316"/>
        <v/>
      </c>
      <c r="FK93" s="137" t="str">
        <f>IF(AND(Include_study?="Yes",Sufficient_data="Yes",Moderator&lt;&gt;""),'Moderator Analysis'!F:F-'Moderator Analysis'!J$37,"")</f>
        <v/>
      </c>
      <c r="FL93" s="137" t="str">
        <f>IF(AND(Include_study?="Yes",Sufficient_data="Yes",Moderator&lt;&gt;""),'Moderator Analysis'!E:E-SUMPRODUCT('Moderator Analysis'!E:E,FJ:FJ)/SUM(FJ:FJ),"")</f>
        <v/>
      </c>
      <c r="FM93" s="95" t="str">
        <f>IF(AND(Include_study?="Yes",Sufficient_data="Yes",Moderator&lt;&gt;""),FJ:FJ*('Moderator Analysis'!F:F-'Moderator Analysis'!J$29-'Moderator Analysis'!J$30*'Moderator Analysis'!E:E)^2,"")</f>
        <v/>
      </c>
      <c r="FR93" s="196"/>
      <c r="FS93" s="182"/>
      <c r="FT9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3" s="39" t="str">
        <f>IF(AND(Include_study?="Yes",Sufficient_data="Yes"),1/('Publication Bias Analysis'!F:F^2+IF(Additional_model="Fixed effect",0,Calculations!GH$12)),"")</f>
        <v/>
      </c>
      <c r="FV93" s="39" t="str">
        <f>IF(AND(Include_study?="Yes",Sufficient_data="Yes"),1/('Publication Bias Analysis'!F:F^2+IF(Additional_model="Fixed effect",0,'Publication Bias Analysis'!L$32)),"")</f>
        <v/>
      </c>
      <c r="FW93" s="39" t="str">
        <f>IF(AND(Include_study?="Yes",Sufficient_data="Yes"),'Publication Bias Analysis'!E:E-'Publication Bias Analysis'!I$37,"")</f>
        <v/>
      </c>
      <c r="FX93" s="39" t="str">
        <f>IF(AND(Include_study?="Yes",Sufficient_data="Yes"),IF(Additional_model="Fixed effect",1/'Publication Bias Analysis'!F:F,1/SQRT('Publication Bias Analysis'!F:F^2+GH$12)),"")</f>
        <v/>
      </c>
      <c r="FY9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3" s="136" t="str">
        <f t="shared" si="317"/>
        <v/>
      </c>
      <c r="GA93" s="144" t="str">
        <f>IF(AND(Include_study?="Yes",Sufficient_data="Yes"),FZ:FZ+IF(GL:GL&lt;0,-1,1)*COUNTIF(FZ$2:FZ92,FZ:FZ),"")</f>
        <v/>
      </c>
      <c r="GB93" s="144" t="str">
        <f>IF(AND(Include_study?="Yes",Sufficient_data="Yes"),RANK(GP:GP,GP:GP,1)*IF(GO:GO&lt;0,-1,1)+IF(GO:GO&lt;0,-1,1)*COUNTIF(FZ$2:FZ92,FZ:FZ),"")</f>
        <v/>
      </c>
      <c r="GC93" s="144" t="str">
        <f>IF(AND(Include_study?="Yes",Sufficient_data="Yes"),RANK(GS:GS,GS:GS,1)*IF(GR:GR&lt;0,-1,1)+IF(GR:GR&lt;0,-1,1)*COUNTIF(FZ$2:FZ92,FZ:FZ),"")</f>
        <v/>
      </c>
      <c r="GD93" s="39" t="e">
        <f>IF(AND(Include_study?="Yes",Sufficient_data="Yes"),'Publication Bias Analysis'!E93,NA())</f>
        <v>#N/A</v>
      </c>
      <c r="GE93" s="74" t="e">
        <f>IF(AND(Include_study?="Yes",Sufficient_data="Yes"),'Publication Bias Analysis'!F93,NA())</f>
        <v>#N/A</v>
      </c>
      <c r="GK93" s="176"/>
      <c r="GL9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3" s="39" t="str">
        <f t="shared" si="318"/>
        <v/>
      </c>
      <c r="GN9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3" s="39" t="str">
        <f>IF(AND(Include_study?="Yes",Sufficient_data="Yes"),IF('Publication Bias Analysis'!L$38="Left",'Publication Bias Analysis'!E:E-GW$3,GW$3-'Publication Bias Analysis'!E:E),"")</f>
        <v/>
      </c>
      <c r="GP93" s="39" t="str">
        <f t="shared" si="330"/>
        <v/>
      </c>
      <c r="GQ9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3" s="39" t="str">
        <f>IF(AND(Include_study?="Yes",Sufficient_data="Yes"),IF('Publication Bias Analysis'!L$38="Left",'Publication Bias Analysis'!E:E-GW$10,GW$10-'Publication Bias Analysis'!E:E),"")</f>
        <v/>
      </c>
      <c r="GS93" s="39" t="str">
        <f t="shared" si="331"/>
        <v/>
      </c>
      <c r="GT9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3" s="176"/>
      <c r="HL93" s="69" t="str">
        <f t="shared" si="319"/>
        <v/>
      </c>
      <c r="HM93" s="74" t="str">
        <f>IF(AND(Include_study?="Yes",Sufficient_data="Yes"),Z_score-('Publication Bias Analysis'!P$3+'Publication Bias Analysis'!P$4*Inverse_standard_error),"")</f>
        <v/>
      </c>
      <c r="HO93" s="176"/>
      <c r="HP93" s="69" t="str">
        <f>IF(AND(Include_study?="Yes",Sufficient_data="Yes"),(GD:GD-SUMPRODUCT(Calculations!FT:FT,'Publication Bias Analysis'!E:E)/SUM(Calculations!FT:FT))/SQRT(Calculations!HQ:HQ),"")</f>
        <v/>
      </c>
      <c r="HQ93" s="69" t="str">
        <f>IF(AND(Include_study?="Yes",Sufficient_data="Yes"),GE:GE^2-1/SUM(Calculations!FT:FT),"")</f>
        <v/>
      </c>
      <c r="HR93" s="7" t="str">
        <f t="shared" si="240"/>
        <v/>
      </c>
      <c r="HS93" s="7" t="str">
        <f t="shared" si="241"/>
        <v/>
      </c>
      <c r="HT93" s="7" t="str">
        <f>IF(AND(Include_study?="Yes",Sufficient_data="Yes"),COUNTIFS(HR$2:HR92,"&lt;"&amp;HR93,HS$2:HS92,"&lt;"&amp;HS93)+COUNTIFS(HR94:HR$201,"&lt;"&amp;HR93,HS94:HS$201,"&lt;"&amp;HS93)+COUNTIFS(HR$2:HR92,"&gt;"&amp;HR93,HS$2:HS92,"&gt;"&amp;HS93)+COUNTIFS(HR94:HR$201,"&gt;"&amp;HR93,HS94:HS$201,"&gt;"&amp;HS93),"")</f>
        <v/>
      </c>
      <c r="HU93" s="104" t="str">
        <f>IF(AND(Include_study?="Yes",Sufficient_data="Yes"),COUNTIFS(HR$2:HR92,"&lt;"&amp;HR93,HS$2:HS92,"&gt;"&amp;HS93)+COUNTIFS(HR94:HR$201,"&lt;"&amp;HR93,HS94:HS$201,"&gt;"&amp;HS93)+COUNTIFS(HR$2:HR92,"&gt;"&amp;HR93,HS$2:HS92,"&lt;"&amp;HS93)+COUNTIFS(HR94:HR$201,"&gt;"&amp;HR93,HS94:HS$201,"&lt;"&amp;HS93),"")</f>
        <v/>
      </c>
      <c r="HW93" s="176"/>
      <c r="IB93" s="176"/>
      <c r="IC93" s="146" t="e">
        <f t="shared" si="320"/>
        <v>#N/A</v>
      </c>
      <c r="ID93" s="137" t="e">
        <f t="shared" si="321"/>
        <v>#N/A</v>
      </c>
      <c r="IE93" s="137" t="str">
        <f t="shared" si="322"/>
        <v/>
      </c>
      <c r="IF93" s="95" t="str">
        <f t="shared" si="323"/>
        <v/>
      </c>
      <c r="IK93" s="176"/>
      <c r="IL93" s="69" t="e">
        <f>IF(AND(Include_study?="Yes",Sufficient_data="Yes"),'Publication Bias Analysis'!AV:AV,NA())</f>
        <v>#N/A</v>
      </c>
      <c r="IM93" s="158" t="e">
        <f>IF(AND(Sufficient_data="Yes",Include_study?="Yes"),'Publication Bias Analysis'!AU:AU,NA())</f>
        <v>#N/A</v>
      </c>
      <c r="IN93" s="69" t="str">
        <f t="shared" si="219"/>
        <v/>
      </c>
      <c r="IO93" s="74" t="str">
        <f>IF(AND(Include_study?="Yes",Sufficient_data="Yes"),Z_score-('Publication Bias Analysis'!AY$30+'Publication Bias Analysis'!AY$31*Inverse_standard_error),"")</f>
        <v/>
      </c>
      <c r="IU93" s="176"/>
      <c r="IV93" s="7" t="str">
        <f>IF('Publication Bias Analysis'!BG:BG&lt;&gt;"",RANK('Publication Bias Analysis'!BG:BG,'Publication Bias Analysis'!BG:BG,1)+COUNTIF('Publication Bias Analysis'!BG$2:BG92,'Publication Bias Analysis'!BG93),"")</f>
        <v/>
      </c>
      <c r="IW93" s="124" t="str">
        <f t="shared" si="324"/>
        <v/>
      </c>
      <c r="IX93" s="125" t="e">
        <f>IF('Publication Bias Analysis'!BF93&lt;&gt;"",'Publication Bias Analysis'!BF93,NA())</f>
        <v>#N/A</v>
      </c>
      <c r="IY93" s="125" t="e">
        <f>IF('Publication Bias Analysis'!BG93&lt;&gt;"",'Publication Bias Analysis'!BG93,NA())</f>
        <v>#N/A</v>
      </c>
      <c r="IZ93" s="69" t="str">
        <f>IF(AND(Include_study?="Yes",Sufficient_data="Yes"),'Publication Bias Analysis'!BF:BF-AVERAGE('Publication Bias Analysis'!BF:BF),"")</f>
        <v/>
      </c>
      <c r="JA93" s="74" t="str">
        <f>IF(AND(Include_study?="Yes",Sufficient_data="Yes"),'Publication Bias Analysis'!BG:BG-('Publication Bias Analysis'!BJ$30+'Publication Bias Analysis'!BJ$31*'Publication Bias Analysis'!BF:BF),"")</f>
        <v/>
      </c>
      <c r="JG93" s="176"/>
      <c r="JH93" s="39" t="str">
        <f t="shared" si="325"/>
        <v/>
      </c>
      <c r="JI93" s="148" t="str">
        <f t="shared" si="332"/>
        <v/>
      </c>
      <c r="JJ93" s="74" t="str">
        <f t="shared" si="333"/>
        <v/>
      </c>
    </row>
    <row r="94" spans="1:270" x14ac:dyDescent="0.2">
      <c r="A94" s="56" t="str">
        <f t="shared" si="126"/>
        <v/>
      </c>
      <c r="B94" s="7" t="str">
        <f>IF(AND(Include_study?="Yes",Sufficient_data="Yes"),IF(Input!a_&lt;&gt;"",Input!a_,Input!n1_-Input!b_),"")</f>
        <v/>
      </c>
      <c r="C94" s="7" t="str">
        <f>IF(AND(Include_study?="Yes",Sufficient_data="Yes"),IF(Input!b_&lt;&gt;"",Input!b_,Input!n1_-Input!a_),"")</f>
        <v/>
      </c>
      <c r="D94" s="7" t="str">
        <f>IF(AND(Include_study?="Yes",Sufficient_data="Yes"),IF(Input!c_&lt;&gt;"",Input!c_,Input!n2_-Input!d_),"")</f>
        <v/>
      </c>
      <c r="E94" s="7" t="str">
        <f>IF(AND(Include_study?="Yes",Sufficient_data="Yes"),IF(Input!d_&lt;&gt;"",Input!d_,Input!n2_-Input!c_),"")</f>
        <v/>
      </c>
      <c r="F94" s="74" t="str">
        <f t="shared" si="244"/>
        <v/>
      </c>
      <c r="H94" s="196"/>
      <c r="I94" s="182"/>
      <c r="J94" s="146" t="str">
        <f t="shared" si="245"/>
        <v/>
      </c>
      <c r="K94" s="39" t="str">
        <f t="shared" si="246"/>
        <v/>
      </c>
      <c r="L94" s="39" t="str">
        <f t="shared" si="247"/>
        <v/>
      </c>
      <c r="M94" s="39" t="str">
        <f t="shared" si="248"/>
        <v/>
      </c>
      <c r="N94" s="74" t="str">
        <f t="shared" si="249"/>
        <v/>
      </c>
      <c r="P94" s="176"/>
      <c r="Q94" s="130" t="str">
        <f t="shared" si="250"/>
        <v/>
      </c>
      <c r="R94" s="39" t="str">
        <f t="shared" si="251"/>
        <v/>
      </c>
      <c r="S94" s="39" t="str">
        <f t="shared" si="252"/>
        <v/>
      </c>
      <c r="T94" s="74" t="str">
        <f t="shared" si="253"/>
        <v/>
      </c>
      <c r="V94" s="176"/>
      <c r="W94" s="130" t="str">
        <f t="shared" si="254"/>
        <v/>
      </c>
      <c r="X94" s="39" t="str">
        <f t="shared" si="255"/>
        <v/>
      </c>
      <c r="Y94" s="39" t="str">
        <f t="shared" si="256"/>
        <v/>
      </c>
      <c r="Z94" s="74" t="str">
        <f t="shared" si="257"/>
        <v/>
      </c>
      <c r="AB94" s="176"/>
      <c r="AC94" s="130" t="str">
        <f t="shared" si="258"/>
        <v/>
      </c>
      <c r="AD94" s="39" t="str">
        <f t="shared" si="259"/>
        <v/>
      </c>
      <c r="AE94" s="39" t="str">
        <f t="shared" si="260"/>
        <v/>
      </c>
      <c r="AF94" s="39" t="str">
        <f t="shared" si="261"/>
        <v/>
      </c>
      <c r="AG94" s="74" t="str">
        <f t="shared" si="262"/>
        <v/>
      </c>
      <c r="AI94" s="196"/>
      <c r="AJ9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4" s="136" t="str">
        <f>IF(AJ94&lt;&gt;"",IF(AJ94=0,COUNTIF(AJ$2:AJ93,0)+1,COUNTIF(AJ$2:AJ93,AJ94)+AJ94+COUNTIF(AJ:AJ,0)),"")</f>
        <v/>
      </c>
      <c r="AL94" s="136" t="str">
        <f t="shared" si="263"/>
        <v/>
      </c>
      <c r="AM94" s="155" t="str">
        <f>IF(AND(Include_study?="Yes",Sufficient_data="Yes",Input!Study_name&lt;&gt;""),Input!Study_name,"")</f>
        <v/>
      </c>
      <c r="AN94" s="136" t="str">
        <f t="shared" si="264"/>
        <v/>
      </c>
      <c r="AO94" s="19" t="str">
        <f t="shared" si="265"/>
        <v/>
      </c>
      <c r="AP94" s="158" t="str">
        <f t="shared" si="266"/>
        <v/>
      </c>
      <c r="AQ94" s="158" t="str">
        <f t="shared" si="267"/>
        <v/>
      </c>
      <c r="AR94" s="39" t="str">
        <f t="shared" si="268"/>
        <v/>
      </c>
      <c r="AS94" s="158" t="str">
        <f t="shared" si="269"/>
        <v/>
      </c>
      <c r="AT94" s="39" t="str">
        <f t="shared" si="270"/>
        <v/>
      </c>
      <c r="AU94" s="172" t="str">
        <f t="shared" si="271"/>
        <v/>
      </c>
      <c r="AV94" s="45"/>
      <c r="AW94" s="84" t="e">
        <f t="shared" si="152"/>
        <v>#N/A</v>
      </c>
      <c r="AX94" s="69" t="e">
        <f t="shared" si="272"/>
        <v>#N/A</v>
      </c>
      <c r="AY94" s="74" t="e">
        <f t="shared" si="273"/>
        <v>#N/A</v>
      </c>
      <c r="AZ94" s="45"/>
      <c r="BA94" s="45"/>
      <c r="BB94" s="45"/>
      <c r="BC94" s="45"/>
      <c r="BD94" s="196"/>
      <c r="BE94" s="182"/>
      <c r="BF94" s="69" t="str">
        <f t="shared" si="155"/>
        <v/>
      </c>
      <c r="BG94" s="69" t="str">
        <f t="shared" si="156"/>
        <v/>
      </c>
      <c r="BH94" s="69" t="str">
        <f t="shared" si="157"/>
        <v/>
      </c>
      <c r="BI94" s="39" t="str">
        <f t="shared" si="158"/>
        <v/>
      </c>
      <c r="BJ94" s="95" t="str">
        <f t="shared" si="274"/>
        <v/>
      </c>
      <c r="BO94" s="176"/>
      <c r="BP94" s="158" t="str">
        <f t="shared" si="275"/>
        <v/>
      </c>
      <c r="BQ94" s="158" t="str">
        <f t="shared" si="276"/>
        <v/>
      </c>
      <c r="BR94" s="158" t="str">
        <f t="shared" si="277"/>
        <v/>
      </c>
      <c r="BS94" s="158" t="str">
        <f>IF(AND(Sufficient_data="Yes",Include_study?="Yes"),IF(Add_0_5="Yes",(a_+d_+1)*(ab_+0.5)*(c_+0.5)/(Number_of_subjects+2)^2,(a_+d_)*b_*c_/Number_of_subjects^2),"")</f>
        <v/>
      </c>
      <c r="BT94" s="158" t="str">
        <f t="shared" si="278"/>
        <v/>
      </c>
      <c r="BU94" s="158" t="str">
        <f t="shared" si="279"/>
        <v/>
      </c>
      <c r="BV94" s="158" t="str">
        <f t="shared" si="280"/>
        <v/>
      </c>
      <c r="BW94" s="69" t="str">
        <f t="shared" si="166"/>
        <v/>
      </c>
      <c r="BX94" s="137" t="str">
        <f t="shared" si="167"/>
        <v/>
      </c>
      <c r="BY94" s="95" t="str">
        <f t="shared" si="281"/>
        <v/>
      </c>
      <c r="CD94" s="176"/>
      <c r="CE94" s="130" t="str">
        <f t="shared" si="282"/>
        <v/>
      </c>
      <c r="CF94" s="39" t="str">
        <f t="shared" si="283"/>
        <v/>
      </c>
      <c r="CG94" s="39" t="str">
        <f t="shared" si="284"/>
        <v/>
      </c>
      <c r="CH94" s="39" t="str">
        <f t="shared" si="285"/>
        <v/>
      </c>
      <c r="CI94" s="39" t="str">
        <f t="shared" si="286"/>
        <v/>
      </c>
      <c r="CJ94" s="39" t="str">
        <f t="shared" si="287"/>
        <v/>
      </c>
      <c r="CK94" s="95" t="str">
        <f t="shared" si="288"/>
        <v/>
      </c>
      <c r="CP94" s="176"/>
      <c r="CQ94" s="99" t="str">
        <f t="shared" si="175"/>
        <v/>
      </c>
      <c r="CX94" s="196"/>
      <c r="CY94" s="89" t="e">
        <f t="shared" si="289"/>
        <v>#N/A</v>
      </c>
      <c r="CZ94" s="136" t="str">
        <f t="shared" si="290"/>
        <v/>
      </c>
      <c r="DA94" s="140" t="str">
        <f t="shared" si="291"/>
        <v/>
      </c>
      <c r="DB94" s="39" t="str">
        <f t="shared" si="292"/>
        <v/>
      </c>
      <c r="DC94" s="39" t="str">
        <f t="shared" si="293"/>
        <v/>
      </c>
      <c r="DD94" s="39" t="str">
        <f t="shared" si="294"/>
        <v/>
      </c>
      <c r="DE94" s="39" t="str">
        <f t="shared" si="295"/>
        <v/>
      </c>
      <c r="DF94" s="141" t="str">
        <f t="shared" si="296"/>
        <v/>
      </c>
      <c r="DG94" s="39" t="str">
        <f t="shared" si="297"/>
        <v/>
      </c>
      <c r="DH94" s="39" t="str">
        <f t="shared" si="298"/>
        <v/>
      </c>
      <c r="DI94" s="39" t="str">
        <f t="shared" si="299"/>
        <v/>
      </c>
      <c r="DJ94" s="74" t="str">
        <f t="shared" si="300"/>
        <v/>
      </c>
      <c r="DK94" s="45"/>
      <c r="DL94" s="84" t="e">
        <f t="shared" si="222"/>
        <v>#N/A</v>
      </c>
      <c r="DM94" s="39" t="e">
        <f t="shared" si="301"/>
        <v>#N/A</v>
      </c>
      <c r="DN94" s="74" t="e">
        <f t="shared" si="302"/>
        <v>#N/A</v>
      </c>
      <c r="DO94" s="45"/>
      <c r="DP94" s="89" t="str">
        <f t="shared" si="326"/>
        <v/>
      </c>
      <c r="DQ94" s="26" t="str">
        <f>IF(AND(Sufficient_data="Yes",Subgroup&lt;&gt;""),IF(COUNTIFS(Input!J$2:J93,"="&amp;"Yes",Input!C$2:C93,"="&amp;"Yes",Input!K$2:K93,"="&amp;Subgroup)&gt;0,"",Subgroup),"")</f>
        <v/>
      </c>
      <c r="DR94" s="7" t="str">
        <f t="shared" si="327"/>
        <v/>
      </c>
      <c r="DS94" s="7" t="str">
        <f t="shared" si="303"/>
        <v/>
      </c>
      <c r="DT94" s="19" t="str">
        <f t="shared" si="304"/>
        <v/>
      </c>
      <c r="DU94" s="12" t="str">
        <f t="shared" si="223"/>
        <v/>
      </c>
      <c r="DV94" s="11" t="str">
        <f t="shared" si="224"/>
        <v/>
      </c>
      <c r="DW94" s="12" t="str">
        <f t="shared" si="225"/>
        <v/>
      </c>
      <c r="DX94" s="12" t="str">
        <f t="shared" si="305"/>
        <v/>
      </c>
      <c r="DY94" s="19" t="str">
        <f t="shared" si="226"/>
        <v/>
      </c>
      <c r="DZ94" s="12" t="str">
        <f t="shared" si="227"/>
        <v/>
      </c>
      <c r="EA94" s="19" t="str">
        <f t="shared" si="306"/>
        <v/>
      </c>
      <c r="EB94" s="7" t="str">
        <f t="shared" si="307"/>
        <v/>
      </c>
      <c r="EC94" s="19" t="str">
        <f t="shared" si="308"/>
        <v/>
      </c>
      <c r="ED94" s="19" t="str">
        <f t="shared" si="309"/>
        <v/>
      </c>
      <c r="EE94" s="19" t="str">
        <f t="shared" si="228"/>
        <v/>
      </c>
      <c r="EF94" s="19" t="str">
        <f t="shared" si="229"/>
        <v/>
      </c>
      <c r="EG94" s="19" t="str">
        <f t="shared" si="230"/>
        <v/>
      </c>
      <c r="EH94" s="19" t="str">
        <f t="shared" si="231"/>
        <v/>
      </c>
      <c r="EI94" s="19" t="str">
        <f t="shared" si="232"/>
        <v/>
      </c>
      <c r="EJ94" s="19" t="str">
        <f t="shared" si="310"/>
        <v/>
      </c>
      <c r="EK94" s="19" t="str">
        <f t="shared" si="311"/>
        <v/>
      </c>
      <c r="EL94" s="19" t="str">
        <f t="shared" si="233"/>
        <v/>
      </c>
      <c r="EM94" s="19" t="str">
        <f t="shared" si="234"/>
        <v/>
      </c>
      <c r="EN94" s="19" t="str">
        <f t="shared" si="235"/>
        <v/>
      </c>
      <c r="EO94" s="19" t="str">
        <f t="shared" si="236"/>
        <v/>
      </c>
      <c r="EP94" s="19" t="str">
        <f t="shared" si="237"/>
        <v/>
      </c>
      <c r="EQ94" s="19" t="e">
        <f t="shared" si="238"/>
        <v>#N/A</v>
      </c>
      <c r="ER94" s="11" t="str">
        <f t="shared" si="328"/>
        <v/>
      </c>
      <c r="ES94" s="19" t="str">
        <f t="shared" si="329"/>
        <v/>
      </c>
      <c r="ET94" s="156" t="str">
        <f t="shared" si="312"/>
        <v/>
      </c>
      <c r="EU94" s="39" t="str">
        <f t="shared" si="239"/>
        <v/>
      </c>
      <c r="EV94" s="74" t="str">
        <f t="shared" si="313"/>
        <v/>
      </c>
      <c r="FA94" s="196"/>
      <c r="FB94" s="84" t="e">
        <f>IF(AND(Include_study?="Yes",Sufficient_data="Yes",Moderator&lt;&gt;""),'Moderator Analysis'!E94,NA())</f>
        <v>#N/A</v>
      </c>
      <c r="FC94" s="39" t="e">
        <f>IF(AND(Include_study?="Yes",Sufficient_data="Yes",Moderator&lt;&gt;""),'Moderator Analysis'!F94,NA())</f>
        <v>#N/A</v>
      </c>
      <c r="FD94" s="39" t="str">
        <f t="shared" si="314"/>
        <v/>
      </c>
      <c r="FE94" s="39" t="str">
        <f t="shared" si="315"/>
        <v/>
      </c>
      <c r="FF94" s="39" t="str">
        <f>IF(AND(Include_study?="Yes",Sufficient_data="Yes",Moderator&lt;&gt;""),'Moderator Analysis'!F:F-FP$2,"")</f>
        <v/>
      </c>
      <c r="FG94" s="39" t="str">
        <f>IF(AND(Include_study?="Yes",Sufficient_data="Yes",Moderator&lt;&gt;""),'Moderator Analysis'!E:E-FP$3,"")</f>
        <v/>
      </c>
      <c r="FH94" s="74" t="str">
        <f>IF(AND(Include_study?="Yes",Sufficient_data="Yes",Moderator&lt;&gt;""),FE:FE*('Moderator Analysis'!F:F-FP$5-FP$4*'Moderator Analysis'!E:E)^2,"")</f>
        <v/>
      </c>
      <c r="FI94" s="128"/>
      <c r="FJ94" s="92" t="str">
        <f t="shared" si="316"/>
        <v/>
      </c>
      <c r="FK94" s="137" t="str">
        <f>IF(AND(Include_study?="Yes",Sufficient_data="Yes",Moderator&lt;&gt;""),'Moderator Analysis'!F:F-'Moderator Analysis'!J$37,"")</f>
        <v/>
      </c>
      <c r="FL94" s="137" t="str">
        <f>IF(AND(Include_study?="Yes",Sufficient_data="Yes",Moderator&lt;&gt;""),'Moderator Analysis'!E:E-SUMPRODUCT('Moderator Analysis'!E:E,FJ:FJ)/SUM(FJ:FJ),"")</f>
        <v/>
      </c>
      <c r="FM94" s="95" t="str">
        <f>IF(AND(Include_study?="Yes",Sufficient_data="Yes",Moderator&lt;&gt;""),FJ:FJ*('Moderator Analysis'!F:F-'Moderator Analysis'!J$29-'Moderator Analysis'!J$30*'Moderator Analysis'!E:E)^2,"")</f>
        <v/>
      </c>
      <c r="FR94" s="196"/>
      <c r="FS94" s="182"/>
      <c r="FT9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4" s="39" t="str">
        <f>IF(AND(Include_study?="Yes",Sufficient_data="Yes"),1/('Publication Bias Analysis'!F:F^2+IF(Additional_model="Fixed effect",0,Calculations!GH$12)),"")</f>
        <v/>
      </c>
      <c r="FV94" s="39" t="str">
        <f>IF(AND(Include_study?="Yes",Sufficient_data="Yes"),1/('Publication Bias Analysis'!F:F^2+IF(Additional_model="Fixed effect",0,'Publication Bias Analysis'!L$32)),"")</f>
        <v/>
      </c>
      <c r="FW94" s="39" t="str">
        <f>IF(AND(Include_study?="Yes",Sufficient_data="Yes"),'Publication Bias Analysis'!E:E-'Publication Bias Analysis'!I$37,"")</f>
        <v/>
      </c>
      <c r="FX94" s="39" t="str">
        <f>IF(AND(Include_study?="Yes",Sufficient_data="Yes"),IF(Additional_model="Fixed effect",1/'Publication Bias Analysis'!F:F,1/SQRT('Publication Bias Analysis'!F:F^2+GH$12)),"")</f>
        <v/>
      </c>
      <c r="FY9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4" s="136" t="str">
        <f t="shared" si="317"/>
        <v/>
      </c>
      <c r="GA94" s="144" t="str">
        <f>IF(AND(Include_study?="Yes",Sufficient_data="Yes"),FZ:FZ+IF(GL:GL&lt;0,-1,1)*COUNTIF(FZ$2:FZ93,FZ:FZ),"")</f>
        <v/>
      </c>
      <c r="GB94" s="144" t="str">
        <f>IF(AND(Include_study?="Yes",Sufficient_data="Yes"),RANK(GP:GP,GP:GP,1)*IF(GO:GO&lt;0,-1,1)+IF(GO:GO&lt;0,-1,1)*COUNTIF(FZ$2:FZ93,FZ:FZ),"")</f>
        <v/>
      </c>
      <c r="GC94" s="144" t="str">
        <f>IF(AND(Include_study?="Yes",Sufficient_data="Yes"),RANK(GS:GS,GS:GS,1)*IF(GR:GR&lt;0,-1,1)+IF(GR:GR&lt;0,-1,1)*COUNTIF(FZ$2:FZ93,FZ:FZ),"")</f>
        <v/>
      </c>
      <c r="GD94" s="39" t="e">
        <f>IF(AND(Include_study?="Yes",Sufficient_data="Yes"),'Publication Bias Analysis'!E94,NA())</f>
        <v>#N/A</v>
      </c>
      <c r="GE94" s="74" t="e">
        <f>IF(AND(Include_study?="Yes",Sufficient_data="Yes"),'Publication Bias Analysis'!F94,NA())</f>
        <v>#N/A</v>
      </c>
      <c r="GK94" s="176"/>
      <c r="GL9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4" s="39" t="str">
        <f t="shared" si="318"/>
        <v/>
      </c>
      <c r="GN9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4" s="39" t="str">
        <f>IF(AND(Include_study?="Yes",Sufficient_data="Yes"),IF('Publication Bias Analysis'!L$38="Left",'Publication Bias Analysis'!E:E-GW$3,GW$3-'Publication Bias Analysis'!E:E),"")</f>
        <v/>
      </c>
      <c r="GP94" s="39" t="str">
        <f t="shared" si="330"/>
        <v/>
      </c>
      <c r="GQ9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4" s="39" t="str">
        <f>IF(AND(Include_study?="Yes",Sufficient_data="Yes"),IF('Publication Bias Analysis'!L$38="Left",'Publication Bias Analysis'!E:E-GW$10,GW$10-'Publication Bias Analysis'!E:E),"")</f>
        <v/>
      </c>
      <c r="GS94" s="39" t="str">
        <f t="shared" si="331"/>
        <v/>
      </c>
      <c r="GT9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4" s="176"/>
      <c r="HL94" s="69" t="str">
        <f t="shared" si="319"/>
        <v/>
      </c>
      <c r="HM94" s="74" t="str">
        <f>IF(AND(Include_study?="Yes",Sufficient_data="Yes"),Z_score-('Publication Bias Analysis'!P$3+'Publication Bias Analysis'!P$4*Inverse_standard_error),"")</f>
        <v/>
      </c>
      <c r="HO94" s="176"/>
      <c r="HP94" s="69" t="str">
        <f>IF(AND(Include_study?="Yes",Sufficient_data="Yes"),(GD:GD-SUMPRODUCT(Calculations!FT:FT,'Publication Bias Analysis'!E:E)/SUM(Calculations!FT:FT))/SQRT(Calculations!HQ:HQ),"")</f>
        <v/>
      </c>
      <c r="HQ94" s="69" t="str">
        <f>IF(AND(Include_study?="Yes",Sufficient_data="Yes"),GE:GE^2-1/SUM(Calculations!FT:FT),"")</f>
        <v/>
      </c>
      <c r="HR94" s="7" t="str">
        <f t="shared" si="240"/>
        <v/>
      </c>
      <c r="HS94" s="7" t="str">
        <f t="shared" si="241"/>
        <v/>
      </c>
      <c r="HT94" s="7" t="str">
        <f>IF(AND(Include_study?="Yes",Sufficient_data="Yes"),COUNTIFS(HR$2:HR93,"&lt;"&amp;HR94,HS$2:HS93,"&lt;"&amp;HS94)+COUNTIFS(HR95:HR$201,"&lt;"&amp;HR94,HS95:HS$201,"&lt;"&amp;HS94)+COUNTIFS(HR$2:HR93,"&gt;"&amp;HR94,HS$2:HS93,"&gt;"&amp;HS94)+COUNTIFS(HR95:HR$201,"&gt;"&amp;HR94,HS95:HS$201,"&gt;"&amp;HS94),"")</f>
        <v/>
      </c>
      <c r="HU94" s="104" t="str">
        <f>IF(AND(Include_study?="Yes",Sufficient_data="Yes"),COUNTIFS(HR$2:HR93,"&lt;"&amp;HR94,HS$2:HS93,"&gt;"&amp;HS94)+COUNTIFS(HR95:HR$201,"&lt;"&amp;HR94,HS95:HS$201,"&gt;"&amp;HS94)+COUNTIFS(HR$2:HR93,"&gt;"&amp;HR94,HS$2:HS93,"&lt;"&amp;HS94)+COUNTIFS(HR95:HR$201,"&gt;"&amp;HR94,HS95:HS$201,"&lt;"&amp;HS94),"")</f>
        <v/>
      </c>
      <c r="HW94" s="176"/>
      <c r="IB94" s="176"/>
      <c r="IC94" s="146" t="e">
        <f t="shared" si="320"/>
        <v>#N/A</v>
      </c>
      <c r="ID94" s="137" t="e">
        <f t="shared" si="321"/>
        <v>#N/A</v>
      </c>
      <c r="IE94" s="137" t="str">
        <f t="shared" si="322"/>
        <v/>
      </c>
      <c r="IF94" s="95" t="str">
        <f t="shared" si="323"/>
        <v/>
      </c>
      <c r="IK94" s="176"/>
      <c r="IL94" s="69" t="e">
        <f>IF(AND(Include_study?="Yes",Sufficient_data="Yes"),'Publication Bias Analysis'!AV:AV,NA())</f>
        <v>#N/A</v>
      </c>
      <c r="IM94" s="158" t="e">
        <f>IF(AND(Sufficient_data="Yes",Include_study?="Yes"),'Publication Bias Analysis'!AU:AU,NA())</f>
        <v>#N/A</v>
      </c>
      <c r="IN94" s="69" t="str">
        <f t="shared" si="219"/>
        <v/>
      </c>
      <c r="IO94" s="74" t="str">
        <f>IF(AND(Include_study?="Yes",Sufficient_data="Yes"),Z_score-('Publication Bias Analysis'!AY$30+'Publication Bias Analysis'!AY$31*Inverse_standard_error),"")</f>
        <v/>
      </c>
      <c r="IU94" s="176"/>
      <c r="IV94" s="7" t="str">
        <f>IF('Publication Bias Analysis'!BG:BG&lt;&gt;"",RANK('Publication Bias Analysis'!BG:BG,'Publication Bias Analysis'!BG:BG,1)+COUNTIF('Publication Bias Analysis'!BG$2:BG93,'Publication Bias Analysis'!BG94),"")</f>
        <v/>
      </c>
      <c r="IW94" s="124" t="str">
        <f t="shared" si="324"/>
        <v/>
      </c>
      <c r="IX94" s="125" t="e">
        <f>IF('Publication Bias Analysis'!BF94&lt;&gt;"",'Publication Bias Analysis'!BF94,NA())</f>
        <v>#N/A</v>
      </c>
      <c r="IY94" s="125" t="e">
        <f>IF('Publication Bias Analysis'!BG94&lt;&gt;"",'Publication Bias Analysis'!BG94,NA())</f>
        <v>#N/A</v>
      </c>
      <c r="IZ94" s="69" t="str">
        <f>IF(AND(Include_study?="Yes",Sufficient_data="Yes"),'Publication Bias Analysis'!BF:BF-AVERAGE('Publication Bias Analysis'!BF:BF),"")</f>
        <v/>
      </c>
      <c r="JA94" s="74" t="str">
        <f>IF(AND(Include_study?="Yes",Sufficient_data="Yes"),'Publication Bias Analysis'!BG:BG-('Publication Bias Analysis'!BJ$30+'Publication Bias Analysis'!BJ$31*'Publication Bias Analysis'!BF:BF),"")</f>
        <v/>
      </c>
      <c r="JG94" s="176"/>
      <c r="JH94" s="39" t="str">
        <f t="shared" si="325"/>
        <v/>
      </c>
      <c r="JI94" s="148" t="str">
        <f t="shared" si="332"/>
        <v/>
      </c>
      <c r="JJ94" s="74" t="str">
        <f t="shared" si="333"/>
        <v/>
      </c>
    </row>
    <row r="95" spans="1:270" x14ac:dyDescent="0.2">
      <c r="A95" s="56" t="str">
        <f t="shared" si="126"/>
        <v/>
      </c>
      <c r="B95" s="7" t="str">
        <f>IF(AND(Include_study?="Yes",Sufficient_data="Yes"),IF(Input!a_&lt;&gt;"",Input!a_,Input!n1_-Input!b_),"")</f>
        <v/>
      </c>
      <c r="C95" s="7" t="str">
        <f>IF(AND(Include_study?="Yes",Sufficient_data="Yes"),IF(Input!b_&lt;&gt;"",Input!b_,Input!n1_-Input!a_),"")</f>
        <v/>
      </c>
      <c r="D95" s="7" t="str">
        <f>IF(AND(Include_study?="Yes",Sufficient_data="Yes"),IF(Input!c_&lt;&gt;"",Input!c_,Input!n2_-Input!d_),"")</f>
        <v/>
      </c>
      <c r="E95" s="7" t="str">
        <f>IF(AND(Include_study?="Yes",Sufficient_data="Yes"),IF(Input!d_&lt;&gt;"",Input!d_,Input!n2_-Input!c_),"")</f>
        <v/>
      </c>
      <c r="F95" s="74" t="str">
        <f t="shared" si="244"/>
        <v/>
      </c>
      <c r="H95" s="196"/>
      <c r="I95" s="182"/>
      <c r="J95" s="146" t="str">
        <f t="shared" si="245"/>
        <v/>
      </c>
      <c r="K95" s="39" t="str">
        <f t="shared" si="246"/>
        <v/>
      </c>
      <c r="L95" s="39" t="str">
        <f t="shared" si="247"/>
        <v/>
      </c>
      <c r="M95" s="39" t="str">
        <f t="shared" si="248"/>
        <v/>
      </c>
      <c r="N95" s="74" t="str">
        <f t="shared" si="249"/>
        <v/>
      </c>
      <c r="P95" s="176"/>
      <c r="Q95" s="130" t="str">
        <f t="shared" si="250"/>
        <v/>
      </c>
      <c r="R95" s="39" t="str">
        <f t="shared" si="251"/>
        <v/>
      </c>
      <c r="S95" s="39" t="str">
        <f t="shared" si="252"/>
        <v/>
      </c>
      <c r="T95" s="74" t="str">
        <f t="shared" si="253"/>
        <v/>
      </c>
      <c r="V95" s="176"/>
      <c r="W95" s="130" t="str">
        <f t="shared" si="254"/>
        <v/>
      </c>
      <c r="X95" s="39" t="str">
        <f t="shared" si="255"/>
        <v/>
      </c>
      <c r="Y95" s="39" t="str">
        <f t="shared" si="256"/>
        <v/>
      </c>
      <c r="Z95" s="74" t="str">
        <f t="shared" si="257"/>
        <v/>
      </c>
      <c r="AB95" s="176"/>
      <c r="AC95" s="130" t="str">
        <f t="shared" si="258"/>
        <v/>
      </c>
      <c r="AD95" s="39" t="str">
        <f t="shared" si="259"/>
        <v/>
      </c>
      <c r="AE95" s="39" t="str">
        <f t="shared" si="260"/>
        <v/>
      </c>
      <c r="AF95" s="39" t="str">
        <f t="shared" si="261"/>
        <v/>
      </c>
      <c r="AG95" s="74" t="str">
        <f t="shared" si="262"/>
        <v/>
      </c>
      <c r="AI95" s="196"/>
      <c r="AJ9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5" s="136" t="str">
        <f>IF(AJ95&lt;&gt;"",IF(AJ95=0,COUNTIF(AJ$2:AJ94,0)+1,COUNTIF(AJ$2:AJ94,AJ95)+AJ95+COUNTIF(AJ:AJ,0)),"")</f>
        <v/>
      </c>
      <c r="AL95" s="136" t="str">
        <f t="shared" si="263"/>
        <v/>
      </c>
      <c r="AM95" s="155" t="str">
        <f>IF(AND(Include_study?="Yes",Sufficient_data="Yes",Input!Study_name&lt;&gt;""),Input!Study_name,"")</f>
        <v/>
      </c>
      <c r="AN95" s="136" t="str">
        <f t="shared" si="264"/>
        <v/>
      </c>
      <c r="AO95" s="19" t="str">
        <f t="shared" si="265"/>
        <v/>
      </c>
      <c r="AP95" s="158" t="str">
        <f t="shared" si="266"/>
        <v/>
      </c>
      <c r="AQ95" s="158" t="str">
        <f t="shared" si="267"/>
        <v/>
      </c>
      <c r="AR95" s="39" t="str">
        <f t="shared" si="268"/>
        <v/>
      </c>
      <c r="AS95" s="158" t="str">
        <f t="shared" si="269"/>
        <v/>
      </c>
      <c r="AT95" s="39" t="str">
        <f t="shared" si="270"/>
        <v/>
      </c>
      <c r="AU95" s="172" t="str">
        <f t="shared" si="271"/>
        <v/>
      </c>
      <c r="AV95" s="45"/>
      <c r="AW95" s="84" t="e">
        <f t="shared" si="152"/>
        <v>#N/A</v>
      </c>
      <c r="AX95" s="69" t="e">
        <f t="shared" si="272"/>
        <v>#N/A</v>
      </c>
      <c r="AY95" s="74" t="e">
        <f t="shared" si="273"/>
        <v>#N/A</v>
      </c>
      <c r="AZ95" s="45"/>
      <c r="BA95" s="45"/>
      <c r="BB95" s="45"/>
      <c r="BC95" s="45"/>
      <c r="BD95" s="196"/>
      <c r="BE95" s="182"/>
      <c r="BF95" s="69" t="str">
        <f t="shared" si="155"/>
        <v/>
      </c>
      <c r="BG95" s="69" t="str">
        <f t="shared" si="156"/>
        <v/>
      </c>
      <c r="BH95" s="69" t="str">
        <f t="shared" si="157"/>
        <v/>
      </c>
      <c r="BI95" s="39" t="str">
        <f t="shared" si="158"/>
        <v/>
      </c>
      <c r="BJ95" s="95" t="str">
        <f t="shared" si="274"/>
        <v/>
      </c>
      <c r="BO95" s="176"/>
      <c r="BP95" s="158" t="str">
        <f t="shared" si="275"/>
        <v/>
      </c>
      <c r="BQ95" s="158" t="str">
        <f t="shared" si="276"/>
        <v/>
      </c>
      <c r="BR95" s="158" t="str">
        <f t="shared" si="277"/>
        <v/>
      </c>
      <c r="BS95" s="158" t="str">
        <f>IF(AND(Sufficient_data="Yes",Include_study?="Yes"),IF(Add_0_5="Yes",(a_+d_+1)*(ab_+0.5)*(c_+0.5)/(Number_of_subjects+2)^2,(a_+d_)*b_*c_/Number_of_subjects^2),"")</f>
        <v/>
      </c>
      <c r="BT95" s="158" t="str">
        <f t="shared" si="278"/>
        <v/>
      </c>
      <c r="BU95" s="158" t="str">
        <f t="shared" si="279"/>
        <v/>
      </c>
      <c r="BV95" s="158" t="str">
        <f t="shared" si="280"/>
        <v/>
      </c>
      <c r="BW95" s="69" t="str">
        <f t="shared" si="166"/>
        <v/>
      </c>
      <c r="BX95" s="137" t="str">
        <f t="shared" si="167"/>
        <v/>
      </c>
      <c r="BY95" s="95" t="str">
        <f t="shared" si="281"/>
        <v/>
      </c>
      <c r="CD95" s="176"/>
      <c r="CE95" s="130" t="str">
        <f t="shared" si="282"/>
        <v/>
      </c>
      <c r="CF95" s="39" t="str">
        <f t="shared" si="283"/>
        <v/>
      </c>
      <c r="CG95" s="39" t="str">
        <f t="shared" si="284"/>
        <v/>
      </c>
      <c r="CH95" s="39" t="str">
        <f t="shared" si="285"/>
        <v/>
      </c>
      <c r="CI95" s="39" t="str">
        <f t="shared" si="286"/>
        <v/>
      </c>
      <c r="CJ95" s="39" t="str">
        <f t="shared" si="287"/>
        <v/>
      </c>
      <c r="CK95" s="95" t="str">
        <f t="shared" si="288"/>
        <v/>
      </c>
      <c r="CP95" s="176"/>
      <c r="CQ95" s="99" t="str">
        <f t="shared" si="175"/>
        <v/>
      </c>
      <c r="CX95" s="196"/>
      <c r="CY95" s="89" t="e">
        <f t="shared" si="289"/>
        <v>#N/A</v>
      </c>
      <c r="CZ95" s="136" t="str">
        <f t="shared" si="290"/>
        <v/>
      </c>
      <c r="DA95" s="140" t="str">
        <f t="shared" si="291"/>
        <v/>
      </c>
      <c r="DB95" s="39" t="str">
        <f t="shared" si="292"/>
        <v/>
      </c>
      <c r="DC95" s="39" t="str">
        <f t="shared" si="293"/>
        <v/>
      </c>
      <c r="DD95" s="39" t="str">
        <f t="shared" si="294"/>
        <v/>
      </c>
      <c r="DE95" s="39" t="str">
        <f t="shared" si="295"/>
        <v/>
      </c>
      <c r="DF95" s="141" t="str">
        <f t="shared" si="296"/>
        <v/>
      </c>
      <c r="DG95" s="39" t="str">
        <f t="shared" si="297"/>
        <v/>
      </c>
      <c r="DH95" s="39" t="str">
        <f t="shared" si="298"/>
        <v/>
      </c>
      <c r="DI95" s="39" t="str">
        <f t="shared" si="299"/>
        <v/>
      </c>
      <c r="DJ95" s="74" t="str">
        <f t="shared" si="300"/>
        <v/>
      </c>
      <c r="DK95" s="45"/>
      <c r="DL95" s="84" t="e">
        <f t="shared" si="222"/>
        <v>#N/A</v>
      </c>
      <c r="DM95" s="39" t="e">
        <f t="shared" si="301"/>
        <v>#N/A</v>
      </c>
      <c r="DN95" s="74" t="e">
        <f t="shared" si="302"/>
        <v>#N/A</v>
      </c>
      <c r="DO95" s="45"/>
      <c r="DP95" s="89" t="str">
        <f t="shared" si="326"/>
        <v/>
      </c>
      <c r="DQ95" s="26" t="str">
        <f>IF(AND(Sufficient_data="Yes",Subgroup&lt;&gt;""),IF(COUNTIFS(Input!J$2:J94,"="&amp;"Yes",Input!C$2:C94,"="&amp;"Yes",Input!K$2:K94,"="&amp;Subgroup)&gt;0,"",Subgroup),"")</f>
        <v/>
      </c>
      <c r="DR95" s="7" t="str">
        <f t="shared" si="327"/>
        <v/>
      </c>
      <c r="DS95" s="7" t="str">
        <f t="shared" si="303"/>
        <v/>
      </c>
      <c r="DT95" s="19" t="str">
        <f t="shared" si="304"/>
        <v/>
      </c>
      <c r="DU95" s="12" t="str">
        <f t="shared" si="223"/>
        <v/>
      </c>
      <c r="DV95" s="11" t="str">
        <f t="shared" si="224"/>
        <v/>
      </c>
      <c r="DW95" s="12" t="str">
        <f t="shared" si="225"/>
        <v/>
      </c>
      <c r="DX95" s="12" t="str">
        <f t="shared" si="305"/>
        <v/>
      </c>
      <c r="DY95" s="19" t="str">
        <f t="shared" si="226"/>
        <v/>
      </c>
      <c r="DZ95" s="12" t="str">
        <f t="shared" si="227"/>
        <v/>
      </c>
      <c r="EA95" s="19" t="str">
        <f t="shared" si="306"/>
        <v/>
      </c>
      <c r="EB95" s="7" t="str">
        <f t="shared" si="307"/>
        <v/>
      </c>
      <c r="EC95" s="19" t="str">
        <f t="shared" si="308"/>
        <v/>
      </c>
      <c r="ED95" s="19" t="str">
        <f t="shared" si="309"/>
        <v/>
      </c>
      <c r="EE95" s="19" t="str">
        <f t="shared" si="228"/>
        <v/>
      </c>
      <c r="EF95" s="19" t="str">
        <f t="shared" si="229"/>
        <v/>
      </c>
      <c r="EG95" s="19" t="str">
        <f t="shared" si="230"/>
        <v/>
      </c>
      <c r="EH95" s="19" t="str">
        <f t="shared" si="231"/>
        <v/>
      </c>
      <c r="EI95" s="19" t="str">
        <f t="shared" si="232"/>
        <v/>
      </c>
      <c r="EJ95" s="19" t="str">
        <f t="shared" si="310"/>
        <v/>
      </c>
      <c r="EK95" s="19" t="str">
        <f t="shared" si="311"/>
        <v/>
      </c>
      <c r="EL95" s="19" t="str">
        <f t="shared" si="233"/>
        <v/>
      </c>
      <c r="EM95" s="19" t="str">
        <f t="shared" si="234"/>
        <v/>
      </c>
      <c r="EN95" s="19" t="str">
        <f t="shared" si="235"/>
        <v/>
      </c>
      <c r="EO95" s="19" t="str">
        <f t="shared" si="236"/>
        <v/>
      </c>
      <c r="EP95" s="19" t="str">
        <f t="shared" si="237"/>
        <v/>
      </c>
      <c r="EQ95" s="19" t="e">
        <f t="shared" si="238"/>
        <v>#N/A</v>
      </c>
      <c r="ER95" s="11" t="str">
        <f t="shared" si="328"/>
        <v/>
      </c>
      <c r="ES95" s="19" t="str">
        <f t="shared" si="329"/>
        <v/>
      </c>
      <c r="ET95" s="156" t="str">
        <f t="shared" si="312"/>
        <v/>
      </c>
      <c r="EU95" s="39" t="str">
        <f t="shared" si="239"/>
        <v/>
      </c>
      <c r="EV95" s="74" t="str">
        <f t="shared" si="313"/>
        <v/>
      </c>
      <c r="FA95" s="196"/>
      <c r="FB95" s="84" t="e">
        <f>IF(AND(Include_study?="Yes",Sufficient_data="Yes",Moderator&lt;&gt;""),'Moderator Analysis'!E95,NA())</f>
        <v>#N/A</v>
      </c>
      <c r="FC95" s="39" t="e">
        <f>IF(AND(Include_study?="Yes",Sufficient_data="Yes",Moderator&lt;&gt;""),'Moderator Analysis'!F95,NA())</f>
        <v>#N/A</v>
      </c>
      <c r="FD95" s="39" t="str">
        <f t="shared" si="314"/>
        <v/>
      </c>
      <c r="FE95" s="39" t="str">
        <f t="shared" si="315"/>
        <v/>
      </c>
      <c r="FF95" s="39" t="str">
        <f>IF(AND(Include_study?="Yes",Sufficient_data="Yes",Moderator&lt;&gt;""),'Moderator Analysis'!F:F-FP$2,"")</f>
        <v/>
      </c>
      <c r="FG95" s="39" t="str">
        <f>IF(AND(Include_study?="Yes",Sufficient_data="Yes",Moderator&lt;&gt;""),'Moderator Analysis'!E:E-FP$3,"")</f>
        <v/>
      </c>
      <c r="FH95" s="74" t="str">
        <f>IF(AND(Include_study?="Yes",Sufficient_data="Yes",Moderator&lt;&gt;""),FE:FE*('Moderator Analysis'!F:F-FP$5-FP$4*'Moderator Analysis'!E:E)^2,"")</f>
        <v/>
      </c>
      <c r="FI95" s="128"/>
      <c r="FJ95" s="92" t="str">
        <f t="shared" si="316"/>
        <v/>
      </c>
      <c r="FK95" s="137" t="str">
        <f>IF(AND(Include_study?="Yes",Sufficient_data="Yes",Moderator&lt;&gt;""),'Moderator Analysis'!F:F-'Moderator Analysis'!J$37,"")</f>
        <v/>
      </c>
      <c r="FL95" s="137" t="str">
        <f>IF(AND(Include_study?="Yes",Sufficient_data="Yes",Moderator&lt;&gt;""),'Moderator Analysis'!E:E-SUMPRODUCT('Moderator Analysis'!E:E,FJ:FJ)/SUM(FJ:FJ),"")</f>
        <v/>
      </c>
      <c r="FM95" s="95" t="str">
        <f>IF(AND(Include_study?="Yes",Sufficient_data="Yes",Moderator&lt;&gt;""),FJ:FJ*('Moderator Analysis'!F:F-'Moderator Analysis'!J$29-'Moderator Analysis'!J$30*'Moderator Analysis'!E:E)^2,"")</f>
        <v/>
      </c>
      <c r="FR95" s="196"/>
      <c r="FS95" s="182"/>
      <c r="FT9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5" s="39" t="str">
        <f>IF(AND(Include_study?="Yes",Sufficient_data="Yes"),1/('Publication Bias Analysis'!F:F^2+IF(Additional_model="Fixed effect",0,Calculations!GH$12)),"")</f>
        <v/>
      </c>
      <c r="FV95" s="39" t="str">
        <f>IF(AND(Include_study?="Yes",Sufficient_data="Yes"),1/('Publication Bias Analysis'!F:F^2+IF(Additional_model="Fixed effect",0,'Publication Bias Analysis'!L$32)),"")</f>
        <v/>
      </c>
      <c r="FW95" s="39" t="str">
        <f>IF(AND(Include_study?="Yes",Sufficient_data="Yes"),'Publication Bias Analysis'!E:E-'Publication Bias Analysis'!I$37,"")</f>
        <v/>
      </c>
      <c r="FX95" s="39" t="str">
        <f>IF(AND(Include_study?="Yes",Sufficient_data="Yes"),IF(Additional_model="Fixed effect",1/'Publication Bias Analysis'!F:F,1/SQRT('Publication Bias Analysis'!F:F^2+GH$12)),"")</f>
        <v/>
      </c>
      <c r="FY9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5" s="136" t="str">
        <f t="shared" si="317"/>
        <v/>
      </c>
      <c r="GA95" s="144" t="str">
        <f>IF(AND(Include_study?="Yes",Sufficient_data="Yes"),FZ:FZ+IF(GL:GL&lt;0,-1,1)*COUNTIF(FZ$2:FZ94,FZ:FZ),"")</f>
        <v/>
      </c>
      <c r="GB95" s="144" t="str">
        <f>IF(AND(Include_study?="Yes",Sufficient_data="Yes"),RANK(GP:GP,GP:GP,1)*IF(GO:GO&lt;0,-1,1)+IF(GO:GO&lt;0,-1,1)*COUNTIF(FZ$2:FZ94,FZ:FZ),"")</f>
        <v/>
      </c>
      <c r="GC95" s="144" t="str">
        <f>IF(AND(Include_study?="Yes",Sufficient_data="Yes"),RANK(GS:GS,GS:GS,1)*IF(GR:GR&lt;0,-1,1)+IF(GR:GR&lt;0,-1,1)*COUNTIF(FZ$2:FZ94,FZ:FZ),"")</f>
        <v/>
      </c>
      <c r="GD95" s="39" t="e">
        <f>IF(AND(Include_study?="Yes",Sufficient_data="Yes"),'Publication Bias Analysis'!E95,NA())</f>
        <v>#N/A</v>
      </c>
      <c r="GE95" s="74" t="e">
        <f>IF(AND(Include_study?="Yes",Sufficient_data="Yes"),'Publication Bias Analysis'!F95,NA())</f>
        <v>#N/A</v>
      </c>
      <c r="GK95" s="176"/>
      <c r="GL9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5" s="39" t="str">
        <f t="shared" si="318"/>
        <v/>
      </c>
      <c r="GN9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5" s="39" t="str">
        <f>IF(AND(Include_study?="Yes",Sufficient_data="Yes"),IF('Publication Bias Analysis'!L$38="Left",'Publication Bias Analysis'!E:E-GW$3,GW$3-'Publication Bias Analysis'!E:E),"")</f>
        <v/>
      </c>
      <c r="GP95" s="39" t="str">
        <f t="shared" si="330"/>
        <v/>
      </c>
      <c r="GQ9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5" s="39" t="str">
        <f>IF(AND(Include_study?="Yes",Sufficient_data="Yes"),IF('Publication Bias Analysis'!L$38="Left",'Publication Bias Analysis'!E:E-GW$10,GW$10-'Publication Bias Analysis'!E:E),"")</f>
        <v/>
      </c>
      <c r="GS95" s="39" t="str">
        <f t="shared" si="331"/>
        <v/>
      </c>
      <c r="GT9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5" s="176"/>
      <c r="HL95" s="69" t="str">
        <f t="shared" si="319"/>
        <v/>
      </c>
      <c r="HM95" s="74" t="str">
        <f>IF(AND(Include_study?="Yes",Sufficient_data="Yes"),Z_score-('Publication Bias Analysis'!P$3+'Publication Bias Analysis'!P$4*Inverse_standard_error),"")</f>
        <v/>
      </c>
      <c r="HO95" s="176"/>
      <c r="HP95" s="69" t="str">
        <f>IF(AND(Include_study?="Yes",Sufficient_data="Yes"),(GD:GD-SUMPRODUCT(Calculations!FT:FT,'Publication Bias Analysis'!E:E)/SUM(Calculations!FT:FT))/SQRT(Calculations!HQ:HQ),"")</f>
        <v/>
      </c>
      <c r="HQ95" s="69" t="str">
        <f>IF(AND(Include_study?="Yes",Sufficient_data="Yes"),GE:GE^2-1/SUM(Calculations!FT:FT),"")</f>
        <v/>
      </c>
      <c r="HR95" s="7" t="str">
        <f t="shared" si="240"/>
        <v/>
      </c>
      <c r="HS95" s="7" t="str">
        <f t="shared" si="241"/>
        <v/>
      </c>
      <c r="HT95" s="7" t="str">
        <f>IF(AND(Include_study?="Yes",Sufficient_data="Yes"),COUNTIFS(HR$2:HR94,"&lt;"&amp;HR95,HS$2:HS94,"&lt;"&amp;HS95)+COUNTIFS(HR96:HR$201,"&lt;"&amp;HR95,HS96:HS$201,"&lt;"&amp;HS95)+COUNTIFS(HR$2:HR94,"&gt;"&amp;HR95,HS$2:HS94,"&gt;"&amp;HS95)+COUNTIFS(HR96:HR$201,"&gt;"&amp;HR95,HS96:HS$201,"&gt;"&amp;HS95),"")</f>
        <v/>
      </c>
      <c r="HU95" s="104" t="str">
        <f>IF(AND(Include_study?="Yes",Sufficient_data="Yes"),COUNTIFS(HR$2:HR94,"&lt;"&amp;HR95,HS$2:HS94,"&gt;"&amp;HS95)+COUNTIFS(HR96:HR$201,"&lt;"&amp;HR95,HS96:HS$201,"&gt;"&amp;HS95)+COUNTIFS(HR$2:HR94,"&gt;"&amp;HR95,HS$2:HS94,"&lt;"&amp;HS95)+COUNTIFS(HR96:HR$201,"&gt;"&amp;HR95,HS96:HS$201,"&lt;"&amp;HS95),"")</f>
        <v/>
      </c>
      <c r="HW95" s="176"/>
      <c r="IB95" s="176"/>
      <c r="IC95" s="146" t="e">
        <f t="shared" si="320"/>
        <v>#N/A</v>
      </c>
      <c r="ID95" s="137" t="e">
        <f t="shared" si="321"/>
        <v>#N/A</v>
      </c>
      <c r="IE95" s="137" t="str">
        <f t="shared" si="322"/>
        <v/>
      </c>
      <c r="IF95" s="95" t="str">
        <f t="shared" si="323"/>
        <v/>
      </c>
      <c r="IK95" s="176"/>
      <c r="IL95" s="69" t="e">
        <f>IF(AND(Include_study?="Yes",Sufficient_data="Yes"),'Publication Bias Analysis'!AV:AV,NA())</f>
        <v>#N/A</v>
      </c>
      <c r="IM95" s="158" t="e">
        <f>IF(AND(Sufficient_data="Yes",Include_study?="Yes"),'Publication Bias Analysis'!AU:AU,NA())</f>
        <v>#N/A</v>
      </c>
      <c r="IN95" s="69" t="str">
        <f t="shared" si="219"/>
        <v/>
      </c>
      <c r="IO95" s="74" t="str">
        <f>IF(AND(Include_study?="Yes",Sufficient_data="Yes"),Z_score-('Publication Bias Analysis'!AY$30+'Publication Bias Analysis'!AY$31*Inverse_standard_error),"")</f>
        <v/>
      </c>
      <c r="IU95" s="176"/>
      <c r="IV95" s="7" t="str">
        <f>IF('Publication Bias Analysis'!BG:BG&lt;&gt;"",RANK('Publication Bias Analysis'!BG:BG,'Publication Bias Analysis'!BG:BG,1)+COUNTIF('Publication Bias Analysis'!BG$2:BG94,'Publication Bias Analysis'!BG95),"")</f>
        <v/>
      </c>
      <c r="IW95" s="124" t="str">
        <f t="shared" si="324"/>
        <v/>
      </c>
      <c r="IX95" s="125" t="e">
        <f>IF('Publication Bias Analysis'!BF95&lt;&gt;"",'Publication Bias Analysis'!BF95,NA())</f>
        <v>#N/A</v>
      </c>
      <c r="IY95" s="125" t="e">
        <f>IF('Publication Bias Analysis'!BG95&lt;&gt;"",'Publication Bias Analysis'!BG95,NA())</f>
        <v>#N/A</v>
      </c>
      <c r="IZ95" s="69" t="str">
        <f>IF(AND(Include_study?="Yes",Sufficient_data="Yes"),'Publication Bias Analysis'!BF:BF-AVERAGE('Publication Bias Analysis'!BF:BF),"")</f>
        <v/>
      </c>
      <c r="JA95" s="74" t="str">
        <f>IF(AND(Include_study?="Yes",Sufficient_data="Yes"),'Publication Bias Analysis'!BG:BG-('Publication Bias Analysis'!BJ$30+'Publication Bias Analysis'!BJ$31*'Publication Bias Analysis'!BF:BF),"")</f>
        <v/>
      </c>
      <c r="JG95" s="176"/>
      <c r="JH95" s="39" t="str">
        <f t="shared" si="325"/>
        <v/>
      </c>
      <c r="JI95" s="148" t="str">
        <f t="shared" si="332"/>
        <v/>
      </c>
      <c r="JJ95" s="74" t="str">
        <f t="shared" si="333"/>
        <v/>
      </c>
    </row>
    <row r="96" spans="1:270" x14ac:dyDescent="0.2">
      <c r="A96" s="56" t="str">
        <f t="shared" si="126"/>
        <v/>
      </c>
      <c r="B96" s="7" t="str">
        <f>IF(AND(Include_study?="Yes",Sufficient_data="Yes"),IF(Input!a_&lt;&gt;"",Input!a_,Input!n1_-Input!b_),"")</f>
        <v/>
      </c>
      <c r="C96" s="7" t="str">
        <f>IF(AND(Include_study?="Yes",Sufficient_data="Yes"),IF(Input!b_&lt;&gt;"",Input!b_,Input!n1_-Input!a_),"")</f>
        <v/>
      </c>
      <c r="D96" s="7" t="str">
        <f>IF(AND(Include_study?="Yes",Sufficient_data="Yes"),IF(Input!c_&lt;&gt;"",Input!c_,Input!n2_-Input!d_),"")</f>
        <v/>
      </c>
      <c r="E96" s="7" t="str">
        <f>IF(AND(Include_study?="Yes",Sufficient_data="Yes"),IF(Input!d_&lt;&gt;"",Input!d_,Input!n2_-Input!c_),"")</f>
        <v/>
      </c>
      <c r="F96" s="74" t="str">
        <f t="shared" si="244"/>
        <v/>
      </c>
      <c r="H96" s="196"/>
      <c r="I96" s="182"/>
      <c r="J96" s="146" t="str">
        <f t="shared" si="245"/>
        <v/>
      </c>
      <c r="K96" s="39" t="str">
        <f t="shared" si="246"/>
        <v/>
      </c>
      <c r="L96" s="39" t="str">
        <f t="shared" si="247"/>
        <v/>
      </c>
      <c r="M96" s="39" t="str">
        <f t="shared" si="248"/>
        <v/>
      </c>
      <c r="N96" s="74" t="str">
        <f t="shared" si="249"/>
        <v/>
      </c>
      <c r="P96" s="176"/>
      <c r="Q96" s="130" t="str">
        <f t="shared" si="250"/>
        <v/>
      </c>
      <c r="R96" s="39" t="str">
        <f t="shared" si="251"/>
        <v/>
      </c>
      <c r="S96" s="39" t="str">
        <f t="shared" si="252"/>
        <v/>
      </c>
      <c r="T96" s="74" t="str">
        <f t="shared" si="253"/>
        <v/>
      </c>
      <c r="V96" s="176"/>
      <c r="W96" s="130" t="str">
        <f t="shared" si="254"/>
        <v/>
      </c>
      <c r="X96" s="39" t="str">
        <f t="shared" si="255"/>
        <v/>
      </c>
      <c r="Y96" s="39" t="str">
        <f t="shared" si="256"/>
        <v/>
      </c>
      <c r="Z96" s="74" t="str">
        <f t="shared" si="257"/>
        <v/>
      </c>
      <c r="AB96" s="176"/>
      <c r="AC96" s="130" t="str">
        <f t="shared" si="258"/>
        <v/>
      </c>
      <c r="AD96" s="39" t="str">
        <f t="shared" si="259"/>
        <v/>
      </c>
      <c r="AE96" s="39" t="str">
        <f t="shared" si="260"/>
        <v/>
      </c>
      <c r="AF96" s="39" t="str">
        <f t="shared" si="261"/>
        <v/>
      </c>
      <c r="AG96" s="74" t="str">
        <f t="shared" si="262"/>
        <v/>
      </c>
      <c r="AI96" s="196"/>
      <c r="AJ9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6" s="136" t="str">
        <f>IF(AJ96&lt;&gt;"",IF(AJ96=0,COUNTIF(AJ$2:AJ95,0)+1,COUNTIF(AJ$2:AJ95,AJ96)+AJ96+COUNTIF(AJ:AJ,0)),"")</f>
        <v/>
      </c>
      <c r="AL96" s="136" t="str">
        <f t="shared" si="263"/>
        <v/>
      </c>
      <c r="AM96" s="155" t="str">
        <f>IF(AND(Include_study?="Yes",Sufficient_data="Yes",Input!Study_name&lt;&gt;""),Input!Study_name,"")</f>
        <v/>
      </c>
      <c r="AN96" s="136" t="str">
        <f t="shared" si="264"/>
        <v/>
      </c>
      <c r="AO96" s="19" t="str">
        <f t="shared" si="265"/>
        <v/>
      </c>
      <c r="AP96" s="158" t="str">
        <f t="shared" si="266"/>
        <v/>
      </c>
      <c r="AQ96" s="158" t="str">
        <f t="shared" si="267"/>
        <v/>
      </c>
      <c r="AR96" s="39" t="str">
        <f t="shared" si="268"/>
        <v/>
      </c>
      <c r="AS96" s="158" t="str">
        <f t="shared" si="269"/>
        <v/>
      </c>
      <c r="AT96" s="39" t="str">
        <f t="shared" si="270"/>
        <v/>
      </c>
      <c r="AU96" s="172" t="str">
        <f t="shared" si="271"/>
        <v/>
      </c>
      <c r="AV96" s="45"/>
      <c r="AW96" s="84" t="e">
        <f t="shared" si="152"/>
        <v>#N/A</v>
      </c>
      <c r="AX96" s="69" t="e">
        <f t="shared" si="272"/>
        <v>#N/A</v>
      </c>
      <c r="AY96" s="74" t="e">
        <f t="shared" si="273"/>
        <v>#N/A</v>
      </c>
      <c r="AZ96" s="45"/>
      <c r="BA96" s="45"/>
      <c r="BB96" s="45"/>
      <c r="BC96" s="45"/>
      <c r="BD96" s="196"/>
      <c r="BE96" s="182"/>
      <c r="BF96" s="69" t="str">
        <f t="shared" si="155"/>
        <v/>
      </c>
      <c r="BG96" s="69" t="str">
        <f t="shared" si="156"/>
        <v/>
      </c>
      <c r="BH96" s="69" t="str">
        <f t="shared" si="157"/>
        <v/>
      </c>
      <c r="BI96" s="39" t="str">
        <f t="shared" si="158"/>
        <v/>
      </c>
      <c r="BJ96" s="95" t="str">
        <f t="shared" si="274"/>
        <v/>
      </c>
      <c r="BO96" s="176"/>
      <c r="BP96" s="158" t="str">
        <f t="shared" si="275"/>
        <v/>
      </c>
      <c r="BQ96" s="158" t="str">
        <f t="shared" si="276"/>
        <v/>
      </c>
      <c r="BR96" s="158" t="str">
        <f t="shared" si="277"/>
        <v/>
      </c>
      <c r="BS96" s="158" t="str">
        <f>IF(AND(Sufficient_data="Yes",Include_study?="Yes"),IF(Add_0_5="Yes",(a_+d_+1)*(ab_+0.5)*(c_+0.5)/(Number_of_subjects+2)^2,(a_+d_)*b_*c_/Number_of_subjects^2),"")</f>
        <v/>
      </c>
      <c r="BT96" s="158" t="str">
        <f t="shared" si="278"/>
        <v/>
      </c>
      <c r="BU96" s="158" t="str">
        <f t="shared" si="279"/>
        <v/>
      </c>
      <c r="BV96" s="158" t="str">
        <f t="shared" si="280"/>
        <v/>
      </c>
      <c r="BW96" s="69" t="str">
        <f t="shared" si="166"/>
        <v/>
      </c>
      <c r="BX96" s="137" t="str">
        <f t="shared" si="167"/>
        <v/>
      </c>
      <c r="BY96" s="95" t="str">
        <f t="shared" si="281"/>
        <v/>
      </c>
      <c r="CD96" s="176"/>
      <c r="CE96" s="130" t="str">
        <f t="shared" si="282"/>
        <v/>
      </c>
      <c r="CF96" s="39" t="str">
        <f t="shared" si="283"/>
        <v/>
      </c>
      <c r="CG96" s="39" t="str">
        <f t="shared" si="284"/>
        <v/>
      </c>
      <c r="CH96" s="39" t="str">
        <f t="shared" si="285"/>
        <v/>
      </c>
      <c r="CI96" s="39" t="str">
        <f t="shared" si="286"/>
        <v/>
      </c>
      <c r="CJ96" s="39" t="str">
        <f t="shared" si="287"/>
        <v/>
      </c>
      <c r="CK96" s="95" t="str">
        <f t="shared" si="288"/>
        <v/>
      </c>
      <c r="CP96" s="176"/>
      <c r="CQ96" s="99" t="str">
        <f t="shared" si="175"/>
        <v/>
      </c>
      <c r="CX96" s="196"/>
      <c r="CY96" s="89" t="e">
        <f t="shared" si="289"/>
        <v>#N/A</v>
      </c>
      <c r="CZ96" s="136" t="str">
        <f t="shared" si="290"/>
        <v/>
      </c>
      <c r="DA96" s="140" t="str">
        <f t="shared" si="291"/>
        <v/>
      </c>
      <c r="DB96" s="39" t="str">
        <f t="shared" si="292"/>
        <v/>
      </c>
      <c r="DC96" s="39" t="str">
        <f t="shared" si="293"/>
        <v/>
      </c>
      <c r="DD96" s="39" t="str">
        <f t="shared" si="294"/>
        <v/>
      </c>
      <c r="DE96" s="39" t="str">
        <f t="shared" si="295"/>
        <v/>
      </c>
      <c r="DF96" s="141" t="str">
        <f t="shared" si="296"/>
        <v/>
      </c>
      <c r="DG96" s="39" t="str">
        <f t="shared" si="297"/>
        <v/>
      </c>
      <c r="DH96" s="39" t="str">
        <f t="shared" si="298"/>
        <v/>
      </c>
      <c r="DI96" s="39" t="str">
        <f t="shared" si="299"/>
        <v/>
      </c>
      <c r="DJ96" s="74" t="str">
        <f t="shared" si="300"/>
        <v/>
      </c>
      <c r="DK96" s="45"/>
      <c r="DL96" s="84" t="e">
        <f t="shared" si="222"/>
        <v>#N/A</v>
      </c>
      <c r="DM96" s="39" t="e">
        <f t="shared" si="301"/>
        <v>#N/A</v>
      </c>
      <c r="DN96" s="74" t="e">
        <f t="shared" si="302"/>
        <v>#N/A</v>
      </c>
      <c r="DO96" s="45"/>
      <c r="DP96" s="89" t="str">
        <f t="shared" si="326"/>
        <v/>
      </c>
      <c r="DQ96" s="26" t="str">
        <f>IF(AND(Sufficient_data="Yes",Subgroup&lt;&gt;""),IF(COUNTIFS(Input!J$2:J95,"="&amp;"Yes",Input!C$2:C95,"="&amp;"Yes",Input!K$2:K95,"="&amp;Subgroup)&gt;0,"",Subgroup),"")</f>
        <v/>
      </c>
      <c r="DR96" s="7" t="str">
        <f t="shared" si="327"/>
        <v/>
      </c>
      <c r="DS96" s="7" t="str">
        <f t="shared" si="303"/>
        <v/>
      </c>
      <c r="DT96" s="19" t="str">
        <f t="shared" si="304"/>
        <v/>
      </c>
      <c r="DU96" s="12" t="str">
        <f t="shared" si="223"/>
        <v/>
      </c>
      <c r="DV96" s="11" t="str">
        <f t="shared" si="224"/>
        <v/>
      </c>
      <c r="DW96" s="12" t="str">
        <f t="shared" si="225"/>
        <v/>
      </c>
      <c r="DX96" s="12" t="str">
        <f t="shared" si="305"/>
        <v/>
      </c>
      <c r="DY96" s="19" t="str">
        <f t="shared" si="226"/>
        <v/>
      </c>
      <c r="DZ96" s="12" t="str">
        <f t="shared" si="227"/>
        <v/>
      </c>
      <c r="EA96" s="19" t="str">
        <f t="shared" si="306"/>
        <v/>
      </c>
      <c r="EB96" s="7" t="str">
        <f t="shared" si="307"/>
        <v/>
      </c>
      <c r="EC96" s="19" t="str">
        <f t="shared" si="308"/>
        <v/>
      </c>
      <c r="ED96" s="19" t="str">
        <f t="shared" si="309"/>
        <v/>
      </c>
      <c r="EE96" s="19" t="str">
        <f t="shared" si="228"/>
        <v/>
      </c>
      <c r="EF96" s="19" t="str">
        <f t="shared" si="229"/>
        <v/>
      </c>
      <c r="EG96" s="19" t="str">
        <f t="shared" si="230"/>
        <v/>
      </c>
      <c r="EH96" s="19" t="str">
        <f t="shared" si="231"/>
        <v/>
      </c>
      <c r="EI96" s="19" t="str">
        <f t="shared" si="232"/>
        <v/>
      </c>
      <c r="EJ96" s="19" t="str">
        <f t="shared" si="310"/>
        <v/>
      </c>
      <c r="EK96" s="19" t="str">
        <f t="shared" si="311"/>
        <v/>
      </c>
      <c r="EL96" s="19" t="str">
        <f t="shared" si="233"/>
        <v/>
      </c>
      <c r="EM96" s="19" t="str">
        <f t="shared" si="234"/>
        <v/>
      </c>
      <c r="EN96" s="19" t="str">
        <f t="shared" si="235"/>
        <v/>
      </c>
      <c r="EO96" s="19" t="str">
        <f t="shared" si="236"/>
        <v/>
      </c>
      <c r="EP96" s="19" t="str">
        <f t="shared" si="237"/>
        <v/>
      </c>
      <c r="EQ96" s="19" t="e">
        <f t="shared" si="238"/>
        <v>#N/A</v>
      </c>
      <c r="ER96" s="11" t="str">
        <f t="shared" si="328"/>
        <v/>
      </c>
      <c r="ES96" s="19" t="str">
        <f t="shared" si="329"/>
        <v/>
      </c>
      <c r="ET96" s="156" t="str">
        <f t="shared" si="312"/>
        <v/>
      </c>
      <c r="EU96" s="39" t="str">
        <f t="shared" si="239"/>
        <v/>
      </c>
      <c r="EV96" s="74" t="str">
        <f t="shared" si="313"/>
        <v/>
      </c>
      <c r="FA96" s="196"/>
      <c r="FB96" s="84" t="e">
        <f>IF(AND(Include_study?="Yes",Sufficient_data="Yes",Moderator&lt;&gt;""),'Moderator Analysis'!E96,NA())</f>
        <v>#N/A</v>
      </c>
      <c r="FC96" s="39" t="e">
        <f>IF(AND(Include_study?="Yes",Sufficient_data="Yes",Moderator&lt;&gt;""),'Moderator Analysis'!F96,NA())</f>
        <v>#N/A</v>
      </c>
      <c r="FD96" s="39" t="str">
        <f t="shared" si="314"/>
        <v/>
      </c>
      <c r="FE96" s="39" t="str">
        <f t="shared" si="315"/>
        <v/>
      </c>
      <c r="FF96" s="39" t="str">
        <f>IF(AND(Include_study?="Yes",Sufficient_data="Yes",Moderator&lt;&gt;""),'Moderator Analysis'!F:F-FP$2,"")</f>
        <v/>
      </c>
      <c r="FG96" s="39" t="str">
        <f>IF(AND(Include_study?="Yes",Sufficient_data="Yes",Moderator&lt;&gt;""),'Moderator Analysis'!E:E-FP$3,"")</f>
        <v/>
      </c>
      <c r="FH96" s="74" t="str">
        <f>IF(AND(Include_study?="Yes",Sufficient_data="Yes",Moderator&lt;&gt;""),FE:FE*('Moderator Analysis'!F:F-FP$5-FP$4*'Moderator Analysis'!E:E)^2,"")</f>
        <v/>
      </c>
      <c r="FI96" s="128"/>
      <c r="FJ96" s="92" t="str">
        <f t="shared" si="316"/>
        <v/>
      </c>
      <c r="FK96" s="137" t="str">
        <f>IF(AND(Include_study?="Yes",Sufficient_data="Yes",Moderator&lt;&gt;""),'Moderator Analysis'!F:F-'Moderator Analysis'!J$37,"")</f>
        <v/>
      </c>
      <c r="FL96" s="137" t="str">
        <f>IF(AND(Include_study?="Yes",Sufficient_data="Yes",Moderator&lt;&gt;""),'Moderator Analysis'!E:E-SUMPRODUCT('Moderator Analysis'!E:E,FJ:FJ)/SUM(FJ:FJ),"")</f>
        <v/>
      </c>
      <c r="FM96" s="95" t="str">
        <f>IF(AND(Include_study?="Yes",Sufficient_data="Yes",Moderator&lt;&gt;""),FJ:FJ*('Moderator Analysis'!F:F-'Moderator Analysis'!J$29-'Moderator Analysis'!J$30*'Moderator Analysis'!E:E)^2,"")</f>
        <v/>
      </c>
      <c r="FR96" s="196"/>
      <c r="FS96" s="182"/>
      <c r="FT9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6" s="39" t="str">
        <f>IF(AND(Include_study?="Yes",Sufficient_data="Yes"),1/('Publication Bias Analysis'!F:F^2+IF(Additional_model="Fixed effect",0,Calculations!GH$12)),"")</f>
        <v/>
      </c>
      <c r="FV96" s="39" t="str">
        <f>IF(AND(Include_study?="Yes",Sufficient_data="Yes"),1/('Publication Bias Analysis'!F:F^2+IF(Additional_model="Fixed effect",0,'Publication Bias Analysis'!L$32)),"")</f>
        <v/>
      </c>
      <c r="FW96" s="39" t="str">
        <f>IF(AND(Include_study?="Yes",Sufficient_data="Yes"),'Publication Bias Analysis'!E:E-'Publication Bias Analysis'!I$37,"")</f>
        <v/>
      </c>
      <c r="FX96" s="39" t="str">
        <f>IF(AND(Include_study?="Yes",Sufficient_data="Yes"),IF(Additional_model="Fixed effect",1/'Publication Bias Analysis'!F:F,1/SQRT('Publication Bias Analysis'!F:F^2+GH$12)),"")</f>
        <v/>
      </c>
      <c r="FY9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6" s="136" t="str">
        <f t="shared" si="317"/>
        <v/>
      </c>
      <c r="GA96" s="144" t="str">
        <f>IF(AND(Include_study?="Yes",Sufficient_data="Yes"),FZ:FZ+IF(GL:GL&lt;0,-1,1)*COUNTIF(FZ$2:FZ95,FZ:FZ),"")</f>
        <v/>
      </c>
      <c r="GB96" s="144" t="str">
        <f>IF(AND(Include_study?="Yes",Sufficient_data="Yes"),RANK(GP:GP,GP:GP,1)*IF(GO:GO&lt;0,-1,1)+IF(GO:GO&lt;0,-1,1)*COUNTIF(FZ$2:FZ95,FZ:FZ),"")</f>
        <v/>
      </c>
      <c r="GC96" s="144" t="str">
        <f>IF(AND(Include_study?="Yes",Sufficient_data="Yes"),RANK(GS:GS,GS:GS,1)*IF(GR:GR&lt;0,-1,1)+IF(GR:GR&lt;0,-1,1)*COUNTIF(FZ$2:FZ95,FZ:FZ),"")</f>
        <v/>
      </c>
      <c r="GD96" s="39" t="e">
        <f>IF(AND(Include_study?="Yes",Sufficient_data="Yes"),'Publication Bias Analysis'!E96,NA())</f>
        <v>#N/A</v>
      </c>
      <c r="GE96" s="74" t="e">
        <f>IF(AND(Include_study?="Yes",Sufficient_data="Yes"),'Publication Bias Analysis'!F96,NA())</f>
        <v>#N/A</v>
      </c>
      <c r="GK96" s="176"/>
      <c r="GL9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6" s="39" t="str">
        <f t="shared" si="318"/>
        <v/>
      </c>
      <c r="GN9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6" s="39" t="str">
        <f>IF(AND(Include_study?="Yes",Sufficient_data="Yes"),IF('Publication Bias Analysis'!L$38="Left",'Publication Bias Analysis'!E:E-GW$3,GW$3-'Publication Bias Analysis'!E:E),"")</f>
        <v/>
      </c>
      <c r="GP96" s="39" t="str">
        <f t="shared" si="330"/>
        <v/>
      </c>
      <c r="GQ9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6" s="39" t="str">
        <f>IF(AND(Include_study?="Yes",Sufficient_data="Yes"),IF('Publication Bias Analysis'!L$38="Left",'Publication Bias Analysis'!E:E-GW$10,GW$10-'Publication Bias Analysis'!E:E),"")</f>
        <v/>
      </c>
      <c r="GS96" s="39" t="str">
        <f t="shared" si="331"/>
        <v/>
      </c>
      <c r="GT9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6" s="176"/>
      <c r="HL96" s="69" t="str">
        <f t="shared" si="319"/>
        <v/>
      </c>
      <c r="HM96" s="74" t="str">
        <f>IF(AND(Include_study?="Yes",Sufficient_data="Yes"),Z_score-('Publication Bias Analysis'!P$3+'Publication Bias Analysis'!P$4*Inverse_standard_error),"")</f>
        <v/>
      </c>
      <c r="HO96" s="176"/>
      <c r="HP96" s="69" t="str">
        <f>IF(AND(Include_study?="Yes",Sufficient_data="Yes"),(GD:GD-SUMPRODUCT(Calculations!FT:FT,'Publication Bias Analysis'!E:E)/SUM(Calculations!FT:FT))/SQRT(Calculations!HQ:HQ),"")</f>
        <v/>
      </c>
      <c r="HQ96" s="69" t="str">
        <f>IF(AND(Include_study?="Yes",Sufficient_data="Yes"),GE:GE^2-1/SUM(Calculations!FT:FT),"")</f>
        <v/>
      </c>
      <c r="HR96" s="7" t="str">
        <f t="shared" si="240"/>
        <v/>
      </c>
      <c r="HS96" s="7" t="str">
        <f t="shared" si="241"/>
        <v/>
      </c>
      <c r="HT96" s="7" t="str">
        <f>IF(AND(Include_study?="Yes",Sufficient_data="Yes"),COUNTIFS(HR$2:HR95,"&lt;"&amp;HR96,HS$2:HS95,"&lt;"&amp;HS96)+COUNTIFS(HR97:HR$201,"&lt;"&amp;HR96,HS97:HS$201,"&lt;"&amp;HS96)+COUNTIFS(HR$2:HR95,"&gt;"&amp;HR96,HS$2:HS95,"&gt;"&amp;HS96)+COUNTIFS(HR97:HR$201,"&gt;"&amp;HR96,HS97:HS$201,"&gt;"&amp;HS96),"")</f>
        <v/>
      </c>
      <c r="HU96" s="104" t="str">
        <f>IF(AND(Include_study?="Yes",Sufficient_data="Yes"),COUNTIFS(HR$2:HR95,"&lt;"&amp;HR96,HS$2:HS95,"&gt;"&amp;HS96)+COUNTIFS(HR97:HR$201,"&lt;"&amp;HR96,HS97:HS$201,"&gt;"&amp;HS96)+COUNTIFS(HR$2:HR95,"&gt;"&amp;HR96,HS$2:HS95,"&lt;"&amp;HS96)+COUNTIFS(HR97:HR$201,"&gt;"&amp;HR96,HS97:HS$201,"&lt;"&amp;HS96),"")</f>
        <v/>
      </c>
      <c r="HW96" s="176"/>
      <c r="IB96" s="176"/>
      <c r="IC96" s="146" t="e">
        <f t="shared" si="320"/>
        <v>#N/A</v>
      </c>
      <c r="ID96" s="137" t="e">
        <f t="shared" si="321"/>
        <v>#N/A</v>
      </c>
      <c r="IE96" s="137" t="str">
        <f t="shared" si="322"/>
        <v/>
      </c>
      <c r="IF96" s="95" t="str">
        <f t="shared" si="323"/>
        <v/>
      </c>
      <c r="IK96" s="176"/>
      <c r="IL96" s="69" t="e">
        <f>IF(AND(Include_study?="Yes",Sufficient_data="Yes"),'Publication Bias Analysis'!AV:AV,NA())</f>
        <v>#N/A</v>
      </c>
      <c r="IM96" s="158" t="e">
        <f>IF(AND(Sufficient_data="Yes",Include_study?="Yes"),'Publication Bias Analysis'!AU:AU,NA())</f>
        <v>#N/A</v>
      </c>
      <c r="IN96" s="69" t="str">
        <f t="shared" si="219"/>
        <v/>
      </c>
      <c r="IO96" s="74" t="str">
        <f>IF(AND(Include_study?="Yes",Sufficient_data="Yes"),Z_score-('Publication Bias Analysis'!AY$30+'Publication Bias Analysis'!AY$31*Inverse_standard_error),"")</f>
        <v/>
      </c>
      <c r="IU96" s="176"/>
      <c r="IV96" s="7" t="str">
        <f>IF('Publication Bias Analysis'!BG:BG&lt;&gt;"",RANK('Publication Bias Analysis'!BG:BG,'Publication Bias Analysis'!BG:BG,1)+COUNTIF('Publication Bias Analysis'!BG$2:BG95,'Publication Bias Analysis'!BG96),"")</f>
        <v/>
      </c>
      <c r="IW96" s="124" t="str">
        <f t="shared" si="324"/>
        <v/>
      </c>
      <c r="IX96" s="125" t="e">
        <f>IF('Publication Bias Analysis'!BF96&lt;&gt;"",'Publication Bias Analysis'!BF96,NA())</f>
        <v>#N/A</v>
      </c>
      <c r="IY96" s="125" t="e">
        <f>IF('Publication Bias Analysis'!BG96&lt;&gt;"",'Publication Bias Analysis'!BG96,NA())</f>
        <v>#N/A</v>
      </c>
      <c r="IZ96" s="69" t="str">
        <f>IF(AND(Include_study?="Yes",Sufficient_data="Yes"),'Publication Bias Analysis'!BF:BF-AVERAGE('Publication Bias Analysis'!BF:BF),"")</f>
        <v/>
      </c>
      <c r="JA96" s="74" t="str">
        <f>IF(AND(Include_study?="Yes",Sufficient_data="Yes"),'Publication Bias Analysis'!BG:BG-('Publication Bias Analysis'!BJ$30+'Publication Bias Analysis'!BJ$31*'Publication Bias Analysis'!BF:BF),"")</f>
        <v/>
      </c>
      <c r="JG96" s="176"/>
      <c r="JH96" s="39" t="str">
        <f t="shared" si="325"/>
        <v/>
      </c>
      <c r="JI96" s="148" t="str">
        <f t="shared" si="332"/>
        <v/>
      </c>
      <c r="JJ96" s="74" t="str">
        <f t="shared" si="333"/>
        <v/>
      </c>
    </row>
    <row r="97" spans="1:270" x14ac:dyDescent="0.2">
      <c r="A97" s="56" t="str">
        <f t="shared" si="126"/>
        <v/>
      </c>
      <c r="B97" s="7" t="str">
        <f>IF(AND(Include_study?="Yes",Sufficient_data="Yes"),IF(Input!a_&lt;&gt;"",Input!a_,Input!n1_-Input!b_),"")</f>
        <v/>
      </c>
      <c r="C97" s="7" t="str">
        <f>IF(AND(Include_study?="Yes",Sufficient_data="Yes"),IF(Input!b_&lt;&gt;"",Input!b_,Input!n1_-Input!a_),"")</f>
        <v/>
      </c>
      <c r="D97" s="7" t="str">
        <f>IF(AND(Include_study?="Yes",Sufficient_data="Yes"),IF(Input!c_&lt;&gt;"",Input!c_,Input!n2_-Input!d_),"")</f>
        <v/>
      </c>
      <c r="E97" s="7" t="str">
        <f>IF(AND(Include_study?="Yes",Sufficient_data="Yes"),IF(Input!d_&lt;&gt;"",Input!d_,Input!n2_-Input!c_),"")</f>
        <v/>
      </c>
      <c r="F97" s="74" t="str">
        <f t="shared" si="244"/>
        <v/>
      </c>
      <c r="H97" s="196"/>
      <c r="I97" s="182"/>
      <c r="J97" s="146" t="str">
        <f t="shared" si="245"/>
        <v/>
      </c>
      <c r="K97" s="39" t="str">
        <f t="shared" si="246"/>
        <v/>
      </c>
      <c r="L97" s="39" t="str">
        <f t="shared" si="247"/>
        <v/>
      </c>
      <c r="M97" s="39" t="str">
        <f t="shared" si="248"/>
        <v/>
      </c>
      <c r="N97" s="74" t="str">
        <f t="shared" si="249"/>
        <v/>
      </c>
      <c r="P97" s="176"/>
      <c r="Q97" s="130" t="str">
        <f t="shared" si="250"/>
        <v/>
      </c>
      <c r="R97" s="39" t="str">
        <f t="shared" si="251"/>
        <v/>
      </c>
      <c r="S97" s="39" t="str">
        <f t="shared" si="252"/>
        <v/>
      </c>
      <c r="T97" s="74" t="str">
        <f t="shared" si="253"/>
        <v/>
      </c>
      <c r="V97" s="176"/>
      <c r="W97" s="130" t="str">
        <f t="shared" si="254"/>
        <v/>
      </c>
      <c r="X97" s="39" t="str">
        <f t="shared" si="255"/>
        <v/>
      </c>
      <c r="Y97" s="39" t="str">
        <f t="shared" si="256"/>
        <v/>
      </c>
      <c r="Z97" s="74" t="str">
        <f t="shared" si="257"/>
        <v/>
      </c>
      <c r="AB97" s="176"/>
      <c r="AC97" s="130" t="str">
        <f t="shared" si="258"/>
        <v/>
      </c>
      <c r="AD97" s="39" t="str">
        <f t="shared" si="259"/>
        <v/>
      </c>
      <c r="AE97" s="39" t="str">
        <f t="shared" si="260"/>
        <v/>
      </c>
      <c r="AF97" s="39" t="str">
        <f t="shared" si="261"/>
        <v/>
      </c>
      <c r="AG97" s="74" t="str">
        <f t="shared" si="262"/>
        <v/>
      </c>
      <c r="AI97" s="196"/>
      <c r="AJ9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7" s="136" t="str">
        <f>IF(AJ97&lt;&gt;"",IF(AJ97=0,COUNTIF(AJ$2:AJ96,0)+1,COUNTIF(AJ$2:AJ96,AJ97)+AJ97+COUNTIF(AJ:AJ,0)),"")</f>
        <v/>
      </c>
      <c r="AL97" s="136" t="str">
        <f t="shared" si="263"/>
        <v/>
      </c>
      <c r="AM97" s="155" t="str">
        <f>IF(AND(Include_study?="Yes",Sufficient_data="Yes",Input!Study_name&lt;&gt;""),Input!Study_name,"")</f>
        <v/>
      </c>
      <c r="AN97" s="136" t="str">
        <f t="shared" si="264"/>
        <v/>
      </c>
      <c r="AO97" s="19" t="str">
        <f t="shared" si="265"/>
        <v/>
      </c>
      <c r="AP97" s="158" t="str">
        <f t="shared" si="266"/>
        <v/>
      </c>
      <c r="AQ97" s="158" t="str">
        <f t="shared" si="267"/>
        <v/>
      </c>
      <c r="AR97" s="39" t="str">
        <f t="shared" si="268"/>
        <v/>
      </c>
      <c r="AS97" s="158" t="str">
        <f t="shared" si="269"/>
        <v/>
      </c>
      <c r="AT97" s="39" t="str">
        <f t="shared" si="270"/>
        <v/>
      </c>
      <c r="AU97" s="172" t="str">
        <f t="shared" si="271"/>
        <v/>
      </c>
      <c r="AV97" s="45"/>
      <c r="AW97" s="84" t="e">
        <f t="shared" si="152"/>
        <v>#N/A</v>
      </c>
      <c r="AX97" s="69" t="e">
        <f t="shared" si="272"/>
        <v>#N/A</v>
      </c>
      <c r="AY97" s="74" t="e">
        <f t="shared" si="273"/>
        <v>#N/A</v>
      </c>
      <c r="AZ97" s="45"/>
      <c r="BA97" s="45"/>
      <c r="BB97" s="45"/>
      <c r="BC97" s="45"/>
      <c r="BD97" s="196"/>
      <c r="BE97" s="182"/>
      <c r="BF97" s="69" t="str">
        <f t="shared" si="155"/>
        <v/>
      </c>
      <c r="BG97" s="69" t="str">
        <f t="shared" si="156"/>
        <v/>
      </c>
      <c r="BH97" s="69" t="str">
        <f t="shared" si="157"/>
        <v/>
      </c>
      <c r="BI97" s="39" t="str">
        <f t="shared" si="158"/>
        <v/>
      </c>
      <c r="BJ97" s="95" t="str">
        <f t="shared" si="274"/>
        <v/>
      </c>
      <c r="BO97" s="176"/>
      <c r="BP97" s="158" t="str">
        <f t="shared" si="275"/>
        <v/>
      </c>
      <c r="BQ97" s="158" t="str">
        <f t="shared" si="276"/>
        <v/>
      </c>
      <c r="BR97" s="158" t="str">
        <f t="shared" si="277"/>
        <v/>
      </c>
      <c r="BS97" s="158" t="str">
        <f>IF(AND(Sufficient_data="Yes",Include_study?="Yes"),IF(Add_0_5="Yes",(a_+d_+1)*(ab_+0.5)*(c_+0.5)/(Number_of_subjects+2)^2,(a_+d_)*b_*c_/Number_of_subjects^2),"")</f>
        <v/>
      </c>
      <c r="BT97" s="158" t="str">
        <f t="shared" si="278"/>
        <v/>
      </c>
      <c r="BU97" s="158" t="str">
        <f t="shared" si="279"/>
        <v/>
      </c>
      <c r="BV97" s="158" t="str">
        <f t="shared" si="280"/>
        <v/>
      </c>
      <c r="BW97" s="69" t="str">
        <f t="shared" si="166"/>
        <v/>
      </c>
      <c r="BX97" s="137" t="str">
        <f t="shared" si="167"/>
        <v/>
      </c>
      <c r="BY97" s="95" t="str">
        <f t="shared" si="281"/>
        <v/>
      </c>
      <c r="CD97" s="176"/>
      <c r="CE97" s="130" t="str">
        <f t="shared" si="282"/>
        <v/>
      </c>
      <c r="CF97" s="39" t="str">
        <f t="shared" si="283"/>
        <v/>
      </c>
      <c r="CG97" s="39" t="str">
        <f t="shared" si="284"/>
        <v/>
      </c>
      <c r="CH97" s="39" t="str">
        <f t="shared" si="285"/>
        <v/>
      </c>
      <c r="CI97" s="39" t="str">
        <f t="shared" si="286"/>
        <v/>
      </c>
      <c r="CJ97" s="39" t="str">
        <f t="shared" si="287"/>
        <v/>
      </c>
      <c r="CK97" s="95" t="str">
        <f t="shared" si="288"/>
        <v/>
      </c>
      <c r="CP97" s="176"/>
      <c r="CQ97" s="99" t="str">
        <f t="shared" si="175"/>
        <v/>
      </c>
      <c r="CX97" s="196"/>
      <c r="CY97" s="89" t="e">
        <f t="shared" si="289"/>
        <v>#N/A</v>
      </c>
      <c r="CZ97" s="136" t="str">
        <f t="shared" si="290"/>
        <v/>
      </c>
      <c r="DA97" s="140" t="str">
        <f t="shared" si="291"/>
        <v/>
      </c>
      <c r="DB97" s="39" t="str">
        <f t="shared" si="292"/>
        <v/>
      </c>
      <c r="DC97" s="39" t="str">
        <f t="shared" si="293"/>
        <v/>
      </c>
      <c r="DD97" s="39" t="str">
        <f t="shared" si="294"/>
        <v/>
      </c>
      <c r="DE97" s="39" t="str">
        <f t="shared" si="295"/>
        <v/>
      </c>
      <c r="DF97" s="141" t="str">
        <f t="shared" si="296"/>
        <v/>
      </c>
      <c r="DG97" s="39" t="str">
        <f t="shared" si="297"/>
        <v/>
      </c>
      <c r="DH97" s="39" t="str">
        <f t="shared" si="298"/>
        <v/>
      </c>
      <c r="DI97" s="39" t="str">
        <f t="shared" si="299"/>
        <v/>
      </c>
      <c r="DJ97" s="74" t="str">
        <f t="shared" si="300"/>
        <v/>
      </c>
      <c r="DK97" s="45"/>
      <c r="DL97" s="84" t="e">
        <f t="shared" si="222"/>
        <v>#N/A</v>
      </c>
      <c r="DM97" s="39" t="e">
        <f t="shared" si="301"/>
        <v>#N/A</v>
      </c>
      <c r="DN97" s="74" t="e">
        <f t="shared" si="302"/>
        <v>#N/A</v>
      </c>
      <c r="DO97" s="45"/>
      <c r="DP97" s="89" t="str">
        <f t="shared" si="326"/>
        <v/>
      </c>
      <c r="DQ97" s="26" t="str">
        <f>IF(AND(Sufficient_data="Yes",Subgroup&lt;&gt;""),IF(COUNTIFS(Input!J$2:J96,"="&amp;"Yes",Input!C$2:C96,"="&amp;"Yes",Input!K$2:K96,"="&amp;Subgroup)&gt;0,"",Subgroup),"")</f>
        <v/>
      </c>
      <c r="DR97" s="7" t="str">
        <f t="shared" si="327"/>
        <v/>
      </c>
      <c r="DS97" s="7" t="str">
        <f t="shared" si="303"/>
        <v/>
      </c>
      <c r="DT97" s="19" t="str">
        <f t="shared" si="304"/>
        <v/>
      </c>
      <c r="DU97" s="12" t="str">
        <f t="shared" si="223"/>
        <v/>
      </c>
      <c r="DV97" s="11" t="str">
        <f t="shared" si="224"/>
        <v/>
      </c>
      <c r="DW97" s="12" t="str">
        <f t="shared" si="225"/>
        <v/>
      </c>
      <c r="DX97" s="12" t="str">
        <f t="shared" si="305"/>
        <v/>
      </c>
      <c r="DY97" s="19" t="str">
        <f t="shared" si="226"/>
        <v/>
      </c>
      <c r="DZ97" s="12" t="str">
        <f t="shared" si="227"/>
        <v/>
      </c>
      <c r="EA97" s="19" t="str">
        <f t="shared" si="306"/>
        <v/>
      </c>
      <c r="EB97" s="7" t="str">
        <f t="shared" si="307"/>
        <v/>
      </c>
      <c r="EC97" s="19" t="str">
        <f t="shared" si="308"/>
        <v/>
      </c>
      <c r="ED97" s="19" t="str">
        <f t="shared" si="309"/>
        <v/>
      </c>
      <c r="EE97" s="19" t="str">
        <f t="shared" si="228"/>
        <v/>
      </c>
      <c r="EF97" s="19" t="str">
        <f t="shared" si="229"/>
        <v/>
      </c>
      <c r="EG97" s="19" t="str">
        <f t="shared" si="230"/>
        <v/>
      </c>
      <c r="EH97" s="19" t="str">
        <f t="shared" si="231"/>
        <v/>
      </c>
      <c r="EI97" s="19" t="str">
        <f t="shared" si="232"/>
        <v/>
      </c>
      <c r="EJ97" s="19" t="str">
        <f t="shared" si="310"/>
        <v/>
      </c>
      <c r="EK97" s="19" t="str">
        <f t="shared" si="311"/>
        <v/>
      </c>
      <c r="EL97" s="19" t="str">
        <f t="shared" si="233"/>
        <v/>
      </c>
      <c r="EM97" s="19" t="str">
        <f t="shared" si="234"/>
        <v/>
      </c>
      <c r="EN97" s="19" t="str">
        <f t="shared" si="235"/>
        <v/>
      </c>
      <c r="EO97" s="19" t="str">
        <f t="shared" si="236"/>
        <v/>
      </c>
      <c r="EP97" s="19" t="str">
        <f t="shared" si="237"/>
        <v/>
      </c>
      <c r="EQ97" s="19" t="e">
        <f t="shared" si="238"/>
        <v>#N/A</v>
      </c>
      <c r="ER97" s="11" t="str">
        <f t="shared" si="328"/>
        <v/>
      </c>
      <c r="ES97" s="19" t="str">
        <f t="shared" si="329"/>
        <v/>
      </c>
      <c r="ET97" s="156" t="str">
        <f t="shared" si="312"/>
        <v/>
      </c>
      <c r="EU97" s="39" t="str">
        <f t="shared" si="239"/>
        <v/>
      </c>
      <c r="EV97" s="74" t="str">
        <f t="shared" si="313"/>
        <v/>
      </c>
      <c r="FA97" s="196"/>
      <c r="FB97" s="84" t="e">
        <f>IF(AND(Include_study?="Yes",Sufficient_data="Yes",Moderator&lt;&gt;""),'Moderator Analysis'!E97,NA())</f>
        <v>#N/A</v>
      </c>
      <c r="FC97" s="39" t="e">
        <f>IF(AND(Include_study?="Yes",Sufficient_data="Yes",Moderator&lt;&gt;""),'Moderator Analysis'!F97,NA())</f>
        <v>#N/A</v>
      </c>
      <c r="FD97" s="39" t="str">
        <f t="shared" si="314"/>
        <v/>
      </c>
      <c r="FE97" s="39" t="str">
        <f t="shared" si="315"/>
        <v/>
      </c>
      <c r="FF97" s="39" t="str">
        <f>IF(AND(Include_study?="Yes",Sufficient_data="Yes",Moderator&lt;&gt;""),'Moderator Analysis'!F:F-FP$2,"")</f>
        <v/>
      </c>
      <c r="FG97" s="39" t="str">
        <f>IF(AND(Include_study?="Yes",Sufficient_data="Yes",Moderator&lt;&gt;""),'Moderator Analysis'!E:E-FP$3,"")</f>
        <v/>
      </c>
      <c r="FH97" s="74" t="str">
        <f>IF(AND(Include_study?="Yes",Sufficient_data="Yes",Moderator&lt;&gt;""),FE:FE*('Moderator Analysis'!F:F-FP$5-FP$4*'Moderator Analysis'!E:E)^2,"")</f>
        <v/>
      </c>
      <c r="FI97" s="128"/>
      <c r="FJ97" s="92" t="str">
        <f t="shared" si="316"/>
        <v/>
      </c>
      <c r="FK97" s="137" t="str">
        <f>IF(AND(Include_study?="Yes",Sufficient_data="Yes",Moderator&lt;&gt;""),'Moderator Analysis'!F:F-'Moderator Analysis'!J$37,"")</f>
        <v/>
      </c>
      <c r="FL97" s="137" t="str">
        <f>IF(AND(Include_study?="Yes",Sufficient_data="Yes",Moderator&lt;&gt;""),'Moderator Analysis'!E:E-SUMPRODUCT('Moderator Analysis'!E:E,FJ:FJ)/SUM(FJ:FJ),"")</f>
        <v/>
      </c>
      <c r="FM97" s="95" t="str">
        <f>IF(AND(Include_study?="Yes",Sufficient_data="Yes",Moderator&lt;&gt;""),FJ:FJ*('Moderator Analysis'!F:F-'Moderator Analysis'!J$29-'Moderator Analysis'!J$30*'Moderator Analysis'!E:E)^2,"")</f>
        <v/>
      </c>
      <c r="FR97" s="196"/>
      <c r="FS97" s="182"/>
      <c r="FT9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7" s="39" t="str">
        <f>IF(AND(Include_study?="Yes",Sufficient_data="Yes"),1/('Publication Bias Analysis'!F:F^2+IF(Additional_model="Fixed effect",0,Calculations!GH$12)),"")</f>
        <v/>
      </c>
      <c r="FV97" s="39" t="str">
        <f>IF(AND(Include_study?="Yes",Sufficient_data="Yes"),1/('Publication Bias Analysis'!F:F^2+IF(Additional_model="Fixed effect",0,'Publication Bias Analysis'!L$32)),"")</f>
        <v/>
      </c>
      <c r="FW97" s="39" t="str">
        <f>IF(AND(Include_study?="Yes",Sufficient_data="Yes"),'Publication Bias Analysis'!E:E-'Publication Bias Analysis'!I$37,"")</f>
        <v/>
      </c>
      <c r="FX97" s="39" t="str">
        <f>IF(AND(Include_study?="Yes",Sufficient_data="Yes"),IF(Additional_model="Fixed effect",1/'Publication Bias Analysis'!F:F,1/SQRT('Publication Bias Analysis'!F:F^2+GH$12)),"")</f>
        <v/>
      </c>
      <c r="FY9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7" s="136" t="str">
        <f t="shared" si="317"/>
        <v/>
      </c>
      <c r="GA97" s="144" t="str">
        <f>IF(AND(Include_study?="Yes",Sufficient_data="Yes"),FZ:FZ+IF(GL:GL&lt;0,-1,1)*COUNTIF(FZ$2:FZ96,FZ:FZ),"")</f>
        <v/>
      </c>
      <c r="GB97" s="144" t="str">
        <f>IF(AND(Include_study?="Yes",Sufficient_data="Yes"),RANK(GP:GP,GP:GP,1)*IF(GO:GO&lt;0,-1,1)+IF(GO:GO&lt;0,-1,1)*COUNTIF(FZ$2:FZ96,FZ:FZ),"")</f>
        <v/>
      </c>
      <c r="GC97" s="144" t="str">
        <f>IF(AND(Include_study?="Yes",Sufficient_data="Yes"),RANK(GS:GS,GS:GS,1)*IF(GR:GR&lt;0,-1,1)+IF(GR:GR&lt;0,-1,1)*COUNTIF(FZ$2:FZ96,FZ:FZ),"")</f>
        <v/>
      </c>
      <c r="GD97" s="39" t="e">
        <f>IF(AND(Include_study?="Yes",Sufficient_data="Yes"),'Publication Bias Analysis'!E97,NA())</f>
        <v>#N/A</v>
      </c>
      <c r="GE97" s="74" t="e">
        <f>IF(AND(Include_study?="Yes",Sufficient_data="Yes"),'Publication Bias Analysis'!F97,NA())</f>
        <v>#N/A</v>
      </c>
      <c r="GK97" s="176"/>
      <c r="GL9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7" s="39" t="str">
        <f t="shared" si="318"/>
        <v/>
      </c>
      <c r="GN9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7" s="39" t="str">
        <f>IF(AND(Include_study?="Yes",Sufficient_data="Yes"),IF('Publication Bias Analysis'!L$38="Left",'Publication Bias Analysis'!E:E-GW$3,GW$3-'Publication Bias Analysis'!E:E),"")</f>
        <v/>
      </c>
      <c r="GP97" s="39" t="str">
        <f t="shared" si="330"/>
        <v/>
      </c>
      <c r="GQ9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7" s="39" t="str">
        <f>IF(AND(Include_study?="Yes",Sufficient_data="Yes"),IF('Publication Bias Analysis'!L$38="Left",'Publication Bias Analysis'!E:E-GW$10,GW$10-'Publication Bias Analysis'!E:E),"")</f>
        <v/>
      </c>
      <c r="GS97" s="39" t="str">
        <f t="shared" si="331"/>
        <v/>
      </c>
      <c r="GT9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7" s="176"/>
      <c r="HL97" s="69" t="str">
        <f t="shared" si="319"/>
        <v/>
      </c>
      <c r="HM97" s="74" t="str">
        <f>IF(AND(Include_study?="Yes",Sufficient_data="Yes"),Z_score-('Publication Bias Analysis'!P$3+'Publication Bias Analysis'!P$4*Inverse_standard_error),"")</f>
        <v/>
      </c>
      <c r="HO97" s="176"/>
      <c r="HP97" s="69" t="str">
        <f>IF(AND(Include_study?="Yes",Sufficient_data="Yes"),(GD:GD-SUMPRODUCT(Calculations!FT:FT,'Publication Bias Analysis'!E:E)/SUM(Calculations!FT:FT))/SQRT(Calculations!HQ:HQ),"")</f>
        <v/>
      </c>
      <c r="HQ97" s="69" t="str">
        <f>IF(AND(Include_study?="Yes",Sufficient_data="Yes"),GE:GE^2-1/SUM(Calculations!FT:FT),"")</f>
        <v/>
      </c>
      <c r="HR97" s="7" t="str">
        <f t="shared" si="240"/>
        <v/>
      </c>
      <c r="HS97" s="7" t="str">
        <f t="shared" si="241"/>
        <v/>
      </c>
      <c r="HT97" s="7" t="str">
        <f>IF(AND(Include_study?="Yes",Sufficient_data="Yes"),COUNTIFS(HR$2:HR96,"&lt;"&amp;HR97,HS$2:HS96,"&lt;"&amp;HS97)+COUNTIFS(HR98:HR$201,"&lt;"&amp;HR97,HS98:HS$201,"&lt;"&amp;HS97)+COUNTIFS(HR$2:HR96,"&gt;"&amp;HR97,HS$2:HS96,"&gt;"&amp;HS97)+COUNTIFS(HR98:HR$201,"&gt;"&amp;HR97,HS98:HS$201,"&gt;"&amp;HS97),"")</f>
        <v/>
      </c>
      <c r="HU97" s="104" t="str">
        <f>IF(AND(Include_study?="Yes",Sufficient_data="Yes"),COUNTIFS(HR$2:HR96,"&lt;"&amp;HR97,HS$2:HS96,"&gt;"&amp;HS97)+COUNTIFS(HR98:HR$201,"&lt;"&amp;HR97,HS98:HS$201,"&gt;"&amp;HS97)+COUNTIFS(HR$2:HR96,"&gt;"&amp;HR97,HS$2:HS96,"&lt;"&amp;HS97)+COUNTIFS(HR98:HR$201,"&gt;"&amp;HR97,HS98:HS$201,"&lt;"&amp;HS97),"")</f>
        <v/>
      </c>
      <c r="HW97" s="176"/>
      <c r="IB97" s="176"/>
      <c r="IC97" s="146" t="e">
        <f t="shared" si="320"/>
        <v>#N/A</v>
      </c>
      <c r="ID97" s="137" t="e">
        <f t="shared" si="321"/>
        <v>#N/A</v>
      </c>
      <c r="IE97" s="137" t="str">
        <f t="shared" si="322"/>
        <v/>
      </c>
      <c r="IF97" s="95" t="str">
        <f t="shared" si="323"/>
        <v/>
      </c>
      <c r="IK97" s="176"/>
      <c r="IL97" s="69" t="e">
        <f>IF(AND(Include_study?="Yes",Sufficient_data="Yes"),'Publication Bias Analysis'!AV:AV,NA())</f>
        <v>#N/A</v>
      </c>
      <c r="IM97" s="158" t="e">
        <f>IF(AND(Sufficient_data="Yes",Include_study?="Yes"),'Publication Bias Analysis'!AU:AU,NA())</f>
        <v>#N/A</v>
      </c>
      <c r="IN97" s="69" t="str">
        <f t="shared" si="219"/>
        <v/>
      </c>
      <c r="IO97" s="74" t="str">
        <f>IF(AND(Include_study?="Yes",Sufficient_data="Yes"),Z_score-('Publication Bias Analysis'!AY$30+'Publication Bias Analysis'!AY$31*Inverse_standard_error),"")</f>
        <v/>
      </c>
      <c r="IU97" s="176"/>
      <c r="IV97" s="7" t="str">
        <f>IF('Publication Bias Analysis'!BG:BG&lt;&gt;"",RANK('Publication Bias Analysis'!BG:BG,'Publication Bias Analysis'!BG:BG,1)+COUNTIF('Publication Bias Analysis'!BG$2:BG96,'Publication Bias Analysis'!BG97),"")</f>
        <v/>
      </c>
      <c r="IW97" s="124" t="str">
        <f t="shared" si="324"/>
        <v/>
      </c>
      <c r="IX97" s="125" t="e">
        <f>IF('Publication Bias Analysis'!BF97&lt;&gt;"",'Publication Bias Analysis'!BF97,NA())</f>
        <v>#N/A</v>
      </c>
      <c r="IY97" s="125" t="e">
        <f>IF('Publication Bias Analysis'!BG97&lt;&gt;"",'Publication Bias Analysis'!BG97,NA())</f>
        <v>#N/A</v>
      </c>
      <c r="IZ97" s="69" t="str">
        <f>IF(AND(Include_study?="Yes",Sufficient_data="Yes"),'Publication Bias Analysis'!BF:BF-AVERAGE('Publication Bias Analysis'!BF:BF),"")</f>
        <v/>
      </c>
      <c r="JA97" s="74" t="str">
        <f>IF(AND(Include_study?="Yes",Sufficient_data="Yes"),'Publication Bias Analysis'!BG:BG-('Publication Bias Analysis'!BJ$30+'Publication Bias Analysis'!BJ$31*'Publication Bias Analysis'!BF:BF),"")</f>
        <v/>
      </c>
      <c r="JG97" s="176"/>
      <c r="JH97" s="39" t="str">
        <f t="shared" si="325"/>
        <v/>
      </c>
      <c r="JI97" s="148" t="str">
        <f t="shared" si="332"/>
        <v/>
      </c>
      <c r="JJ97" s="74" t="str">
        <f t="shared" si="333"/>
        <v/>
      </c>
    </row>
    <row r="98" spans="1:270" x14ac:dyDescent="0.2">
      <c r="A98" s="56" t="str">
        <f t="shared" ref="A98:A161" si="334">Entry_number</f>
        <v/>
      </c>
      <c r="B98" s="7" t="str">
        <f>IF(AND(Include_study?="Yes",Sufficient_data="Yes"),IF(Input!a_&lt;&gt;"",Input!a_,Input!n1_-Input!b_),"")</f>
        <v/>
      </c>
      <c r="C98" s="7" t="str">
        <f>IF(AND(Include_study?="Yes",Sufficient_data="Yes"),IF(Input!b_&lt;&gt;"",Input!b_,Input!n1_-Input!a_),"")</f>
        <v/>
      </c>
      <c r="D98" s="7" t="str">
        <f>IF(AND(Include_study?="Yes",Sufficient_data="Yes"),IF(Input!c_&lt;&gt;"",Input!c_,Input!n2_-Input!d_),"")</f>
        <v/>
      </c>
      <c r="E98" s="7" t="str">
        <f>IF(AND(Include_study?="Yes",Sufficient_data="Yes"),IF(Input!d_&lt;&gt;"",Input!d_,Input!n2_-Input!c_),"")</f>
        <v/>
      </c>
      <c r="F98" s="74" t="str">
        <f t="shared" ref="F98:F129" si="335">IF(AND(Include_study?="Yes",Sufficient_data="Yes"),IF(OR(a_=0,b_=0,c_=0,d_=0),"Yes","No"),"")</f>
        <v/>
      </c>
      <c r="H98" s="196"/>
      <c r="I98" s="182"/>
      <c r="J98" s="146" t="str">
        <f t="shared" si="245"/>
        <v/>
      </c>
      <c r="K98" s="39" t="str">
        <f t="shared" ref="K98:K129" si="336">IF(AND(Include_study?="Yes",Sufficient_data="Yes"),LN(OddsRatio),"")</f>
        <v/>
      </c>
      <c r="L98" s="39" t="str">
        <f t="shared" ref="L98:L129" si="337">IF(AND(Include_study?="Yes",Sufficient_data="Yes"),SQRT(IF(Add_0_5="Yes",1/(a_+0.5)+1/(b_+0.5)+1/(c_+0.5)+1/(d_+0.5),1/a_+1/b_+1/c_+1/d_)),"")</f>
        <v/>
      </c>
      <c r="M98" s="39" t="str">
        <f t="shared" ref="M98:M129" si="338">IF(AND(Include_study?="Yes",Sufficient_data="Yes"),EXP(LogOddsRatio-ABS(TINV((1-Confidence_level),Number_of_subjects-2))*SELogOddsRatio),"")</f>
        <v/>
      </c>
      <c r="N98" s="74" t="str">
        <f t="shared" ref="N98:N129" si="339">IF(AND(Include_study?="Yes",Sufficient_data="Yes"),EXP(LogOddsRatio+ABS(TINV((1-Confidence_level),Number_of_subjects-2))*SELogOddsRatio),"")</f>
        <v/>
      </c>
      <c r="P98" s="176"/>
      <c r="Q98" s="130" t="str">
        <f t="shared" ref="Q98:Q129" si="340">IF(AND(Include_study?="Yes",Sufficient_data="Yes"),EXP(LogPetoOddsRatio),"")</f>
        <v/>
      </c>
      <c r="R98" s="39" t="str">
        <f t="shared" ref="R98:R129" si="341">IF(AND(Include_study?="Yes",Sufficient_data="Yes"),SQRT(VarLogPetoOddsRatio),"")</f>
        <v/>
      </c>
      <c r="S98" s="39" t="str">
        <f t="shared" ref="S98:S129" si="342">IF(AND(Include_study?="Yes",Sufficient_data="Yes"),EXP(LogPetoOddsRatio-ABS(TINV((1-Confidence_level),Number_of_subjects-2))*SELogPetoOddsRatio),"")</f>
        <v/>
      </c>
      <c r="T98" s="74" t="str">
        <f t="shared" ref="T98:T129" si="343">IF(AND(Include_study?="Yes",Sufficient_data="Yes"),EXP(LogPetoOddsRatio+ABS(TINV((1-Confidence_level),Number_of_subjects-2))*SELogPetoOddsRatio),"")</f>
        <v/>
      </c>
      <c r="V98" s="176"/>
      <c r="W98" s="130" t="str">
        <f t="shared" ref="W98:W129" si="344">IF(AND(Include_study?="Yes",Sufficient_data="Yes"),a_/(a_+b_)-c_/(c_+d_),"")</f>
        <v/>
      </c>
      <c r="X98" s="39" t="str">
        <f t="shared" ref="X98:X129" si="345">IF(AND(Include_study?="Yes",Sufficient_data="Yes"),SQRT(a_*b_/(a_+b_)^3+c_*d_/(c_+d_)^3),"")</f>
        <v/>
      </c>
      <c r="Y98" s="39" t="str">
        <f t="shared" ref="Y98:Y129" si="346">IF(AND(Include_study?="Yes",Sufficient_data="Yes"),Risk_Difference-SERiskDifference*ABS(TINV((1-Confidence_level),Number_of_subjects-2)),"")</f>
        <v/>
      </c>
      <c r="Z98" s="74" t="str">
        <f t="shared" ref="Z98:Z129" si="347">IF(AND(Include_study?="Yes",Sufficient_data="Yes"),Risk_Difference+SERiskDifference*ABS(TINV((1-Confidence_level),Number_of_subjects-2)),"")</f>
        <v/>
      </c>
      <c r="AB98" s="176"/>
      <c r="AC98" s="130" t="str">
        <f t="shared" ref="AC98:AC129" si="348">IF(AND(Include_study?="Yes",Sufficient_data="Yes"),IF(Add_0_5="Yes",((a_+0.5)/(a_+0.5+b_+0.5))/((c_+0.5)/(c_+0.5+d_+0.5)),(a_/(a_+b_))/(c_/(c_+d_))),"")</f>
        <v/>
      </c>
      <c r="AD98" s="39" t="str">
        <f t="shared" ref="AD98:AD129" si="349">IF(AND(Include_study?="Yes",Sufficient_data="Yes"),LN(Risk_Ratio),"")</f>
        <v/>
      </c>
      <c r="AE98" s="39" t="str">
        <f t="shared" ref="AE98:AE129" si="350">IF(AND(Include_study?="Yes",Sufficient_data="Yes"),IF(Add_0_5="Yes",SQRT(1/(a_+0.5)-1/(a_+0.5+b_+0.5)+1/(c_+0.5)-1/(c_+0.5+d_+0.5)),SQRT(1/a_-1/(a_+b_)+1/c_-1/(c_+d_))),"")</f>
        <v/>
      </c>
      <c r="AF98" s="39" t="str">
        <f t="shared" ref="AF98:AF129" si="351">IF(AND(Include_study?="Yes",Sufficient_data="Yes"),EXP(LN(Risk_Ratio)-ABS(TINV((1-Confidence_level),Number_of_subjects-2))*SELogRiskRatio),"")</f>
        <v/>
      </c>
      <c r="AG98" s="74" t="str">
        <f t="shared" ref="AG98:AG129" si="352">IF(AND(Include_study?="Yes",Sufficient_data="Yes"),EXP(LN(Risk_Ratio)+ABS(TINV((1-Confidence_level),Number_of_subjects-2))*SELogRiskRatio),"")</f>
        <v/>
      </c>
      <c r="AI98" s="196"/>
      <c r="AJ9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8" s="136" t="str">
        <f>IF(AJ98&lt;&gt;"",IF(AJ98=0,COUNTIF(AJ$2:AJ97,0)+1,COUNTIF(AJ$2:AJ97,AJ98)+AJ98+COUNTIF(AJ:AJ,0)),"")</f>
        <v/>
      </c>
      <c r="AL98" s="136" t="str">
        <f t="shared" si="263"/>
        <v/>
      </c>
      <c r="AM98" s="155" t="str">
        <f>IF(AND(Include_study?="Yes",Sufficient_data="Yes",Input!Study_name&lt;&gt;""),Input!Study_name,"")</f>
        <v/>
      </c>
      <c r="AN98" s="136" t="str">
        <f t="shared" si="264"/>
        <v/>
      </c>
      <c r="AO98" s="19" t="str">
        <f t="shared" ref="AO98:AO129" si="353">IF(AND(Include_study?="Yes",Sufficient_data="Yes"),IF(Present_Effect_size_measure="Risk difference",Risk_Difference,IF(Present_Effect_size_measure="Risk ratio",Risk_Ratio,IF(Present_Effect_size_measure="Odds Ratio",OddsRatio,IF(Present_Effect_size_measure="Peto Odds Ratio",PetoOddsRatio,"")))),"")</f>
        <v/>
      </c>
      <c r="AP98" s="158" t="str">
        <f t="shared" ref="AP98:AP129" si="354">IF(AND(Include_study?="Yes",Sufficient_data="Yes"),IF(Weighting_method="Inverse variance",Weightf,IF(Weighting_method="Mantel-Haenszel",Weightf_MH,Weightf_Peto)),"")</f>
        <v/>
      </c>
      <c r="AQ98" s="158" t="str">
        <f t="shared" ref="AQ98:AQ129" si="355">IF(AND(Include_study?="Yes",Sufficient_data="Yes"),IF(Weighting_method="Inverse variance",Weight,IF(Weighting_method="Mantel-Haenszel",Weight_MH,Weight_Peto)),"")</f>
        <v/>
      </c>
      <c r="AR98" s="39" t="str">
        <f t="shared" ref="AR98:AR129" si="356">IF(AND(Include_study?="Yes",Sufficient_data="Yes"),IF(Present_Effect_size_measure="Risk difference",SERiskDifference,IF(Present_Effect_size_measure="Risk ratio",SELogRiskRatio,IF(Present_Effect_size_measure="Odds Ratio",SELogOddsRatio,IF(Present_Effect_size_measure="Peto Odds Ratio",SELogPetoOddsRatio)))),"")</f>
        <v/>
      </c>
      <c r="AS98" s="158" t="str">
        <f t="shared" ref="AS98:AS129" si="357">IF(AND(Include_study?="Yes",Sufficient_data="Yes"),IF(Present_Effect_size_measure="Risk difference",CI_LLRiskDifference,IF(Present_Effect_size_measure="Risk ratio",CI_LLRiskRatio,CI_LLOddsRatio)),"")</f>
        <v/>
      </c>
      <c r="AT98" s="39" t="str">
        <f t="shared" ref="AT98:AT129" si="358">IF(AND(Include_study?="Yes",Sufficient_data="Yes"),IF(Present_Effect_size_measure="Risk difference",CI_ULRiskDifference,IF(Present_Effect_size_measure="Risk ratio",CI_ULRiskRatio,CI_ULOddsRatio)),"")</f>
        <v/>
      </c>
      <c r="AU98" s="172" t="str">
        <f t="shared" ref="AU98:AU129" si="359">IF(AND(Include_study?="Yes",Sufficient_data="Yes",Valid_options="Yes"),IF(Meta_analysis_model="Fixed effect model",Weightf_lookup/SUM(Weightf_lookup),Weightr_lookup/SUM(Weightr_lookup)),"")</f>
        <v/>
      </c>
      <c r="AV98" s="45"/>
      <c r="AW98" s="84" t="e">
        <f t="shared" ref="AW98:AW161" si="360">IF(Effect_size_lookup&lt;&gt;"",Effect_size_lookup,NA())</f>
        <v>#N/A</v>
      </c>
      <c r="AX98" s="69" t="e">
        <f t="shared" ref="AX98:AX129" si="361">IF(Effect_size_lookup&lt;&gt;"",Effect_size_lookup-AS98,NA())</f>
        <v>#N/A</v>
      </c>
      <c r="AY98" s="74" t="e">
        <f t="shared" ref="AY98:AY129" si="362">IF(Effect_size_lookup&lt;&gt;"",AT98-Effect_size_lookup,NA())</f>
        <v>#N/A</v>
      </c>
      <c r="AZ98" s="45"/>
      <c r="BA98" s="45"/>
      <c r="BB98" s="45"/>
      <c r="BC98" s="45"/>
      <c r="BD98" s="196"/>
      <c r="BE98" s="182"/>
      <c r="BF98" s="69" t="str">
        <f t="shared" ref="BF98:BF161" si="363">IF(AND(Sufficient_data="Yes",Include_study?="Yes"),IF(Model_effect_size_measure="Odds Ratio",LogOddsRatio,IF(Model_effect_size_measure="Risk Ratio",LogRiskRatio,Risk_Difference)),"")</f>
        <v/>
      </c>
      <c r="BG98" s="69" t="str">
        <f t="shared" ref="BG98:BG161" si="364">IF(AND(Sufficient_data="Yes",Include_study?="Yes"),IF(Model_effect_size_measure="Odds Ratio",SELogOddsRatio,IF(Model_effect_size_measure="Risk Ratio",SELogRiskRatio,SERiskDifference)),"")</f>
        <v/>
      </c>
      <c r="BH98" s="69" t="str">
        <f t="shared" ref="BH98:BH161" si="365">IF(AND(Sufficient_data="Yes",Include_study?="Yes"),IF(Model_effect_size_measure="Odds Ratio",1/(SELogOddsRatio^2),IF(Model_effect_size_measure="Risk Ratio",1/(SELogRiskRatio^2),1/(SERiskDifference^2))),"")</f>
        <v/>
      </c>
      <c r="BI98" s="39" t="str">
        <f t="shared" ref="BI98:BI161" si="366">IF(Weightf&lt;&gt;"",1/(IF(Model_effect_size_measure="Odds Ratio",SELogOddsRatio,IF(Model_effect_size_measure="Risk Ratio",SELogRiskRatio,SERiskDifference))^2+T2_),"")</f>
        <v/>
      </c>
      <c r="BJ98" s="95" t="str">
        <f t="shared" ref="BJ98:BJ129" si="367">IF(Weightf&lt;&gt;"",Model_Effect_size-IF(OR(Model_effect_size_measure="Odds Ratio",Model_effect_size_measure="Risk Ratio",Model_effect_size_measure="Peto Odds Ratio"),lnCES_IV,CES_IV),"")</f>
        <v/>
      </c>
      <c r="BO98" s="176"/>
      <c r="BP98" s="158" t="str">
        <f t="shared" ref="BP98:BP129" si="368">IF(AND(Sufficient_data="Yes",Include_study?="Yes"),IF(Add_0_5="Yes",(a_+0.5)*(d_+0.5)/(Number_of_subjects+2),a_*d_/Number_of_subjects),"")</f>
        <v/>
      </c>
      <c r="BQ98" s="158" t="str">
        <f t="shared" ref="BQ98:BQ129" si="369">IF(AND(Sufficient_data="Yes",Include_study?="Yes"),IF(Add_0_5="Yes",(b_+0.5)*(c_+0.5)/(Number_of_subjects+2),b_*c_/Number_of_subjects),"")</f>
        <v/>
      </c>
      <c r="BR98" s="158" t="str">
        <f t="shared" ref="BR98:BR129" si="370">IF(AND(Sufficient_data="Yes",Include_study?="Yes"),IF(Add_0_5="Yes",(a_+d_+1)*(a_+0.5)*(d_+0.5)/(Number_of_subjects+2)^2,(a_+d_)*a_*d_/Number_of_subjects^2),"")</f>
        <v/>
      </c>
      <c r="BS98" s="158" t="str">
        <f>IF(AND(Sufficient_data="Yes",Include_study?="Yes"),IF(Add_0_5="Yes",(a_+d_+1)*(ab_+0.5)*(c_+0.5)/(Number_of_subjects+2)^2,(a_+d_)*b_*c_/Number_of_subjects^2),"")</f>
        <v/>
      </c>
      <c r="BT98" s="158" t="str">
        <f t="shared" ref="BT98:BT129" si="371">IF(AND(Sufficient_data="Yes",Include_study?="Yes"),IF(Add_0_5="Yes",(b_+c_+1)*(a_+0.5)*(d_+0.5)/(Number_of_subjects+2)^2,(b_+c_)*a_*d_/Number_of_subjects^2),"")</f>
        <v/>
      </c>
      <c r="BU98" s="158" t="str">
        <f t="shared" ref="BU98:BU129" si="372">IF(AND(Sufficient_data="Yes",Include_study?="Yes"),IF(Add_0_5="Yes",(b_+c_+1)*(b_+0.5)*(c_+0.5)/(Number_of_subjects+2)^2,(b_+c_)*b_*c_/Number_of_subjects^2),"")</f>
        <v/>
      </c>
      <c r="BV98" s="158" t="str">
        <f t="shared" ref="BV98:BV129" si="373">IF(AND(Sufficient_data="Yes",Include_study?="Yes"),IF(Add_0_5="Yes",(b_+0.5)*(c_+0.5)/(Number_of_subjects+2),b_*c_/Number_of_subjects),"")</f>
        <v/>
      </c>
      <c r="BW98" s="69" t="str">
        <f t="shared" ref="BW98:BW161" si="374">IF(AND(Sufficient_data="Yes",Include_study?="Yes"),1/(SELogOddsRatio^2)*(LogOddsRatio-LN(SUMPRODUCT(Weightf_MH,OddsRatio)/SUM(Weightf_MH)))^2,"")</f>
        <v/>
      </c>
      <c r="BX98" s="137" t="str">
        <f t="shared" ref="BX98:BX161" si="375">IF(Weithf_MH&lt;&gt;"",1/(SELogOddsRatio^2+T2_MH),"")</f>
        <v/>
      </c>
      <c r="BY98" s="95" t="str">
        <f t="shared" ref="BY98:BY129" si="376">IF(Weithf_MH&lt;&gt;"",LogOddsRatio-lnCES_OddsRatio_MH,"")</f>
        <v/>
      </c>
      <c r="CD98" s="176"/>
      <c r="CE98" s="130" t="str">
        <f t="shared" ref="CE98:CE129" si="377">IF(AND(Include_study?="Yes",Sufficient_data="Yes"),((a_+b_)*(a_+c_))/(Number_of_subjects),"")</f>
        <v/>
      </c>
      <c r="CF98" s="39" t="str">
        <f t="shared" ref="CF98:CF129" si="378">IF(AND(Include_study?="Yes",Sufficient_data="Yes"),((a_+b_)*(c_+d_)*(a_+c_)*(b_+d_))/((Number_of_subjects)^2*(Number_of_subjects-1)),"")</f>
        <v/>
      </c>
      <c r="CG98" s="39" t="str">
        <f t="shared" ref="CG98:CG129" si="379">IF(AND(Include_study?="Yes",Sufficient_data="Yes"),(a_-Expected)/VarExpected,"")</f>
        <v/>
      </c>
      <c r="CH98" s="39" t="str">
        <f t="shared" ref="CH98:CH129" si="380">IF(AND(Include_study?="Yes",Sufficient_data="Yes"),1/VarExpected,"")</f>
        <v/>
      </c>
      <c r="CI98" s="39" t="str">
        <f t="shared" ref="CI98:CI129" si="381">IF(AND(Sufficient_data="Yes",Include_study?="Yes"),VarExpected,"")</f>
        <v/>
      </c>
      <c r="CJ98" s="39" t="str">
        <f t="shared" si="287"/>
        <v/>
      </c>
      <c r="CK98" s="95" t="str">
        <f t="shared" ref="CK98:CK129" si="382">IF(Weightf_Peto&lt;&gt;"",LogPetoOddsRatio-lnCES_PetoOddsRatio,"")</f>
        <v/>
      </c>
      <c r="CP98" s="176"/>
      <c r="CQ98" s="99" t="str">
        <f t="shared" ref="CQ98:CQ161" si="383">IF(AND(Sufficient_data="Yes",Include_study?="Yes"),c_/(c_+d_),"")</f>
        <v/>
      </c>
      <c r="CX98" s="196"/>
      <c r="CY98" s="89" t="e">
        <f t="shared" ref="CY98:CY129" si="384">IF(AND(Include_study?="Yes",Sufficient_data="Yes",Subgroup&lt;&gt;""),COUNTIFS(Include_study?,"Yes",Sufficient_data,"Yes",DA:DA,"&lt;"&amp;Subgroup,Subgroup,"*")+COUNTIFS(Entry_number,"&lt;"&amp;Entry_number,DA:DA,Subgroup)+COUNTIFS(DS:DS,"&gt;="&amp;0,DQ:DQ,"&lt;"&amp;Subgroup)+1,NA())</f>
        <v>#N/A</v>
      </c>
      <c r="CZ98" s="136" t="str">
        <f t="shared" ref="CZ98:CZ129" si="385">IF(AND(Include_study?="Yes",Sufficient_data="Yes",Subgroup&lt;&gt;""),Study_name,"")</f>
        <v/>
      </c>
      <c r="DA98" s="140" t="str">
        <f t="shared" ref="DA98:DA129" si="386">IF(AND(Include_study?="Yes",Sufficient_data="Yes",Subgroup&lt;&gt;""),Subgroup,"")</f>
        <v/>
      </c>
      <c r="DB98" s="39" t="str">
        <f t="shared" ref="DB98:DB129" si="387">IF(AND(Include_study?="Yes",Sufficient_data="Yes",Subgroup&lt;&gt;""),IF(Subgroup_effect_size_measure="Odds Ratio",LogOddsRatio,IF(Subgroup_effect_size_measure="Risk Ratio",LogRiskRatio,IF(Subgroup_effect_size_measure="Risk Difference",Risk_Difference,IF(Subgroup_effect_size_measure="Peto Odds Ratio",LogPetoOddsRatio,"")))),"")</f>
        <v/>
      </c>
      <c r="DC98" s="39" t="str">
        <f t="shared" ref="DC98:DC129" si="388">IF(AND(Include_study?="Yes",Sufficient_data="Yes",Subgroup&lt;&gt;""),IF(Subgroup_effect_size_measure="Odds Ratio",SELogOddsRatio,IF(Subgroup_effect_size_measure="Risk Ratio",SELogRiskRatio,IF(Subgroup_effect_size_measure="Risk Difference",SERiskDifference,IF(Subgroup_effect_size_measure="Peto Odds Ratio",SELogPetoOddsRatio,"")))),"")</f>
        <v/>
      </c>
      <c r="DD98" s="39" t="str">
        <f t="shared" ref="DD98:DD129" si="389">IF(AND(Include_study?="Yes",Sufficient_data="Yes",Subgroup&lt;&gt;""),IF(Subgroup_weighting_method="Inverse variance",1/DC98^2,IF(Subgroup_weighting_method="Mantel-Haenszel",Weightf_MH,Weightf_Peto)),"")</f>
        <v/>
      </c>
      <c r="DE98" s="39" t="str">
        <f t="shared" ref="DE98:DE129" si="390">IF(AND(Include_study?="Yes",Sufficient_data="Yes",Subgroup&lt;&gt;""),1/(DC98^2+IF(Within_subgroup_weighting=EX$42,0,INDEX(DQ:DX,MATCH(Subgroup,DQ:DQ,0),8))),"")</f>
        <v/>
      </c>
      <c r="DF98" s="141" t="str">
        <f t="shared" ref="DF98:DF129" si="391">IF(AND(Include_study?="Yes",Sufficient_data="Yes",Subgroup_valid_options="Yes",Subgroup&lt;&gt;""),DE98/SUMIF(Subgroup,Subgroup,DE:DE),"")</f>
        <v/>
      </c>
      <c r="DG98" s="39" t="str">
        <f t="shared" ref="DG98:DG129" si="392">IF(AND(Include_study?="Yes",Sufficient_data="Yes",Subgroup&lt;&gt;"",DG$1&lt;&gt;""),IF(Subgroup_effect_size_measure="Risk Ratio",Risk_Ratio,IF(Subgroup_effect_size_measure="Odds Ratio",OddsRatio,IF(Subgroup_effect_size_measure="Peto Odds Ratio",PetoOddsRatio,""))),"")</f>
        <v/>
      </c>
      <c r="DH98" s="39" t="str">
        <f t="shared" ref="DH98:DH129" si="393">IF(AND(Include_study?="Yes",Sufficient_data="Yes",Subgroup&lt;&gt;""),IF(Subgroup_effect_size_measure="Risk Difference",Subgroup_effect_size-ABS(TINV((1-Subgroup_confidence_level),Number_of_subjects-1))*DC:DC,EXP(Subgroup_effect_size-ABS(TINV((1-Subgroup_confidence_level),Number_of_subjects-1))*DC:DC)),"")</f>
        <v/>
      </c>
      <c r="DI98" s="39" t="str">
        <f t="shared" ref="DI98:DI129" si="394">IF(AND(Include_study?="Yes",Sufficient_data="Yes",Subgroup&lt;&gt;""),IF(Subgroup_effect_size_measure="Risk Difference",Subgroup_effect_size+ABS(TINV((1-Subgroup_confidence_level),Number_of_subjects-1))*DC:DC,EXP(Subgroup_effect_size+ABS(TINV((1-Subgroup_confidence_level),Number_of_subjects-1))*DC:DC)),"")</f>
        <v/>
      </c>
      <c r="DJ98" s="74" t="str">
        <f t="shared" ref="DJ98:DJ129" si="395">IF(AND(Include_study?="Yes",Sufficient_data="Yes",Subgroup&lt;&gt;""),Subgroup_effect_size-VLOOKUP(DA:DA,DQ:DZ,10,FALSE),"")</f>
        <v/>
      </c>
      <c r="DK98" s="45"/>
      <c r="DL98" s="84" t="e">
        <f t="shared" si="222"/>
        <v>#N/A</v>
      </c>
      <c r="DM98" s="39" t="e">
        <f t="shared" ref="DM98:DM129" si="396">IF(AND(Include_study?="Yes",Sufficient_data="Yes",Subgroup&lt;&gt;""),IF(Subgroup_effect_size_measure="Risk Difference",DB98-DH98,DG98-DH98),NA())</f>
        <v>#N/A</v>
      </c>
      <c r="DN98" s="74" t="e">
        <f t="shared" ref="DN98:DN129" si="397">IF(AND(Include_study?="Yes",Sufficient_data="Yes",Subgroup&lt;&gt;""),IF(Subgroup_effect_size_measure="Risk Difference",DI98-DB98,DI98-DG98),NA())</f>
        <v>#N/A</v>
      </c>
      <c r="DO98" s="45"/>
      <c r="DP98" s="89" t="str">
        <f t="shared" si="326"/>
        <v/>
      </c>
      <c r="DQ98" s="26" t="str">
        <f>IF(AND(Sufficient_data="Yes",Subgroup&lt;&gt;""),IF(COUNTIFS(Input!J$2:J97,"="&amp;"Yes",Input!C$2:C97,"="&amp;"Yes",Input!K$2:K97,"="&amp;Subgroup)&gt;0,"",Subgroup),"")</f>
        <v/>
      </c>
      <c r="DR98" s="7" t="str">
        <f t="shared" si="327"/>
        <v/>
      </c>
      <c r="DS98" s="7" t="str">
        <f t="shared" ref="DS98:DS129" si="398">IF(DQ98&lt;&gt;"",COUNTIFS(Sufficient_data,"Yes",Include_study?,"Yes",Subgroup,DQ98),"")</f>
        <v/>
      </c>
      <c r="DT98" s="19" t="str">
        <f t="shared" ref="DT98:DT129" si="399">IF(AND(DQ98&lt;&gt;"",Subgroup_valid_options="Yes",SUMIF(Subgroup,DQ98,Subgroup_weightf)&gt;0),MAX(0,SUMPRODUCT(--(Subgroup=DQ98),Subgroup_weightf,Subgroup_effect_size,Subgroup_effect_size)-(SUMPRODUCT(--(Subgroup=DQ98),Subgroup_weightf,Subgroup_effect_size)^2/SUMIF(Subgroup,DQ98,Subgroup_weightf))),"")</f>
        <v/>
      </c>
      <c r="DU98" s="12" t="str">
        <f t="shared" si="223"/>
        <v/>
      </c>
      <c r="DV98" s="11" t="str">
        <f t="shared" si="224"/>
        <v/>
      </c>
      <c r="DW98" s="12" t="str">
        <f t="shared" si="225"/>
        <v/>
      </c>
      <c r="DX98" s="12" t="str">
        <f t="shared" ref="DX98:DX129" si="400">IF(DT98&lt;&gt;"",IF(Within_subgroup_weighting=EX$44,MAX(0,(SUM(DT:DT)-(Subgroup_k-COUNT(DT:DT)))/SUM(DW:DW)),MAX(0,(DT98-(DS98-1))/DW98)),"")</f>
        <v/>
      </c>
      <c r="DY98" s="19" t="str">
        <f t="shared" si="226"/>
        <v/>
      </c>
      <c r="DZ98" s="12" t="str">
        <f t="shared" si="227"/>
        <v/>
      </c>
      <c r="EA98" s="19" t="str">
        <f t="shared" ref="EA98:EA129" si="401">IF(DT98&lt;&gt;"",IF(Within_subgroup_weighting=EX$42,1/SQRT(SUMIF(Subgroup,DQ98,DD:DD)),SQRT(SUMPRODUCT(--(Subgroup=DQ98),DE:DE,DJ:DJ,DJ:DJ)/((DS98-1)*SUMIF(Subgroup,DQ98,DE:DE)))),"")</f>
        <v/>
      </c>
      <c r="EB98" s="7" t="str">
        <f t="shared" ref="EB98:EB129" si="402">IF(DT98&lt;&gt;"",SUMIFS(Number_of_subjects,Subgroup,DQ98,Include_study?,"Yes",Sufficient_data,"Yes"),"")</f>
        <v/>
      </c>
      <c r="EC98" s="19" t="str">
        <f t="shared" ref="EC98:EC129" si="403">IF(DT98&lt;&gt;"",DZ98-ABS(TINV((1-Subgroup_confidence_level),DS98-1))*EA98,"")</f>
        <v/>
      </c>
      <c r="ED98" s="19" t="str">
        <f t="shared" ref="ED98:ED129" si="404">IF(DT98&lt;&gt;"",DZ98+ABS(TINV((1-Subgroup_confidence_level),DS98-1))*EA98,"")</f>
        <v/>
      </c>
      <c r="EE98" s="19" t="str">
        <f t="shared" si="228"/>
        <v/>
      </c>
      <c r="EF98" s="19" t="str">
        <f t="shared" si="229"/>
        <v/>
      </c>
      <c r="EG98" s="19" t="str">
        <f t="shared" si="230"/>
        <v/>
      </c>
      <c r="EH98" s="19" t="str">
        <f t="shared" si="231"/>
        <v/>
      </c>
      <c r="EI98" s="19" t="str">
        <f t="shared" si="232"/>
        <v/>
      </c>
      <c r="EJ98" s="19" t="str">
        <f t="shared" ref="EJ98:EJ129" si="405">IF(DT98&lt;&gt;"",DZ98-ABS(TINV((1-Subgroup_confidence_level),DS98-1))*SQRT(DX98+EA98^2),"")</f>
        <v/>
      </c>
      <c r="EK98" s="19" t="str">
        <f t="shared" ref="EK98:EK129" si="406">IF(DT98&lt;&gt;"",DZ98+ABS(TINV((1-Subgroup_confidence_level),DS98-1))*SQRT(DX98+EA98^2),"")</f>
        <v/>
      </c>
      <c r="EL98" s="19" t="str">
        <f t="shared" si="233"/>
        <v/>
      </c>
      <c r="EM98" s="19" t="str">
        <f t="shared" si="234"/>
        <v/>
      </c>
      <c r="EN98" s="19" t="str">
        <f t="shared" si="235"/>
        <v/>
      </c>
      <c r="EO98" s="19" t="str">
        <f t="shared" si="236"/>
        <v/>
      </c>
      <c r="EP98" s="19" t="str">
        <f t="shared" si="237"/>
        <v/>
      </c>
      <c r="EQ98" s="19" t="e">
        <f t="shared" si="238"/>
        <v>#N/A</v>
      </c>
      <c r="ER98" s="11" t="str">
        <f t="shared" si="328"/>
        <v/>
      </c>
      <c r="ES98" s="19" t="str">
        <f t="shared" si="329"/>
        <v/>
      </c>
      <c r="ET98" s="156" t="str">
        <f t="shared" ref="ET98:ET129" si="407">IF(EA98&lt;&gt;"",1/(EA98^2+IF(Between_subgroup_weighting=EX$38,0,EY$35)),"")</f>
        <v/>
      </c>
      <c r="EU98" s="39" t="str">
        <f t="shared" si="239"/>
        <v/>
      </c>
      <c r="EV98" s="74" t="str">
        <f t="shared" ref="EV98:EV129" si="408">IF(DT98&lt;&gt;"",IF(Subgroup_effect_size_measure="Risk Difference",EE:EE-EY$9,DZ:DZ-EY$2),"")</f>
        <v/>
      </c>
      <c r="FA98" s="196"/>
      <c r="FB98" s="84" t="e">
        <f>IF(AND(Include_study?="Yes",Sufficient_data="Yes",Moderator&lt;&gt;""),'Moderator Analysis'!E98,NA())</f>
        <v>#N/A</v>
      </c>
      <c r="FC98" s="39" t="e">
        <f>IF(AND(Include_study?="Yes",Sufficient_data="Yes",Moderator&lt;&gt;""),'Moderator Analysis'!F98,NA())</f>
        <v>#N/A</v>
      </c>
      <c r="FD98" s="39" t="str">
        <f t="shared" ref="FD98:FD129" si="409">IF(AND(Include_study?="Yes",Sufficient_data="Yes",Moderator&lt;&gt;""),IF(Moderator_effect_size_measure="Log Odds Ratio",SELogOddsRatio,IF(Moderator_effect_size_measure="Log Risk Ratio",SELogRiskRatio,IF(Moderator_effect_size_measure="Risk Difference",SERiskDifference,SELogPetoOddsRatio))),"")</f>
        <v/>
      </c>
      <c r="FE98" s="39" t="str">
        <f t="shared" ref="FE98:FE129" si="410">IF(AND(Include_study?="Yes",Sufficient_data="Yes",Moderator&lt;&gt;""),IF(Moderator_weighting_method="Inverse Variance",1/FD:FD^2,IF(Moderator_weighting_method="Mantel-Haenszel",Weightf_MH,Weightf_Peto)),"")</f>
        <v/>
      </c>
      <c r="FF98" s="39" t="str">
        <f>IF(AND(Include_study?="Yes",Sufficient_data="Yes",Moderator&lt;&gt;""),'Moderator Analysis'!F:F-FP$2,"")</f>
        <v/>
      </c>
      <c r="FG98" s="39" t="str">
        <f>IF(AND(Include_study?="Yes",Sufficient_data="Yes",Moderator&lt;&gt;""),'Moderator Analysis'!E:E-FP$3,"")</f>
        <v/>
      </c>
      <c r="FH98" s="74" t="str">
        <f>IF(AND(Include_study?="Yes",Sufficient_data="Yes",Moderator&lt;&gt;""),FE:FE*('Moderator Analysis'!F:F-FP$5-FP$4*'Moderator Analysis'!E:E)^2,"")</f>
        <v/>
      </c>
      <c r="FI98" s="128"/>
      <c r="FJ98" s="92" t="str">
        <f t="shared" ref="FJ98:FJ129" si="411">IF(AND(Include_study?="Yes",Sufficient_data="Yes",Moderator&lt;&gt;""),1/(FD:FD^2+FP$7),"")</f>
        <v/>
      </c>
      <c r="FK98" s="137" t="str">
        <f>IF(AND(Include_study?="Yes",Sufficient_data="Yes",Moderator&lt;&gt;""),'Moderator Analysis'!F:F-'Moderator Analysis'!J$37,"")</f>
        <v/>
      </c>
      <c r="FL98" s="137" t="str">
        <f>IF(AND(Include_study?="Yes",Sufficient_data="Yes",Moderator&lt;&gt;""),'Moderator Analysis'!E:E-SUMPRODUCT('Moderator Analysis'!E:E,FJ:FJ)/SUM(FJ:FJ),"")</f>
        <v/>
      </c>
      <c r="FM98" s="95" t="str">
        <f>IF(AND(Include_study?="Yes",Sufficient_data="Yes",Moderator&lt;&gt;""),FJ:FJ*('Moderator Analysis'!F:F-'Moderator Analysis'!J$29-'Moderator Analysis'!J$30*'Moderator Analysis'!E:E)^2,"")</f>
        <v/>
      </c>
      <c r="FR98" s="196"/>
      <c r="FS98" s="182"/>
      <c r="FT9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8" s="39" t="str">
        <f>IF(AND(Include_study?="Yes",Sufficient_data="Yes"),1/('Publication Bias Analysis'!F:F^2+IF(Additional_model="Fixed effect",0,Calculations!GH$12)),"")</f>
        <v/>
      </c>
      <c r="FV98" s="39" t="str">
        <f>IF(AND(Include_study?="Yes",Sufficient_data="Yes"),1/('Publication Bias Analysis'!F:F^2+IF(Additional_model="Fixed effect",0,'Publication Bias Analysis'!L$32)),"")</f>
        <v/>
      </c>
      <c r="FW98" s="39" t="str">
        <f>IF(AND(Include_study?="Yes",Sufficient_data="Yes"),'Publication Bias Analysis'!E:E-'Publication Bias Analysis'!I$37,"")</f>
        <v/>
      </c>
      <c r="FX98" s="39" t="str">
        <f>IF(AND(Include_study?="Yes",Sufficient_data="Yes"),IF(Additional_model="Fixed effect",1/'Publication Bias Analysis'!F:F,1/SQRT('Publication Bias Analysis'!F:F^2+GH$12)),"")</f>
        <v/>
      </c>
      <c r="FY9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8" s="136" t="str">
        <f t="shared" ref="FZ98:FZ129" si="412">IF(AND(Include_study?="Yes",Sufficient_data="Yes"),RANK(GM:GM,GM:GM,1)*IF(GL:GL&gt;0,1,-1),"")</f>
        <v/>
      </c>
      <c r="GA98" s="144" t="str">
        <f>IF(AND(Include_study?="Yes",Sufficient_data="Yes"),FZ:FZ+IF(GL:GL&lt;0,-1,1)*COUNTIF(FZ$2:FZ97,FZ:FZ),"")</f>
        <v/>
      </c>
      <c r="GB98" s="144" t="str">
        <f>IF(AND(Include_study?="Yes",Sufficient_data="Yes"),RANK(GP:GP,GP:GP,1)*IF(GO:GO&lt;0,-1,1)+IF(GO:GO&lt;0,-1,1)*COUNTIF(FZ$2:FZ97,FZ:FZ),"")</f>
        <v/>
      </c>
      <c r="GC98" s="144" t="str">
        <f>IF(AND(Include_study?="Yes",Sufficient_data="Yes"),RANK(GS:GS,GS:GS,1)*IF(GR:GR&lt;0,-1,1)+IF(GR:GR&lt;0,-1,1)*COUNTIF(FZ$2:FZ97,FZ:FZ),"")</f>
        <v/>
      </c>
      <c r="GD98" s="39" t="e">
        <f>IF(AND(Include_study?="Yes",Sufficient_data="Yes"),'Publication Bias Analysis'!E98,NA())</f>
        <v>#N/A</v>
      </c>
      <c r="GE98" s="74" t="e">
        <f>IF(AND(Include_study?="Yes",Sufficient_data="Yes"),'Publication Bias Analysis'!F98,NA())</f>
        <v>#N/A</v>
      </c>
      <c r="GK98" s="176"/>
      <c r="GL9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8" s="39" t="str">
        <f t="shared" ref="GM98:GM129" si="413">IF(AND(Include_study?="Yes",Sufficient_data="Yes"),ABS(GL98),"")</f>
        <v/>
      </c>
      <c r="GN9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8" s="39" t="str">
        <f>IF(AND(Include_study?="Yes",Sufficient_data="Yes"),IF('Publication Bias Analysis'!L$38="Left",'Publication Bias Analysis'!E:E-GW$3,GW$3-'Publication Bias Analysis'!E:E),"")</f>
        <v/>
      </c>
      <c r="GP98" s="39" t="str">
        <f t="shared" si="330"/>
        <v/>
      </c>
      <c r="GQ9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8" s="39" t="str">
        <f>IF(AND(Include_study?="Yes",Sufficient_data="Yes"),IF('Publication Bias Analysis'!L$38="Left",'Publication Bias Analysis'!E:E-GW$10,GW$10-'Publication Bias Analysis'!E:E),"")</f>
        <v/>
      </c>
      <c r="GS98" s="39" t="str">
        <f t="shared" si="331"/>
        <v/>
      </c>
      <c r="GT9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8" s="176"/>
      <c r="HL98" s="69" t="str">
        <f t="shared" si="319"/>
        <v/>
      </c>
      <c r="HM98" s="74" t="str">
        <f>IF(AND(Include_study?="Yes",Sufficient_data="Yes"),Z_score-('Publication Bias Analysis'!P$3+'Publication Bias Analysis'!P$4*Inverse_standard_error),"")</f>
        <v/>
      </c>
      <c r="HO98" s="176"/>
      <c r="HP98" s="69" t="str">
        <f>IF(AND(Include_study?="Yes",Sufficient_data="Yes"),(GD:GD-SUMPRODUCT(Calculations!FT:FT,'Publication Bias Analysis'!E:E)/SUM(Calculations!FT:FT))/SQRT(Calculations!HQ:HQ),"")</f>
        <v/>
      </c>
      <c r="HQ98" s="69" t="str">
        <f>IF(AND(Include_study?="Yes",Sufficient_data="Yes"),GE:GE^2-1/SUM(Calculations!FT:FT),"")</f>
        <v/>
      </c>
      <c r="HR98" s="7" t="str">
        <f t="shared" si="240"/>
        <v/>
      </c>
      <c r="HS98" s="7" t="str">
        <f t="shared" si="241"/>
        <v/>
      </c>
      <c r="HT98" s="7" t="str">
        <f>IF(AND(Include_study?="Yes",Sufficient_data="Yes"),COUNTIFS(HR$2:HR97,"&lt;"&amp;HR98,HS$2:HS97,"&lt;"&amp;HS98)+COUNTIFS(HR99:HR$201,"&lt;"&amp;HR98,HS99:HS$201,"&lt;"&amp;HS98)+COUNTIFS(HR$2:HR97,"&gt;"&amp;HR98,HS$2:HS97,"&gt;"&amp;HS98)+COUNTIFS(HR99:HR$201,"&gt;"&amp;HR98,HS99:HS$201,"&gt;"&amp;HS98),"")</f>
        <v/>
      </c>
      <c r="HU98" s="104" t="str">
        <f>IF(AND(Include_study?="Yes",Sufficient_data="Yes"),COUNTIFS(HR$2:HR97,"&lt;"&amp;HR98,HS$2:HS97,"&gt;"&amp;HS98)+COUNTIFS(HR99:HR$201,"&lt;"&amp;HR98,HS99:HS$201,"&gt;"&amp;HS98)+COUNTIFS(HR$2:HR97,"&gt;"&amp;HR98,HS$2:HS97,"&lt;"&amp;HS98)+COUNTIFS(HR99:HR$201,"&gt;"&amp;HR98,HS99:HS$201,"&lt;"&amp;HS98),"")</f>
        <v/>
      </c>
      <c r="HW98" s="176"/>
      <c r="IB98" s="176"/>
      <c r="IC98" s="146" t="e">
        <f t="shared" ref="IC98:IC129" si="414">IF(AND(Include_study?="Yes",Sufficient_data="Yes"),a_/(a_+b_),NA())</f>
        <v>#N/A</v>
      </c>
      <c r="ID98" s="137" t="e">
        <f t="shared" ref="ID98:ID129" si="415">IF(AND(Include_study?="Yes",Sufficient_data="Yes"),c_/(c_+d_),NA())</f>
        <v>#N/A</v>
      </c>
      <c r="IE98" s="137" t="str">
        <f t="shared" ref="IE98:IE129" si="416">IF(AND(Include_study?="Yes",Sufficient_data="Yes"),1/SELogRiskRatio^2,"")</f>
        <v/>
      </c>
      <c r="IF98" s="95" t="str">
        <f t="shared" ref="IF98:IF129" si="417">IF(AND(Include_study?="Yes",Sufficient_data="Yes"),IF(Additional_model="Fixed effect",Weightf,Weightr),"")</f>
        <v/>
      </c>
      <c r="IK98" s="176"/>
      <c r="IL98" s="69" t="e">
        <f>IF(AND(Include_study?="Yes",Sufficient_data="Yes"),'Publication Bias Analysis'!AV:AV,NA())</f>
        <v>#N/A</v>
      </c>
      <c r="IM98" s="158" t="e">
        <f>IF(AND(Sufficient_data="Yes",Include_study?="Yes"),'Publication Bias Analysis'!AU:AU,NA())</f>
        <v>#N/A</v>
      </c>
      <c r="IN98" s="69" t="str">
        <f t="shared" ref="IN98:IN161" si="418">IF(AND(Include_study?="Yes",Sufficient_data="Yes"),Inverse_standard_error-AVERAGE(Inverse_standard_error),"")</f>
        <v/>
      </c>
      <c r="IO98" s="74" t="str">
        <f>IF(AND(Include_study?="Yes",Sufficient_data="Yes"),Z_score-('Publication Bias Analysis'!AY$30+'Publication Bias Analysis'!AY$31*Inverse_standard_error),"")</f>
        <v/>
      </c>
      <c r="IU98" s="176"/>
      <c r="IV98" s="7" t="str">
        <f>IF('Publication Bias Analysis'!BG:BG&lt;&gt;"",RANK('Publication Bias Analysis'!BG:BG,'Publication Bias Analysis'!BG:BG,1)+COUNTIF('Publication Bias Analysis'!BG$2:BG97,'Publication Bias Analysis'!BG98),"")</f>
        <v/>
      </c>
      <c r="IW98" s="124" t="str">
        <f t="shared" ref="IW98:IW129" si="419">IF(IV:IV&lt;&gt;"",(IV:IV-1/3)/(k_+1/3),"")</f>
        <v/>
      </c>
      <c r="IX98" s="125" t="e">
        <f>IF('Publication Bias Analysis'!BF98&lt;&gt;"",'Publication Bias Analysis'!BF98,NA())</f>
        <v>#N/A</v>
      </c>
      <c r="IY98" s="125" t="e">
        <f>IF('Publication Bias Analysis'!BG98&lt;&gt;"",'Publication Bias Analysis'!BG98,NA())</f>
        <v>#N/A</v>
      </c>
      <c r="IZ98" s="69" t="str">
        <f>IF(AND(Include_study?="Yes",Sufficient_data="Yes"),'Publication Bias Analysis'!BF:BF-AVERAGE('Publication Bias Analysis'!BF:BF),"")</f>
        <v/>
      </c>
      <c r="JA98" s="74" t="str">
        <f>IF(AND(Include_study?="Yes",Sufficient_data="Yes"),'Publication Bias Analysis'!BG:BG-('Publication Bias Analysis'!BJ$30+'Publication Bias Analysis'!BJ$31*'Publication Bias Analysis'!BF:BF),"")</f>
        <v/>
      </c>
      <c r="JG98" s="176"/>
      <c r="JH98" s="39" t="str">
        <f t="shared" ref="JH98:JH129" si="420">IF(AND(Include_study?="Yes",Sufficient_data="Yes"),IF(AND(Additional_valid_options="No",Additional_model="Random effects"),NA(),Z_score),"")</f>
        <v/>
      </c>
      <c r="JI98" s="148" t="str">
        <f t="shared" si="332"/>
        <v/>
      </c>
      <c r="JJ98" s="74" t="str">
        <f t="shared" si="333"/>
        <v/>
      </c>
    </row>
    <row r="99" spans="1:270" x14ac:dyDescent="0.2">
      <c r="A99" s="56" t="str">
        <f t="shared" si="334"/>
        <v/>
      </c>
      <c r="B99" s="7" t="str">
        <f>IF(AND(Include_study?="Yes",Sufficient_data="Yes"),IF(Input!a_&lt;&gt;"",Input!a_,Input!n1_-Input!b_),"")</f>
        <v/>
      </c>
      <c r="C99" s="7" t="str">
        <f>IF(AND(Include_study?="Yes",Sufficient_data="Yes"),IF(Input!b_&lt;&gt;"",Input!b_,Input!n1_-Input!a_),"")</f>
        <v/>
      </c>
      <c r="D99" s="7" t="str">
        <f>IF(AND(Include_study?="Yes",Sufficient_data="Yes"),IF(Input!c_&lt;&gt;"",Input!c_,Input!n2_-Input!d_),"")</f>
        <v/>
      </c>
      <c r="E99" s="7" t="str">
        <f>IF(AND(Include_study?="Yes",Sufficient_data="Yes"),IF(Input!d_&lt;&gt;"",Input!d_,Input!n2_-Input!c_),"")</f>
        <v/>
      </c>
      <c r="F99" s="74" t="str">
        <f t="shared" si="335"/>
        <v/>
      </c>
      <c r="H99" s="196"/>
      <c r="I99" s="182"/>
      <c r="J99" s="146" t="str">
        <f t="shared" si="245"/>
        <v/>
      </c>
      <c r="K99" s="39" t="str">
        <f t="shared" si="336"/>
        <v/>
      </c>
      <c r="L99" s="39" t="str">
        <f t="shared" si="337"/>
        <v/>
      </c>
      <c r="M99" s="39" t="str">
        <f t="shared" si="338"/>
        <v/>
      </c>
      <c r="N99" s="74" t="str">
        <f t="shared" si="339"/>
        <v/>
      </c>
      <c r="P99" s="176"/>
      <c r="Q99" s="130" t="str">
        <f t="shared" si="340"/>
        <v/>
      </c>
      <c r="R99" s="39" t="str">
        <f t="shared" si="341"/>
        <v/>
      </c>
      <c r="S99" s="39" t="str">
        <f t="shared" si="342"/>
        <v/>
      </c>
      <c r="T99" s="74" t="str">
        <f t="shared" si="343"/>
        <v/>
      </c>
      <c r="V99" s="176"/>
      <c r="W99" s="130" t="str">
        <f t="shared" si="344"/>
        <v/>
      </c>
      <c r="X99" s="39" t="str">
        <f t="shared" si="345"/>
        <v/>
      </c>
      <c r="Y99" s="39" t="str">
        <f t="shared" si="346"/>
        <v/>
      </c>
      <c r="Z99" s="74" t="str">
        <f t="shared" si="347"/>
        <v/>
      </c>
      <c r="AB99" s="176"/>
      <c r="AC99" s="130" t="str">
        <f t="shared" si="348"/>
        <v/>
      </c>
      <c r="AD99" s="39" t="str">
        <f t="shared" si="349"/>
        <v/>
      </c>
      <c r="AE99" s="39" t="str">
        <f t="shared" si="350"/>
        <v/>
      </c>
      <c r="AF99" s="39" t="str">
        <f t="shared" si="351"/>
        <v/>
      </c>
      <c r="AG99" s="74" t="str">
        <f t="shared" si="352"/>
        <v/>
      </c>
      <c r="AI99" s="196"/>
      <c r="AJ9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99" s="136" t="str">
        <f>IF(AJ99&lt;&gt;"",IF(AJ99=0,COUNTIF(AJ$2:AJ98,0)+1,COUNTIF(AJ$2:AJ98,AJ99)+AJ99+COUNTIF(AJ:AJ,0)),"")</f>
        <v/>
      </c>
      <c r="AL99" s="136" t="str">
        <f t="shared" si="263"/>
        <v/>
      </c>
      <c r="AM99" s="155" t="str">
        <f>IF(AND(Include_study?="Yes",Sufficient_data="Yes",Input!Study_name&lt;&gt;""),Input!Study_name,"")</f>
        <v/>
      </c>
      <c r="AN99" s="136" t="str">
        <f t="shared" si="264"/>
        <v/>
      </c>
      <c r="AO99" s="19" t="str">
        <f t="shared" si="353"/>
        <v/>
      </c>
      <c r="AP99" s="158" t="str">
        <f t="shared" si="354"/>
        <v/>
      </c>
      <c r="AQ99" s="158" t="str">
        <f t="shared" si="355"/>
        <v/>
      </c>
      <c r="AR99" s="39" t="str">
        <f t="shared" si="356"/>
        <v/>
      </c>
      <c r="AS99" s="158" t="str">
        <f t="shared" si="357"/>
        <v/>
      </c>
      <c r="AT99" s="39" t="str">
        <f t="shared" si="358"/>
        <v/>
      </c>
      <c r="AU99" s="172" t="str">
        <f t="shared" si="359"/>
        <v/>
      </c>
      <c r="AV99" s="45"/>
      <c r="AW99" s="84" t="e">
        <f t="shared" si="360"/>
        <v>#N/A</v>
      </c>
      <c r="AX99" s="69" t="e">
        <f t="shared" si="361"/>
        <v>#N/A</v>
      </c>
      <c r="AY99" s="74" t="e">
        <f t="shared" si="362"/>
        <v>#N/A</v>
      </c>
      <c r="AZ99" s="45"/>
      <c r="BA99" s="45"/>
      <c r="BB99" s="45"/>
      <c r="BC99" s="45"/>
      <c r="BD99" s="196"/>
      <c r="BE99" s="182"/>
      <c r="BF99" s="69" t="str">
        <f t="shared" si="363"/>
        <v/>
      </c>
      <c r="BG99" s="69" t="str">
        <f t="shared" si="364"/>
        <v/>
      </c>
      <c r="BH99" s="69" t="str">
        <f t="shared" si="365"/>
        <v/>
      </c>
      <c r="BI99" s="39" t="str">
        <f t="shared" si="366"/>
        <v/>
      </c>
      <c r="BJ99" s="95" t="str">
        <f t="shared" si="367"/>
        <v/>
      </c>
      <c r="BO99" s="176"/>
      <c r="BP99" s="158" t="str">
        <f t="shared" si="368"/>
        <v/>
      </c>
      <c r="BQ99" s="158" t="str">
        <f t="shared" si="369"/>
        <v/>
      </c>
      <c r="BR99" s="158" t="str">
        <f t="shared" si="370"/>
        <v/>
      </c>
      <c r="BS99" s="158" t="str">
        <f>IF(AND(Sufficient_data="Yes",Include_study?="Yes"),IF(Add_0_5="Yes",(a_+d_+1)*(ab_+0.5)*(c_+0.5)/(Number_of_subjects+2)^2,(a_+d_)*b_*c_/Number_of_subjects^2),"")</f>
        <v/>
      </c>
      <c r="BT99" s="158" t="str">
        <f t="shared" si="371"/>
        <v/>
      </c>
      <c r="BU99" s="158" t="str">
        <f t="shared" si="372"/>
        <v/>
      </c>
      <c r="BV99" s="158" t="str">
        <f t="shared" si="373"/>
        <v/>
      </c>
      <c r="BW99" s="69" t="str">
        <f t="shared" si="374"/>
        <v/>
      </c>
      <c r="BX99" s="137" t="str">
        <f t="shared" si="375"/>
        <v/>
      </c>
      <c r="BY99" s="95" t="str">
        <f t="shared" si="376"/>
        <v/>
      </c>
      <c r="CD99" s="176"/>
      <c r="CE99" s="130" t="str">
        <f t="shared" si="377"/>
        <v/>
      </c>
      <c r="CF99" s="39" t="str">
        <f t="shared" si="378"/>
        <v/>
      </c>
      <c r="CG99" s="39" t="str">
        <f t="shared" si="379"/>
        <v/>
      </c>
      <c r="CH99" s="39" t="str">
        <f t="shared" si="380"/>
        <v/>
      </c>
      <c r="CI99" s="39" t="str">
        <f t="shared" si="381"/>
        <v/>
      </c>
      <c r="CJ99" s="39" t="str">
        <f t="shared" si="287"/>
        <v/>
      </c>
      <c r="CK99" s="95" t="str">
        <f t="shared" si="382"/>
        <v/>
      </c>
      <c r="CP99" s="176"/>
      <c r="CQ99" s="99" t="str">
        <f t="shared" si="383"/>
        <v/>
      </c>
      <c r="CX99" s="196"/>
      <c r="CY99" s="89" t="e">
        <f t="shared" si="384"/>
        <v>#N/A</v>
      </c>
      <c r="CZ99" s="136" t="str">
        <f t="shared" si="385"/>
        <v/>
      </c>
      <c r="DA99" s="140" t="str">
        <f t="shared" si="386"/>
        <v/>
      </c>
      <c r="DB99" s="39" t="str">
        <f t="shared" si="387"/>
        <v/>
      </c>
      <c r="DC99" s="39" t="str">
        <f t="shared" si="388"/>
        <v/>
      </c>
      <c r="DD99" s="39" t="str">
        <f t="shared" si="389"/>
        <v/>
      </c>
      <c r="DE99" s="39" t="str">
        <f t="shared" si="390"/>
        <v/>
      </c>
      <c r="DF99" s="141" t="str">
        <f t="shared" si="391"/>
        <v/>
      </c>
      <c r="DG99" s="39" t="str">
        <f t="shared" si="392"/>
        <v/>
      </c>
      <c r="DH99" s="39" t="str">
        <f t="shared" si="393"/>
        <v/>
      </c>
      <c r="DI99" s="39" t="str">
        <f t="shared" si="394"/>
        <v/>
      </c>
      <c r="DJ99" s="74" t="str">
        <f t="shared" si="395"/>
        <v/>
      </c>
      <c r="DK99" s="45"/>
      <c r="DL99" s="84" t="e">
        <f t="shared" si="222"/>
        <v>#N/A</v>
      </c>
      <c r="DM99" s="39" t="e">
        <f t="shared" si="396"/>
        <v>#N/A</v>
      </c>
      <c r="DN99" s="74" t="e">
        <f t="shared" si="397"/>
        <v>#N/A</v>
      </c>
      <c r="DO99" s="45"/>
      <c r="DP99" s="89" t="str">
        <f t="shared" si="326"/>
        <v/>
      </c>
      <c r="DQ99" s="26" t="str">
        <f>IF(AND(Sufficient_data="Yes",Subgroup&lt;&gt;""),IF(COUNTIFS(Input!J$2:J98,"="&amp;"Yes",Input!C$2:C98,"="&amp;"Yes",Input!K$2:K98,"="&amp;Subgroup)&gt;0,"",Subgroup),"")</f>
        <v/>
      </c>
      <c r="DR99" s="7" t="str">
        <f t="shared" si="327"/>
        <v/>
      </c>
      <c r="DS99" s="7" t="str">
        <f t="shared" si="398"/>
        <v/>
      </c>
      <c r="DT99" s="19" t="str">
        <f t="shared" si="399"/>
        <v/>
      </c>
      <c r="DU99" s="12" t="str">
        <f t="shared" si="223"/>
        <v/>
      </c>
      <c r="DV99" s="11" t="str">
        <f t="shared" si="224"/>
        <v/>
      </c>
      <c r="DW99" s="12" t="str">
        <f t="shared" si="225"/>
        <v/>
      </c>
      <c r="DX99" s="12" t="str">
        <f t="shared" si="400"/>
        <v/>
      </c>
      <c r="DY99" s="19" t="str">
        <f t="shared" si="226"/>
        <v/>
      </c>
      <c r="DZ99" s="12" t="str">
        <f t="shared" si="227"/>
        <v/>
      </c>
      <c r="EA99" s="19" t="str">
        <f t="shared" si="401"/>
        <v/>
      </c>
      <c r="EB99" s="7" t="str">
        <f t="shared" si="402"/>
        <v/>
      </c>
      <c r="EC99" s="19" t="str">
        <f t="shared" si="403"/>
        <v/>
      </c>
      <c r="ED99" s="19" t="str">
        <f t="shared" si="404"/>
        <v/>
      </c>
      <c r="EE99" s="19" t="str">
        <f t="shared" si="228"/>
        <v/>
      </c>
      <c r="EF99" s="19" t="str">
        <f t="shared" si="229"/>
        <v/>
      </c>
      <c r="EG99" s="19" t="str">
        <f t="shared" si="230"/>
        <v/>
      </c>
      <c r="EH99" s="19" t="str">
        <f t="shared" si="231"/>
        <v/>
      </c>
      <c r="EI99" s="19" t="str">
        <f t="shared" si="232"/>
        <v/>
      </c>
      <c r="EJ99" s="19" t="str">
        <f t="shared" si="405"/>
        <v/>
      </c>
      <c r="EK99" s="19" t="str">
        <f t="shared" si="406"/>
        <v/>
      </c>
      <c r="EL99" s="19" t="str">
        <f t="shared" si="233"/>
        <v/>
      </c>
      <c r="EM99" s="19" t="str">
        <f t="shared" si="234"/>
        <v/>
      </c>
      <c r="EN99" s="19" t="str">
        <f t="shared" si="235"/>
        <v/>
      </c>
      <c r="EO99" s="19" t="str">
        <f t="shared" si="236"/>
        <v/>
      </c>
      <c r="EP99" s="19" t="str">
        <f t="shared" si="237"/>
        <v/>
      </c>
      <c r="EQ99" s="19" t="e">
        <f t="shared" si="238"/>
        <v>#N/A</v>
      </c>
      <c r="ER99" s="11" t="str">
        <f t="shared" si="328"/>
        <v/>
      </c>
      <c r="ES99" s="19" t="str">
        <f t="shared" si="329"/>
        <v/>
      </c>
      <c r="ET99" s="156" t="str">
        <f t="shared" si="407"/>
        <v/>
      </c>
      <c r="EU99" s="39" t="str">
        <f t="shared" si="239"/>
        <v/>
      </c>
      <c r="EV99" s="74" t="str">
        <f t="shared" si="408"/>
        <v/>
      </c>
      <c r="FA99" s="196"/>
      <c r="FB99" s="84" t="e">
        <f>IF(AND(Include_study?="Yes",Sufficient_data="Yes",Moderator&lt;&gt;""),'Moderator Analysis'!E99,NA())</f>
        <v>#N/A</v>
      </c>
      <c r="FC99" s="39" t="e">
        <f>IF(AND(Include_study?="Yes",Sufficient_data="Yes",Moderator&lt;&gt;""),'Moderator Analysis'!F99,NA())</f>
        <v>#N/A</v>
      </c>
      <c r="FD99" s="39" t="str">
        <f t="shared" si="409"/>
        <v/>
      </c>
      <c r="FE99" s="39" t="str">
        <f t="shared" si="410"/>
        <v/>
      </c>
      <c r="FF99" s="39" t="str">
        <f>IF(AND(Include_study?="Yes",Sufficient_data="Yes",Moderator&lt;&gt;""),'Moderator Analysis'!F:F-FP$2,"")</f>
        <v/>
      </c>
      <c r="FG99" s="39" t="str">
        <f>IF(AND(Include_study?="Yes",Sufficient_data="Yes",Moderator&lt;&gt;""),'Moderator Analysis'!E:E-FP$3,"")</f>
        <v/>
      </c>
      <c r="FH99" s="74" t="str">
        <f>IF(AND(Include_study?="Yes",Sufficient_data="Yes",Moderator&lt;&gt;""),FE:FE*('Moderator Analysis'!F:F-FP$5-FP$4*'Moderator Analysis'!E:E)^2,"")</f>
        <v/>
      </c>
      <c r="FI99" s="128"/>
      <c r="FJ99" s="92" t="str">
        <f t="shared" si="411"/>
        <v/>
      </c>
      <c r="FK99" s="137" t="str">
        <f>IF(AND(Include_study?="Yes",Sufficient_data="Yes",Moderator&lt;&gt;""),'Moderator Analysis'!F:F-'Moderator Analysis'!J$37,"")</f>
        <v/>
      </c>
      <c r="FL99" s="137" t="str">
        <f>IF(AND(Include_study?="Yes",Sufficient_data="Yes",Moderator&lt;&gt;""),'Moderator Analysis'!E:E-SUMPRODUCT('Moderator Analysis'!E:E,FJ:FJ)/SUM(FJ:FJ),"")</f>
        <v/>
      </c>
      <c r="FM99" s="95" t="str">
        <f>IF(AND(Include_study?="Yes",Sufficient_data="Yes",Moderator&lt;&gt;""),FJ:FJ*('Moderator Analysis'!F:F-'Moderator Analysis'!J$29-'Moderator Analysis'!J$30*'Moderator Analysis'!E:E)^2,"")</f>
        <v/>
      </c>
      <c r="FR99" s="196"/>
      <c r="FS99" s="182"/>
      <c r="FT9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99" s="39" t="str">
        <f>IF(AND(Include_study?="Yes",Sufficient_data="Yes"),1/('Publication Bias Analysis'!F:F^2+IF(Additional_model="Fixed effect",0,Calculations!GH$12)),"")</f>
        <v/>
      </c>
      <c r="FV99" s="39" t="str">
        <f>IF(AND(Include_study?="Yes",Sufficient_data="Yes"),1/('Publication Bias Analysis'!F:F^2+IF(Additional_model="Fixed effect",0,'Publication Bias Analysis'!L$32)),"")</f>
        <v/>
      </c>
      <c r="FW99" s="39" t="str">
        <f>IF(AND(Include_study?="Yes",Sufficient_data="Yes"),'Publication Bias Analysis'!E:E-'Publication Bias Analysis'!I$37,"")</f>
        <v/>
      </c>
      <c r="FX99" s="39" t="str">
        <f>IF(AND(Include_study?="Yes",Sufficient_data="Yes"),IF(Additional_model="Fixed effect",1/'Publication Bias Analysis'!F:F,1/SQRT('Publication Bias Analysis'!F:F^2+GH$12)),"")</f>
        <v/>
      </c>
      <c r="FY9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99" s="136" t="str">
        <f t="shared" si="412"/>
        <v/>
      </c>
      <c r="GA99" s="144" t="str">
        <f>IF(AND(Include_study?="Yes",Sufficient_data="Yes"),FZ:FZ+IF(GL:GL&lt;0,-1,1)*COUNTIF(FZ$2:FZ98,FZ:FZ),"")</f>
        <v/>
      </c>
      <c r="GB99" s="144" t="str">
        <f>IF(AND(Include_study?="Yes",Sufficient_data="Yes"),RANK(GP:GP,GP:GP,1)*IF(GO:GO&lt;0,-1,1)+IF(GO:GO&lt;0,-1,1)*COUNTIF(FZ$2:FZ98,FZ:FZ),"")</f>
        <v/>
      </c>
      <c r="GC99" s="144" t="str">
        <f>IF(AND(Include_study?="Yes",Sufficient_data="Yes"),RANK(GS:GS,GS:GS,1)*IF(GR:GR&lt;0,-1,1)+IF(GR:GR&lt;0,-1,1)*COUNTIF(FZ$2:FZ98,FZ:FZ),"")</f>
        <v/>
      </c>
      <c r="GD99" s="39" t="e">
        <f>IF(AND(Include_study?="Yes",Sufficient_data="Yes"),'Publication Bias Analysis'!E99,NA())</f>
        <v>#N/A</v>
      </c>
      <c r="GE99" s="74" t="e">
        <f>IF(AND(Include_study?="Yes",Sufficient_data="Yes"),'Publication Bias Analysis'!F99,NA())</f>
        <v>#N/A</v>
      </c>
      <c r="GK99" s="176"/>
      <c r="GL9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99" s="39" t="str">
        <f t="shared" si="413"/>
        <v/>
      </c>
      <c r="GN9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99" s="39" t="str">
        <f>IF(AND(Include_study?="Yes",Sufficient_data="Yes"),IF('Publication Bias Analysis'!L$38="Left",'Publication Bias Analysis'!E:E-GW$3,GW$3-'Publication Bias Analysis'!E:E),"")</f>
        <v/>
      </c>
      <c r="GP99" s="39" t="str">
        <f t="shared" si="330"/>
        <v/>
      </c>
      <c r="GQ9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99" s="39" t="str">
        <f>IF(AND(Include_study?="Yes",Sufficient_data="Yes"),IF('Publication Bias Analysis'!L$38="Left",'Publication Bias Analysis'!E:E-GW$10,GW$10-'Publication Bias Analysis'!E:E),"")</f>
        <v/>
      </c>
      <c r="GS99" s="39" t="str">
        <f t="shared" si="331"/>
        <v/>
      </c>
      <c r="GT9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99" s="176"/>
      <c r="HL99" s="69" t="str">
        <f t="shared" si="319"/>
        <v/>
      </c>
      <c r="HM99" s="74" t="str">
        <f>IF(AND(Include_study?="Yes",Sufficient_data="Yes"),Z_score-('Publication Bias Analysis'!P$3+'Publication Bias Analysis'!P$4*Inverse_standard_error),"")</f>
        <v/>
      </c>
      <c r="HO99" s="176"/>
      <c r="HP99" s="69" t="str">
        <f>IF(AND(Include_study?="Yes",Sufficient_data="Yes"),(GD:GD-SUMPRODUCT(Calculations!FT:FT,'Publication Bias Analysis'!E:E)/SUM(Calculations!FT:FT))/SQRT(Calculations!HQ:HQ),"")</f>
        <v/>
      </c>
      <c r="HQ99" s="69" t="str">
        <f>IF(AND(Include_study?="Yes",Sufficient_data="Yes"),GE:GE^2-1/SUM(Calculations!FT:FT),"")</f>
        <v/>
      </c>
      <c r="HR99" s="7" t="str">
        <f t="shared" si="240"/>
        <v/>
      </c>
      <c r="HS99" s="7" t="str">
        <f t="shared" si="241"/>
        <v/>
      </c>
      <c r="HT99" s="7" t="str">
        <f>IF(AND(Include_study?="Yes",Sufficient_data="Yes"),COUNTIFS(HR$2:HR98,"&lt;"&amp;HR99,HS$2:HS98,"&lt;"&amp;HS99)+COUNTIFS(HR100:HR$201,"&lt;"&amp;HR99,HS100:HS$201,"&lt;"&amp;HS99)+COUNTIFS(HR$2:HR98,"&gt;"&amp;HR99,HS$2:HS98,"&gt;"&amp;HS99)+COUNTIFS(HR100:HR$201,"&gt;"&amp;HR99,HS100:HS$201,"&gt;"&amp;HS99),"")</f>
        <v/>
      </c>
      <c r="HU99" s="104" t="str">
        <f>IF(AND(Include_study?="Yes",Sufficient_data="Yes"),COUNTIFS(HR$2:HR98,"&lt;"&amp;HR99,HS$2:HS98,"&gt;"&amp;HS99)+COUNTIFS(HR100:HR$201,"&lt;"&amp;HR99,HS100:HS$201,"&gt;"&amp;HS99)+COUNTIFS(HR$2:HR98,"&gt;"&amp;HR99,HS$2:HS98,"&lt;"&amp;HS99)+COUNTIFS(HR100:HR$201,"&gt;"&amp;HR99,HS100:HS$201,"&lt;"&amp;HS99),"")</f>
        <v/>
      </c>
      <c r="HW99" s="176"/>
      <c r="IB99" s="176"/>
      <c r="IC99" s="146" t="e">
        <f t="shared" si="414"/>
        <v>#N/A</v>
      </c>
      <c r="ID99" s="137" t="e">
        <f t="shared" si="415"/>
        <v>#N/A</v>
      </c>
      <c r="IE99" s="137" t="str">
        <f t="shared" si="416"/>
        <v/>
      </c>
      <c r="IF99" s="95" t="str">
        <f t="shared" si="417"/>
        <v/>
      </c>
      <c r="IK99" s="176"/>
      <c r="IL99" s="69" t="e">
        <f>IF(AND(Include_study?="Yes",Sufficient_data="Yes"),'Publication Bias Analysis'!AV:AV,NA())</f>
        <v>#N/A</v>
      </c>
      <c r="IM99" s="158" t="e">
        <f>IF(AND(Sufficient_data="Yes",Include_study?="Yes"),'Publication Bias Analysis'!AU:AU,NA())</f>
        <v>#N/A</v>
      </c>
      <c r="IN99" s="69" t="str">
        <f t="shared" si="418"/>
        <v/>
      </c>
      <c r="IO99" s="74" t="str">
        <f>IF(AND(Include_study?="Yes",Sufficient_data="Yes"),Z_score-('Publication Bias Analysis'!AY$30+'Publication Bias Analysis'!AY$31*Inverse_standard_error),"")</f>
        <v/>
      </c>
      <c r="IU99" s="176"/>
      <c r="IV99" s="7" t="str">
        <f>IF('Publication Bias Analysis'!BG:BG&lt;&gt;"",RANK('Publication Bias Analysis'!BG:BG,'Publication Bias Analysis'!BG:BG,1)+COUNTIF('Publication Bias Analysis'!BG$2:BG98,'Publication Bias Analysis'!BG99),"")</f>
        <v/>
      </c>
      <c r="IW99" s="124" t="str">
        <f t="shared" si="419"/>
        <v/>
      </c>
      <c r="IX99" s="125" t="e">
        <f>IF('Publication Bias Analysis'!BF99&lt;&gt;"",'Publication Bias Analysis'!BF99,NA())</f>
        <v>#N/A</v>
      </c>
      <c r="IY99" s="125" t="e">
        <f>IF('Publication Bias Analysis'!BG99&lt;&gt;"",'Publication Bias Analysis'!BG99,NA())</f>
        <v>#N/A</v>
      </c>
      <c r="IZ99" s="69" t="str">
        <f>IF(AND(Include_study?="Yes",Sufficient_data="Yes"),'Publication Bias Analysis'!BF:BF-AVERAGE('Publication Bias Analysis'!BF:BF),"")</f>
        <v/>
      </c>
      <c r="JA99" s="74" t="str">
        <f>IF(AND(Include_study?="Yes",Sufficient_data="Yes"),'Publication Bias Analysis'!BG:BG-('Publication Bias Analysis'!BJ$30+'Publication Bias Analysis'!BJ$31*'Publication Bias Analysis'!BF:BF),"")</f>
        <v/>
      </c>
      <c r="JG99" s="176"/>
      <c r="JH99" s="39" t="str">
        <f t="shared" si="420"/>
        <v/>
      </c>
      <c r="JI99" s="148" t="str">
        <f t="shared" si="332"/>
        <v/>
      </c>
      <c r="JJ99" s="74" t="str">
        <f t="shared" si="333"/>
        <v/>
      </c>
    </row>
    <row r="100" spans="1:270" x14ac:dyDescent="0.2">
      <c r="A100" s="56" t="str">
        <f t="shared" si="334"/>
        <v/>
      </c>
      <c r="B100" s="7" t="str">
        <f>IF(AND(Include_study?="Yes",Sufficient_data="Yes"),IF(Input!a_&lt;&gt;"",Input!a_,Input!n1_-Input!b_),"")</f>
        <v/>
      </c>
      <c r="C100" s="7" t="str">
        <f>IF(AND(Include_study?="Yes",Sufficient_data="Yes"),IF(Input!b_&lt;&gt;"",Input!b_,Input!n1_-Input!a_),"")</f>
        <v/>
      </c>
      <c r="D100" s="7" t="str">
        <f>IF(AND(Include_study?="Yes",Sufficient_data="Yes"),IF(Input!c_&lt;&gt;"",Input!c_,Input!n2_-Input!d_),"")</f>
        <v/>
      </c>
      <c r="E100" s="7" t="str">
        <f>IF(AND(Include_study?="Yes",Sufficient_data="Yes"),IF(Input!d_&lt;&gt;"",Input!d_,Input!n2_-Input!c_),"")</f>
        <v/>
      </c>
      <c r="F100" s="74" t="str">
        <f t="shared" si="335"/>
        <v/>
      </c>
      <c r="H100" s="196"/>
      <c r="I100" s="182"/>
      <c r="J100" s="146" t="str">
        <f t="shared" si="245"/>
        <v/>
      </c>
      <c r="K100" s="39" t="str">
        <f t="shared" si="336"/>
        <v/>
      </c>
      <c r="L100" s="39" t="str">
        <f t="shared" si="337"/>
        <v/>
      </c>
      <c r="M100" s="39" t="str">
        <f t="shared" si="338"/>
        <v/>
      </c>
      <c r="N100" s="74" t="str">
        <f t="shared" si="339"/>
        <v/>
      </c>
      <c r="P100" s="176"/>
      <c r="Q100" s="130" t="str">
        <f t="shared" si="340"/>
        <v/>
      </c>
      <c r="R100" s="39" t="str">
        <f t="shared" si="341"/>
        <v/>
      </c>
      <c r="S100" s="39" t="str">
        <f t="shared" si="342"/>
        <v/>
      </c>
      <c r="T100" s="74" t="str">
        <f t="shared" si="343"/>
        <v/>
      </c>
      <c r="V100" s="176"/>
      <c r="W100" s="130" t="str">
        <f t="shared" si="344"/>
        <v/>
      </c>
      <c r="X100" s="39" t="str">
        <f t="shared" si="345"/>
        <v/>
      </c>
      <c r="Y100" s="39" t="str">
        <f t="shared" si="346"/>
        <v/>
      </c>
      <c r="Z100" s="74" t="str">
        <f t="shared" si="347"/>
        <v/>
      </c>
      <c r="AB100" s="176"/>
      <c r="AC100" s="130" t="str">
        <f t="shared" si="348"/>
        <v/>
      </c>
      <c r="AD100" s="39" t="str">
        <f t="shared" si="349"/>
        <v/>
      </c>
      <c r="AE100" s="39" t="str">
        <f t="shared" si="350"/>
        <v/>
      </c>
      <c r="AF100" s="39" t="str">
        <f t="shared" si="351"/>
        <v/>
      </c>
      <c r="AG100" s="74" t="str">
        <f t="shared" si="352"/>
        <v/>
      </c>
      <c r="AI100" s="196"/>
      <c r="AJ10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0" s="136" t="str">
        <f>IF(AJ100&lt;&gt;"",IF(AJ100=0,COUNTIF(AJ$2:AJ99,0)+1,COUNTIF(AJ$2:AJ99,AJ100)+AJ100+COUNTIF(AJ:AJ,0)),"")</f>
        <v/>
      </c>
      <c r="AL100" s="136" t="str">
        <f t="shared" si="263"/>
        <v/>
      </c>
      <c r="AM100" s="155" t="str">
        <f>IF(AND(Include_study?="Yes",Sufficient_data="Yes",Input!Study_name&lt;&gt;""),Input!Study_name,"")</f>
        <v/>
      </c>
      <c r="AN100" s="136" t="str">
        <f t="shared" si="264"/>
        <v/>
      </c>
      <c r="AO100" s="19" t="str">
        <f t="shared" si="353"/>
        <v/>
      </c>
      <c r="AP100" s="158" t="str">
        <f t="shared" si="354"/>
        <v/>
      </c>
      <c r="AQ100" s="158" t="str">
        <f t="shared" si="355"/>
        <v/>
      </c>
      <c r="AR100" s="39" t="str">
        <f t="shared" si="356"/>
        <v/>
      </c>
      <c r="AS100" s="158" t="str">
        <f t="shared" si="357"/>
        <v/>
      </c>
      <c r="AT100" s="39" t="str">
        <f t="shared" si="358"/>
        <v/>
      </c>
      <c r="AU100" s="172" t="str">
        <f t="shared" si="359"/>
        <v/>
      </c>
      <c r="AV100" s="45"/>
      <c r="AW100" s="84" t="e">
        <f t="shared" si="360"/>
        <v>#N/A</v>
      </c>
      <c r="AX100" s="69" t="e">
        <f t="shared" si="361"/>
        <v>#N/A</v>
      </c>
      <c r="AY100" s="74" t="e">
        <f t="shared" si="362"/>
        <v>#N/A</v>
      </c>
      <c r="AZ100" s="45"/>
      <c r="BA100" s="45"/>
      <c r="BB100" s="45"/>
      <c r="BC100" s="45"/>
      <c r="BD100" s="196"/>
      <c r="BE100" s="182"/>
      <c r="BF100" s="69" t="str">
        <f t="shared" si="363"/>
        <v/>
      </c>
      <c r="BG100" s="69" t="str">
        <f t="shared" si="364"/>
        <v/>
      </c>
      <c r="BH100" s="69" t="str">
        <f t="shared" si="365"/>
        <v/>
      </c>
      <c r="BI100" s="39" t="str">
        <f t="shared" si="366"/>
        <v/>
      </c>
      <c r="BJ100" s="95" t="str">
        <f t="shared" si="367"/>
        <v/>
      </c>
      <c r="BO100" s="176"/>
      <c r="BP100" s="158" t="str">
        <f t="shared" si="368"/>
        <v/>
      </c>
      <c r="BQ100" s="158" t="str">
        <f t="shared" si="369"/>
        <v/>
      </c>
      <c r="BR100" s="158" t="str">
        <f t="shared" si="370"/>
        <v/>
      </c>
      <c r="BS100" s="158" t="str">
        <f>IF(AND(Sufficient_data="Yes",Include_study?="Yes"),IF(Add_0_5="Yes",(a_+d_+1)*(ab_+0.5)*(c_+0.5)/(Number_of_subjects+2)^2,(a_+d_)*b_*c_/Number_of_subjects^2),"")</f>
        <v/>
      </c>
      <c r="BT100" s="158" t="str">
        <f t="shared" si="371"/>
        <v/>
      </c>
      <c r="BU100" s="158" t="str">
        <f t="shared" si="372"/>
        <v/>
      </c>
      <c r="BV100" s="158" t="str">
        <f t="shared" si="373"/>
        <v/>
      </c>
      <c r="BW100" s="69" t="str">
        <f t="shared" si="374"/>
        <v/>
      </c>
      <c r="BX100" s="137" t="str">
        <f t="shared" si="375"/>
        <v/>
      </c>
      <c r="BY100" s="95" t="str">
        <f t="shared" si="376"/>
        <v/>
      </c>
      <c r="CD100" s="176"/>
      <c r="CE100" s="130" t="str">
        <f t="shared" si="377"/>
        <v/>
      </c>
      <c r="CF100" s="39" t="str">
        <f t="shared" si="378"/>
        <v/>
      </c>
      <c r="CG100" s="39" t="str">
        <f t="shared" si="379"/>
        <v/>
      </c>
      <c r="CH100" s="39" t="str">
        <f t="shared" si="380"/>
        <v/>
      </c>
      <c r="CI100" s="39" t="str">
        <f t="shared" si="381"/>
        <v/>
      </c>
      <c r="CJ100" s="39" t="str">
        <f t="shared" si="287"/>
        <v/>
      </c>
      <c r="CK100" s="95" t="str">
        <f t="shared" si="382"/>
        <v/>
      </c>
      <c r="CP100" s="176"/>
      <c r="CQ100" s="99" t="str">
        <f t="shared" si="383"/>
        <v/>
      </c>
      <c r="CX100" s="196"/>
      <c r="CY100" s="89" t="e">
        <f t="shared" si="384"/>
        <v>#N/A</v>
      </c>
      <c r="CZ100" s="136" t="str">
        <f t="shared" si="385"/>
        <v/>
      </c>
      <c r="DA100" s="140" t="str">
        <f t="shared" si="386"/>
        <v/>
      </c>
      <c r="DB100" s="39" t="str">
        <f t="shared" si="387"/>
        <v/>
      </c>
      <c r="DC100" s="39" t="str">
        <f t="shared" si="388"/>
        <v/>
      </c>
      <c r="DD100" s="39" t="str">
        <f t="shared" si="389"/>
        <v/>
      </c>
      <c r="DE100" s="39" t="str">
        <f t="shared" si="390"/>
        <v/>
      </c>
      <c r="DF100" s="141" t="str">
        <f t="shared" si="391"/>
        <v/>
      </c>
      <c r="DG100" s="39" t="str">
        <f t="shared" si="392"/>
        <v/>
      </c>
      <c r="DH100" s="39" t="str">
        <f t="shared" si="393"/>
        <v/>
      </c>
      <c r="DI100" s="39" t="str">
        <f t="shared" si="394"/>
        <v/>
      </c>
      <c r="DJ100" s="74" t="str">
        <f t="shared" si="395"/>
        <v/>
      </c>
      <c r="DK100" s="45"/>
      <c r="DL100" s="84" t="e">
        <f t="shared" si="222"/>
        <v>#N/A</v>
      </c>
      <c r="DM100" s="39" t="e">
        <f t="shared" si="396"/>
        <v>#N/A</v>
      </c>
      <c r="DN100" s="74" t="e">
        <f t="shared" si="397"/>
        <v>#N/A</v>
      </c>
      <c r="DO100" s="45"/>
      <c r="DP100" s="89" t="str">
        <f t="shared" si="326"/>
        <v/>
      </c>
      <c r="DQ100" s="26" t="str">
        <f>IF(AND(Sufficient_data="Yes",Subgroup&lt;&gt;""),IF(COUNTIFS(Input!J$2:J99,"="&amp;"Yes",Input!C$2:C99,"="&amp;"Yes",Input!K$2:K99,"="&amp;Subgroup)&gt;0,"",Subgroup),"")</f>
        <v/>
      </c>
      <c r="DR100" s="7" t="str">
        <f t="shared" si="327"/>
        <v/>
      </c>
      <c r="DS100" s="7" t="str">
        <f t="shared" si="398"/>
        <v/>
      </c>
      <c r="DT100" s="19" t="str">
        <f t="shared" si="399"/>
        <v/>
      </c>
      <c r="DU100" s="12" t="str">
        <f t="shared" si="223"/>
        <v/>
      </c>
      <c r="DV100" s="11" t="str">
        <f t="shared" si="224"/>
        <v/>
      </c>
      <c r="DW100" s="12" t="str">
        <f t="shared" si="225"/>
        <v/>
      </c>
      <c r="DX100" s="12" t="str">
        <f t="shared" si="400"/>
        <v/>
      </c>
      <c r="DY100" s="19" t="str">
        <f t="shared" si="226"/>
        <v/>
      </c>
      <c r="DZ100" s="12" t="str">
        <f t="shared" si="227"/>
        <v/>
      </c>
      <c r="EA100" s="19" t="str">
        <f t="shared" si="401"/>
        <v/>
      </c>
      <c r="EB100" s="7" t="str">
        <f t="shared" si="402"/>
        <v/>
      </c>
      <c r="EC100" s="19" t="str">
        <f t="shared" si="403"/>
        <v/>
      </c>
      <c r="ED100" s="19" t="str">
        <f t="shared" si="404"/>
        <v/>
      </c>
      <c r="EE100" s="19" t="str">
        <f t="shared" si="228"/>
        <v/>
      </c>
      <c r="EF100" s="19" t="str">
        <f t="shared" si="229"/>
        <v/>
      </c>
      <c r="EG100" s="19" t="str">
        <f t="shared" si="230"/>
        <v/>
      </c>
      <c r="EH100" s="19" t="str">
        <f t="shared" si="231"/>
        <v/>
      </c>
      <c r="EI100" s="19" t="str">
        <f t="shared" si="232"/>
        <v/>
      </c>
      <c r="EJ100" s="19" t="str">
        <f t="shared" si="405"/>
        <v/>
      </c>
      <c r="EK100" s="19" t="str">
        <f t="shared" si="406"/>
        <v/>
      </c>
      <c r="EL100" s="19" t="str">
        <f t="shared" si="233"/>
        <v/>
      </c>
      <c r="EM100" s="19" t="str">
        <f t="shared" si="234"/>
        <v/>
      </c>
      <c r="EN100" s="19" t="str">
        <f t="shared" si="235"/>
        <v/>
      </c>
      <c r="EO100" s="19" t="str">
        <f t="shared" si="236"/>
        <v/>
      </c>
      <c r="EP100" s="19" t="str">
        <f t="shared" si="237"/>
        <v/>
      </c>
      <c r="EQ100" s="19" t="e">
        <f t="shared" si="238"/>
        <v>#N/A</v>
      </c>
      <c r="ER100" s="11" t="str">
        <f t="shared" si="328"/>
        <v/>
      </c>
      <c r="ES100" s="19" t="str">
        <f t="shared" si="329"/>
        <v/>
      </c>
      <c r="ET100" s="156" t="str">
        <f t="shared" si="407"/>
        <v/>
      </c>
      <c r="EU100" s="39" t="str">
        <f t="shared" si="239"/>
        <v/>
      </c>
      <c r="EV100" s="74" t="str">
        <f t="shared" si="408"/>
        <v/>
      </c>
      <c r="FA100" s="196"/>
      <c r="FB100" s="84" t="e">
        <f>IF(AND(Include_study?="Yes",Sufficient_data="Yes",Moderator&lt;&gt;""),'Moderator Analysis'!E100,NA())</f>
        <v>#N/A</v>
      </c>
      <c r="FC100" s="39" t="e">
        <f>IF(AND(Include_study?="Yes",Sufficient_data="Yes",Moderator&lt;&gt;""),'Moderator Analysis'!F100,NA())</f>
        <v>#N/A</v>
      </c>
      <c r="FD100" s="39" t="str">
        <f t="shared" si="409"/>
        <v/>
      </c>
      <c r="FE100" s="39" t="str">
        <f t="shared" si="410"/>
        <v/>
      </c>
      <c r="FF100" s="39" t="str">
        <f>IF(AND(Include_study?="Yes",Sufficient_data="Yes",Moderator&lt;&gt;""),'Moderator Analysis'!F:F-FP$2,"")</f>
        <v/>
      </c>
      <c r="FG100" s="39" t="str">
        <f>IF(AND(Include_study?="Yes",Sufficient_data="Yes",Moderator&lt;&gt;""),'Moderator Analysis'!E:E-FP$3,"")</f>
        <v/>
      </c>
      <c r="FH100" s="74" t="str">
        <f>IF(AND(Include_study?="Yes",Sufficient_data="Yes",Moderator&lt;&gt;""),FE:FE*('Moderator Analysis'!F:F-FP$5-FP$4*'Moderator Analysis'!E:E)^2,"")</f>
        <v/>
      </c>
      <c r="FI100" s="128"/>
      <c r="FJ100" s="92" t="str">
        <f t="shared" si="411"/>
        <v/>
      </c>
      <c r="FK100" s="137" t="str">
        <f>IF(AND(Include_study?="Yes",Sufficient_data="Yes",Moderator&lt;&gt;""),'Moderator Analysis'!F:F-'Moderator Analysis'!J$37,"")</f>
        <v/>
      </c>
      <c r="FL100" s="137" t="str">
        <f>IF(AND(Include_study?="Yes",Sufficient_data="Yes",Moderator&lt;&gt;""),'Moderator Analysis'!E:E-SUMPRODUCT('Moderator Analysis'!E:E,FJ:FJ)/SUM(FJ:FJ),"")</f>
        <v/>
      </c>
      <c r="FM100" s="95" t="str">
        <f>IF(AND(Include_study?="Yes",Sufficient_data="Yes",Moderator&lt;&gt;""),FJ:FJ*('Moderator Analysis'!F:F-'Moderator Analysis'!J$29-'Moderator Analysis'!J$30*'Moderator Analysis'!E:E)^2,"")</f>
        <v/>
      </c>
      <c r="FR100" s="196"/>
      <c r="FS100" s="182"/>
      <c r="FT10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0" s="39" t="str">
        <f>IF(AND(Include_study?="Yes",Sufficient_data="Yes"),1/('Publication Bias Analysis'!F:F^2+IF(Additional_model="Fixed effect",0,Calculations!GH$12)),"")</f>
        <v/>
      </c>
      <c r="FV100" s="39" t="str">
        <f>IF(AND(Include_study?="Yes",Sufficient_data="Yes"),1/('Publication Bias Analysis'!F:F^2+IF(Additional_model="Fixed effect",0,'Publication Bias Analysis'!L$32)),"")</f>
        <v/>
      </c>
      <c r="FW100" s="39" t="str">
        <f>IF(AND(Include_study?="Yes",Sufficient_data="Yes"),'Publication Bias Analysis'!E:E-'Publication Bias Analysis'!I$37,"")</f>
        <v/>
      </c>
      <c r="FX100" s="39" t="str">
        <f>IF(AND(Include_study?="Yes",Sufficient_data="Yes"),IF(Additional_model="Fixed effect",1/'Publication Bias Analysis'!F:F,1/SQRT('Publication Bias Analysis'!F:F^2+GH$12)),"")</f>
        <v/>
      </c>
      <c r="FY10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0" s="136" t="str">
        <f t="shared" si="412"/>
        <v/>
      </c>
      <c r="GA100" s="144" t="str">
        <f>IF(AND(Include_study?="Yes",Sufficient_data="Yes"),FZ:FZ+IF(GL:GL&lt;0,-1,1)*COUNTIF(FZ$2:FZ99,FZ:FZ),"")</f>
        <v/>
      </c>
      <c r="GB100" s="144" t="str">
        <f>IF(AND(Include_study?="Yes",Sufficient_data="Yes"),RANK(GP:GP,GP:GP,1)*IF(GO:GO&lt;0,-1,1)+IF(GO:GO&lt;0,-1,1)*COUNTIF(FZ$2:FZ99,FZ:FZ),"")</f>
        <v/>
      </c>
      <c r="GC100" s="144" t="str">
        <f>IF(AND(Include_study?="Yes",Sufficient_data="Yes"),RANK(GS:GS,GS:GS,1)*IF(GR:GR&lt;0,-1,1)+IF(GR:GR&lt;0,-1,1)*COUNTIF(FZ$2:FZ99,FZ:FZ),"")</f>
        <v/>
      </c>
      <c r="GD100" s="39" t="e">
        <f>IF(AND(Include_study?="Yes",Sufficient_data="Yes"),'Publication Bias Analysis'!E100,NA())</f>
        <v>#N/A</v>
      </c>
      <c r="GE100" s="74" t="e">
        <f>IF(AND(Include_study?="Yes",Sufficient_data="Yes"),'Publication Bias Analysis'!F100,NA())</f>
        <v>#N/A</v>
      </c>
      <c r="GK100" s="176"/>
      <c r="GL10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0" s="39" t="str">
        <f t="shared" si="413"/>
        <v/>
      </c>
      <c r="GN10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0" s="39" t="str">
        <f>IF(AND(Include_study?="Yes",Sufficient_data="Yes"),IF('Publication Bias Analysis'!L$38="Left",'Publication Bias Analysis'!E:E-GW$3,GW$3-'Publication Bias Analysis'!E:E),"")</f>
        <v/>
      </c>
      <c r="GP100" s="39" t="str">
        <f t="shared" si="330"/>
        <v/>
      </c>
      <c r="GQ10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0" s="39" t="str">
        <f>IF(AND(Include_study?="Yes",Sufficient_data="Yes"),IF('Publication Bias Analysis'!L$38="Left",'Publication Bias Analysis'!E:E-GW$10,GW$10-'Publication Bias Analysis'!E:E),"")</f>
        <v/>
      </c>
      <c r="GS100" s="39" t="str">
        <f t="shared" si="331"/>
        <v/>
      </c>
      <c r="GT10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0" s="176"/>
      <c r="HL100" s="69" t="str">
        <f t="shared" si="319"/>
        <v/>
      </c>
      <c r="HM100" s="74" t="str">
        <f>IF(AND(Include_study?="Yes",Sufficient_data="Yes"),Z_score-('Publication Bias Analysis'!P$3+'Publication Bias Analysis'!P$4*Inverse_standard_error),"")</f>
        <v/>
      </c>
      <c r="HO100" s="176"/>
      <c r="HP100" s="69" t="str">
        <f>IF(AND(Include_study?="Yes",Sufficient_data="Yes"),(GD:GD-SUMPRODUCT(Calculations!FT:FT,'Publication Bias Analysis'!E:E)/SUM(Calculations!FT:FT))/SQRT(Calculations!HQ:HQ),"")</f>
        <v/>
      </c>
      <c r="HQ100" s="69" t="str">
        <f>IF(AND(Include_study?="Yes",Sufficient_data="Yes"),GE:GE^2-1/SUM(Calculations!FT:FT),"")</f>
        <v/>
      </c>
      <c r="HR100" s="7" t="str">
        <f t="shared" si="240"/>
        <v/>
      </c>
      <c r="HS100" s="7" t="str">
        <f t="shared" si="241"/>
        <v/>
      </c>
      <c r="HT100" s="7" t="str">
        <f>IF(AND(Include_study?="Yes",Sufficient_data="Yes"),COUNTIFS(HR$2:HR99,"&lt;"&amp;HR100,HS$2:HS99,"&lt;"&amp;HS100)+COUNTIFS(HR101:HR$201,"&lt;"&amp;HR100,HS101:HS$201,"&lt;"&amp;HS100)+COUNTIFS(HR$2:HR99,"&gt;"&amp;HR100,HS$2:HS99,"&gt;"&amp;HS100)+COUNTIFS(HR101:HR$201,"&gt;"&amp;HR100,HS101:HS$201,"&gt;"&amp;HS100),"")</f>
        <v/>
      </c>
      <c r="HU100" s="104" t="str">
        <f>IF(AND(Include_study?="Yes",Sufficient_data="Yes"),COUNTIFS(HR$2:HR99,"&lt;"&amp;HR100,HS$2:HS99,"&gt;"&amp;HS100)+COUNTIFS(HR101:HR$201,"&lt;"&amp;HR100,HS101:HS$201,"&gt;"&amp;HS100)+COUNTIFS(HR$2:HR99,"&gt;"&amp;HR100,HS$2:HS99,"&lt;"&amp;HS100)+COUNTIFS(HR101:HR$201,"&gt;"&amp;HR100,HS101:HS$201,"&lt;"&amp;HS100),"")</f>
        <v/>
      </c>
      <c r="HW100" s="176"/>
      <c r="IB100" s="176"/>
      <c r="IC100" s="146" t="e">
        <f t="shared" si="414"/>
        <v>#N/A</v>
      </c>
      <c r="ID100" s="137" t="e">
        <f t="shared" si="415"/>
        <v>#N/A</v>
      </c>
      <c r="IE100" s="137" t="str">
        <f t="shared" si="416"/>
        <v/>
      </c>
      <c r="IF100" s="95" t="str">
        <f t="shared" si="417"/>
        <v/>
      </c>
      <c r="IK100" s="176"/>
      <c r="IL100" s="69" t="e">
        <f>IF(AND(Include_study?="Yes",Sufficient_data="Yes"),'Publication Bias Analysis'!AV:AV,NA())</f>
        <v>#N/A</v>
      </c>
      <c r="IM100" s="158" t="e">
        <f>IF(AND(Sufficient_data="Yes",Include_study?="Yes"),'Publication Bias Analysis'!AU:AU,NA())</f>
        <v>#N/A</v>
      </c>
      <c r="IN100" s="69" t="str">
        <f t="shared" si="418"/>
        <v/>
      </c>
      <c r="IO100" s="74" t="str">
        <f>IF(AND(Include_study?="Yes",Sufficient_data="Yes"),Z_score-('Publication Bias Analysis'!AY$30+'Publication Bias Analysis'!AY$31*Inverse_standard_error),"")</f>
        <v/>
      </c>
      <c r="IU100" s="176"/>
      <c r="IV100" s="7" t="str">
        <f>IF('Publication Bias Analysis'!BG:BG&lt;&gt;"",RANK('Publication Bias Analysis'!BG:BG,'Publication Bias Analysis'!BG:BG,1)+COUNTIF('Publication Bias Analysis'!BG$2:BG99,'Publication Bias Analysis'!BG100),"")</f>
        <v/>
      </c>
      <c r="IW100" s="124" t="str">
        <f t="shared" si="419"/>
        <v/>
      </c>
      <c r="IX100" s="125" t="e">
        <f>IF('Publication Bias Analysis'!BF100&lt;&gt;"",'Publication Bias Analysis'!BF100,NA())</f>
        <v>#N/A</v>
      </c>
      <c r="IY100" s="125" t="e">
        <f>IF('Publication Bias Analysis'!BG100&lt;&gt;"",'Publication Bias Analysis'!BG100,NA())</f>
        <v>#N/A</v>
      </c>
      <c r="IZ100" s="69" t="str">
        <f>IF(AND(Include_study?="Yes",Sufficient_data="Yes"),'Publication Bias Analysis'!BF:BF-AVERAGE('Publication Bias Analysis'!BF:BF),"")</f>
        <v/>
      </c>
      <c r="JA100" s="74" t="str">
        <f>IF(AND(Include_study?="Yes",Sufficient_data="Yes"),'Publication Bias Analysis'!BG:BG-('Publication Bias Analysis'!BJ$30+'Publication Bias Analysis'!BJ$31*'Publication Bias Analysis'!BF:BF),"")</f>
        <v/>
      </c>
      <c r="JG100" s="176"/>
      <c r="JH100" s="39" t="str">
        <f t="shared" si="420"/>
        <v/>
      </c>
      <c r="JI100" s="148" t="str">
        <f t="shared" si="332"/>
        <v/>
      </c>
      <c r="JJ100" s="74" t="str">
        <f t="shared" si="333"/>
        <v/>
      </c>
    </row>
    <row r="101" spans="1:270" x14ac:dyDescent="0.2">
      <c r="A101" s="56" t="str">
        <f t="shared" si="334"/>
        <v/>
      </c>
      <c r="B101" s="7" t="str">
        <f>IF(AND(Include_study?="Yes",Sufficient_data="Yes"),IF(Input!a_&lt;&gt;"",Input!a_,Input!n1_-Input!b_),"")</f>
        <v/>
      </c>
      <c r="C101" s="7" t="str">
        <f>IF(AND(Include_study?="Yes",Sufficient_data="Yes"),IF(Input!b_&lt;&gt;"",Input!b_,Input!n1_-Input!a_),"")</f>
        <v/>
      </c>
      <c r="D101" s="7" t="str">
        <f>IF(AND(Include_study?="Yes",Sufficient_data="Yes"),IF(Input!c_&lt;&gt;"",Input!c_,Input!n2_-Input!d_),"")</f>
        <v/>
      </c>
      <c r="E101" s="7" t="str">
        <f>IF(AND(Include_study?="Yes",Sufficient_data="Yes"),IF(Input!d_&lt;&gt;"",Input!d_,Input!n2_-Input!c_),"")</f>
        <v/>
      </c>
      <c r="F101" s="74" t="str">
        <f t="shared" si="335"/>
        <v/>
      </c>
      <c r="H101" s="196"/>
      <c r="I101" s="182"/>
      <c r="J101" s="146" t="str">
        <f t="shared" si="245"/>
        <v/>
      </c>
      <c r="K101" s="39" t="str">
        <f t="shared" si="336"/>
        <v/>
      </c>
      <c r="L101" s="39" t="str">
        <f t="shared" si="337"/>
        <v/>
      </c>
      <c r="M101" s="39" t="str">
        <f t="shared" si="338"/>
        <v/>
      </c>
      <c r="N101" s="74" t="str">
        <f t="shared" si="339"/>
        <v/>
      </c>
      <c r="P101" s="176"/>
      <c r="Q101" s="130" t="str">
        <f t="shared" si="340"/>
        <v/>
      </c>
      <c r="R101" s="39" t="str">
        <f t="shared" si="341"/>
        <v/>
      </c>
      <c r="S101" s="39" t="str">
        <f t="shared" si="342"/>
        <v/>
      </c>
      <c r="T101" s="74" t="str">
        <f t="shared" si="343"/>
        <v/>
      </c>
      <c r="V101" s="176"/>
      <c r="W101" s="130" t="str">
        <f t="shared" si="344"/>
        <v/>
      </c>
      <c r="X101" s="39" t="str">
        <f t="shared" si="345"/>
        <v/>
      </c>
      <c r="Y101" s="39" t="str">
        <f t="shared" si="346"/>
        <v/>
      </c>
      <c r="Z101" s="74" t="str">
        <f t="shared" si="347"/>
        <v/>
      </c>
      <c r="AB101" s="176"/>
      <c r="AC101" s="130" t="str">
        <f t="shared" si="348"/>
        <v/>
      </c>
      <c r="AD101" s="39" t="str">
        <f t="shared" si="349"/>
        <v/>
      </c>
      <c r="AE101" s="39" t="str">
        <f t="shared" si="350"/>
        <v/>
      </c>
      <c r="AF101" s="39" t="str">
        <f t="shared" si="351"/>
        <v/>
      </c>
      <c r="AG101" s="74" t="str">
        <f t="shared" si="352"/>
        <v/>
      </c>
      <c r="AI101" s="196"/>
      <c r="AJ10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1" s="136" t="str">
        <f>IF(AJ101&lt;&gt;"",IF(AJ101=0,COUNTIF(AJ$2:AJ100,0)+1,COUNTIF(AJ$2:AJ100,AJ101)+AJ101+COUNTIF(AJ:AJ,0)),"")</f>
        <v/>
      </c>
      <c r="AL101" s="136" t="str">
        <f t="shared" si="263"/>
        <v/>
      </c>
      <c r="AM101" s="155" t="str">
        <f>IF(AND(Include_study?="Yes",Sufficient_data="Yes",Input!Study_name&lt;&gt;""),Input!Study_name,"")</f>
        <v/>
      </c>
      <c r="AN101" s="136" t="str">
        <f t="shared" si="264"/>
        <v/>
      </c>
      <c r="AO101" s="19" t="str">
        <f t="shared" si="353"/>
        <v/>
      </c>
      <c r="AP101" s="158" t="str">
        <f t="shared" si="354"/>
        <v/>
      </c>
      <c r="AQ101" s="158" t="str">
        <f t="shared" si="355"/>
        <v/>
      </c>
      <c r="AR101" s="39" t="str">
        <f t="shared" si="356"/>
        <v/>
      </c>
      <c r="AS101" s="158" t="str">
        <f t="shared" si="357"/>
        <v/>
      </c>
      <c r="AT101" s="39" t="str">
        <f t="shared" si="358"/>
        <v/>
      </c>
      <c r="AU101" s="172" t="str">
        <f t="shared" si="359"/>
        <v/>
      </c>
      <c r="AV101" s="45"/>
      <c r="AW101" s="84" t="e">
        <f t="shared" si="360"/>
        <v>#N/A</v>
      </c>
      <c r="AX101" s="69" t="e">
        <f t="shared" si="361"/>
        <v>#N/A</v>
      </c>
      <c r="AY101" s="74" t="e">
        <f t="shared" si="362"/>
        <v>#N/A</v>
      </c>
      <c r="AZ101" s="45"/>
      <c r="BA101" s="45"/>
      <c r="BB101" s="45"/>
      <c r="BC101" s="45"/>
      <c r="BD101" s="196"/>
      <c r="BE101" s="182"/>
      <c r="BF101" s="69" t="str">
        <f t="shared" si="363"/>
        <v/>
      </c>
      <c r="BG101" s="69" t="str">
        <f t="shared" si="364"/>
        <v/>
      </c>
      <c r="BH101" s="69" t="str">
        <f t="shared" si="365"/>
        <v/>
      </c>
      <c r="BI101" s="39" t="str">
        <f t="shared" si="366"/>
        <v/>
      </c>
      <c r="BJ101" s="95" t="str">
        <f t="shared" si="367"/>
        <v/>
      </c>
      <c r="BO101" s="176"/>
      <c r="BP101" s="158" t="str">
        <f t="shared" si="368"/>
        <v/>
      </c>
      <c r="BQ101" s="158" t="str">
        <f t="shared" si="369"/>
        <v/>
      </c>
      <c r="BR101" s="158" t="str">
        <f t="shared" si="370"/>
        <v/>
      </c>
      <c r="BS101" s="158" t="str">
        <f>IF(AND(Sufficient_data="Yes",Include_study?="Yes"),IF(Add_0_5="Yes",(a_+d_+1)*(ab_+0.5)*(c_+0.5)/(Number_of_subjects+2)^2,(a_+d_)*b_*c_/Number_of_subjects^2),"")</f>
        <v/>
      </c>
      <c r="BT101" s="158" t="str">
        <f t="shared" si="371"/>
        <v/>
      </c>
      <c r="BU101" s="158" t="str">
        <f t="shared" si="372"/>
        <v/>
      </c>
      <c r="BV101" s="158" t="str">
        <f t="shared" si="373"/>
        <v/>
      </c>
      <c r="BW101" s="69" t="str">
        <f t="shared" si="374"/>
        <v/>
      </c>
      <c r="BX101" s="137" t="str">
        <f t="shared" si="375"/>
        <v/>
      </c>
      <c r="BY101" s="95" t="str">
        <f t="shared" si="376"/>
        <v/>
      </c>
      <c r="CD101" s="176"/>
      <c r="CE101" s="130" t="str">
        <f t="shared" si="377"/>
        <v/>
      </c>
      <c r="CF101" s="39" t="str">
        <f t="shared" si="378"/>
        <v/>
      </c>
      <c r="CG101" s="39" t="str">
        <f t="shared" si="379"/>
        <v/>
      </c>
      <c r="CH101" s="39" t="str">
        <f t="shared" si="380"/>
        <v/>
      </c>
      <c r="CI101" s="39" t="str">
        <f t="shared" si="381"/>
        <v/>
      </c>
      <c r="CJ101" s="39" t="str">
        <f t="shared" si="287"/>
        <v/>
      </c>
      <c r="CK101" s="95" t="str">
        <f t="shared" si="382"/>
        <v/>
      </c>
      <c r="CP101" s="176"/>
      <c r="CQ101" s="99" t="str">
        <f t="shared" si="383"/>
        <v/>
      </c>
      <c r="CX101" s="196"/>
      <c r="CY101" s="89" t="e">
        <f t="shared" si="384"/>
        <v>#N/A</v>
      </c>
      <c r="CZ101" s="136" t="str">
        <f t="shared" si="385"/>
        <v/>
      </c>
      <c r="DA101" s="140" t="str">
        <f t="shared" si="386"/>
        <v/>
      </c>
      <c r="DB101" s="39" t="str">
        <f t="shared" si="387"/>
        <v/>
      </c>
      <c r="DC101" s="39" t="str">
        <f t="shared" si="388"/>
        <v/>
      </c>
      <c r="DD101" s="39" t="str">
        <f t="shared" si="389"/>
        <v/>
      </c>
      <c r="DE101" s="39" t="str">
        <f t="shared" si="390"/>
        <v/>
      </c>
      <c r="DF101" s="141" t="str">
        <f t="shared" si="391"/>
        <v/>
      </c>
      <c r="DG101" s="39" t="str">
        <f t="shared" si="392"/>
        <v/>
      </c>
      <c r="DH101" s="39" t="str">
        <f t="shared" si="393"/>
        <v/>
      </c>
      <c r="DI101" s="39" t="str">
        <f t="shared" si="394"/>
        <v/>
      </c>
      <c r="DJ101" s="74" t="str">
        <f t="shared" si="395"/>
        <v/>
      </c>
      <c r="DK101" s="45"/>
      <c r="DL101" s="84" t="e">
        <f t="shared" si="222"/>
        <v>#N/A</v>
      </c>
      <c r="DM101" s="39" t="e">
        <f t="shared" si="396"/>
        <v>#N/A</v>
      </c>
      <c r="DN101" s="74" t="e">
        <f t="shared" si="397"/>
        <v>#N/A</v>
      </c>
      <c r="DO101" s="45"/>
      <c r="DP101" s="89" t="str">
        <f t="shared" si="326"/>
        <v/>
      </c>
      <c r="DQ101" s="26" t="str">
        <f>IF(AND(Sufficient_data="Yes",Subgroup&lt;&gt;""),IF(COUNTIFS(Input!J$2:J100,"="&amp;"Yes",Input!C$2:C100,"="&amp;"Yes",Input!K$2:K100,"="&amp;Subgroup)&gt;0,"",Subgroup),"")</f>
        <v/>
      </c>
      <c r="DR101" s="7" t="str">
        <f t="shared" si="327"/>
        <v/>
      </c>
      <c r="DS101" s="7" t="str">
        <f t="shared" si="398"/>
        <v/>
      </c>
      <c r="DT101" s="19" t="str">
        <f t="shared" si="399"/>
        <v/>
      </c>
      <c r="DU101" s="12" t="str">
        <f t="shared" si="223"/>
        <v/>
      </c>
      <c r="DV101" s="11" t="str">
        <f t="shared" si="224"/>
        <v/>
      </c>
      <c r="DW101" s="12" t="str">
        <f t="shared" si="225"/>
        <v/>
      </c>
      <c r="DX101" s="12" t="str">
        <f t="shared" si="400"/>
        <v/>
      </c>
      <c r="DY101" s="19" t="str">
        <f t="shared" si="226"/>
        <v/>
      </c>
      <c r="DZ101" s="12" t="str">
        <f t="shared" si="227"/>
        <v/>
      </c>
      <c r="EA101" s="19" t="str">
        <f t="shared" si="401"/>
        <v/>
      </c>
      <c r="EB101" s="7" t="str">
        <f t="shared" si="402"/>
        <v/>
      </c>
      <c r="EC101" s="19" t="str">
        <f t="shared" si="403"/>
        <v/>
      </c>
      <c r="ED101" s="19" t="str">
        <f t="shared" si="404"/>
        <v/>
      </c>
      <c r="EE101" s="19" t="str">
        <f t="shared" si="228"/>
        <v/>
      </c>
      <c r="EF101" s="19" t="str">
        <f t="shared" si="229"/>
        <v/>
      </c>
      <c r="EG101" s="19" t="str">
        <f t="shared" si="230"/>
        <v/>
      </c>
      <c r="EH101" s="19" t="str">
        <f t="shared" si="231"/>
        <v/>
      </c>
      <c r="EI101" s="19" t="str">
        <f t="shared" si="232"/>
        <v/>
      </c>
      <c r="EJ101" s="19" t="str">
        <f t="shared" si="405"/>
        <v/>
      </c>
      <c r="EK101" s="19" t="str">
        <f t="shared" si="406"/>
        <v/>
      </c>
      <c r="EL101" s="19" t="str">
        <f t="shared" si="233"/>
        <v/>
      </c>
      <c r="EM101" s="19" t="str">
        <f t="shared" si="234"/>
        <v/>
      </c>
      <c r="EN101" s="19" t="str">
        <f t="shared" si="235"/>
        <v/>
      </c>
      <c r="EO101" s="19" t="str">
        <f t="shared" si="236"/>
        <v/>
      </c>
      <c r="EP101" s="19" t="str">
        <f t="shared" si="237"/>
        <v/>
      </c>
      <c r="EQ101" s="19" t="e">
        <f t="shared" si="238"/>
        <v>#N/A</v>
      </c>
      <c r="ER101" s="11" t="str">
        <f t="shared" si="328"/>
        <v/>
      </c>
      <c r="ES101" s="19" t="str">
        <f t="shared" si="329"/>
        <v/>
      </c>
      <c r="ET101" s="156" t="str">
        <f t="shared" si="407"/>
        <v/>
      </c>
      <c r="EU101" s="39" t="str">
        <f t="shared" si="239"/>
        <v/>
      </c>
      <c r="EV101" s="74" t="str">
        <f t="shared" si="408"/>
        <v/>
      </c>
      <c r="FA101" s="196"/>
      <c r="FB101" s="84" t="e">
        <f>IF(AND(Include_study?="Yes",Sufficient_data="Yes",Moderator&lt;&gt;""),'Moderator Analysis'!E101,NA())</f>
        <v>#N/A</v>
      </c>
      <c r="FC101" s="39" t="e">
        <f>IF(AND(Include_study?="Yes",Sufficient_data="Yes",Moderator&lt;&gt;""),'Moderator Analysis'!F101,NA())</f>
        <v>#N/A</v>
      </c>
      <c r="FD101" s="39" t="str">
        <f t="shared" si="409"/>
        <v/>
      </c>
      <c r="FE101" s="39" t="str">
        <f t="shared" si="410"/>
        <v/>
      </c>
      <c r="FF101" s="39" t="str">
        <f>IF(AND(Include_study?="Yes",Sufficient_data="Yes",Moderator&lt;&gt;""),'Moderator Analysis'!F:F-FP$2,"")</f>
        <v/>
      </c>
      <c r="FG101" s="39" t="str">
        <f>IF(AND(Include_study?="Yes",Sufficient_data="Yes",Moderator&lt;&gt;""),'Moderator Analysis'!E:E-FP$3,"")</f>
        <v/>
      </c>
      <c r="FH101" s="74" t="str">
        <f>IF(AND(Include_study?="Yes",Sufficient_data="Yes",Moderator&lt;&gt;""),FE:FE*('Moderator Analysis'!F:F-FP$5-FP$4*'Moderator Analysis'!E:E)^2,"")</f>
        <v/>
      </c>
      <c r="FI101" s="128"/>
      <c r="FJ101" s="92" t="str">
        <f t="shared" si="411"/>
        <v/>
      </c>
      <c r="FK101" s="137" t="str">
        <f>IF(AND(Include_study?="Yes",Sufficient_data="Yes",Moderator&lt;&gt;""),'Moderator Analysis'!F:F-'Moderator Analysis'!J$37,"")</f>
        <v/>
      </c>
      <c r="FL101" s="137" t="str">
        <f>IF(AND(Include_study?="Yes",Sufficient_data="Yes",Moderator&lt;&gt;""),'Moderator Analysis'!E:E-SUMPRODUCT('Moderator Analysis'!E:E,FJ:FJ)/SUM(FJ:FJ),"")</f>
        <v/>
      </c>
      <c r="FM101" s="95" t="str">
        <f>IF(AND(Include_study?="Yes",Sufficient_data="Yes",Moderator&lt;&gt;""),FJ:FJ*('Moderator Analysis'!F:F-'Moderator Analysis'!J$29-'Moderator Analysis'!J$30*'Moderator Analysis'!E:E)^2,"")</f>
        <v/>
      </c>
      <c r="FR101" s="196"/>
      <c r="FS101" s="182"/>
      <c r="FT10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1" s="39" t="str">
        <f>IF(AND(Include_study?="Yes",Sufficient_data="Yes"),1/('Publication Bias Analysis'!F:F^2+IF(Additional_model="Fixed effect",0,Calculations!GH$12)),"")</f>
        <v/>
      </c>
      <c r="FV101" s="39" t="str">
        <f>IF(AND(Include_study?="Yes",Sufficient_data="Yes"),1/('Publication Bias Analysis'!F:F^2+IF(Additional_model="Fixed effect",0,'Publication Bias Analysis'!L$32)),"")</f>
        <v/>
      </c>
      <c r="FW101" s="39" t="str">
        <f>IF(AND(Include_study?="Yes",Sufficient_data="Yes"),'Publication Bias Analysis'!E:E-'Publication Bias Analysis'!I$37,"")</f>
        <v/>
      </c>
      <c r="FX101" s="39" t="str">
        <f>IF(AND(Include_study?="Yes",Sufficient_data="Yes"),IF(Additional_model="Fixed effect",1/'Publication Bias Analysis'!F:F,1/SQRT('Publication Bias Analysis'!F:F^2+GH$12)),"")</f>
        <v/>
      </c>
      <c r="FY10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1" s="136" t="str">
        <f t="shared" si="412"/>
        <v/>
      </c>
      <c r="GA101" s="144" t="str">
        <f>IF(AND(Include_study?="Yes",Sufficient_data="Yes"),FZ:FZ+IF(GL:GL&lt;0,-1,1)*COUNTIF(FZ$2:FZ100,FZ:FZ),"")</f>
        <v/>
      </c>
      <c r="GB101" s="144" t="str">
        <f>IF(AND(Include_study?="Yes",Sufficient_data="Yes"),RANK(GP:GP,GP:GP,1)*IF(GO:GO&lt;0,-1,1)+IF(GO:GO&lt;0,-1,1)*COUNTIF(FZ$2:FZ100,FZ:FZ),"")</f>
        <v/>
      </c>
      <c r="GC101" s="144" t="str">
        <f>IF(AND(Include_study?="Yes",Sufficient_data="Yes"),RANK(GS:GS,GS:GS,1)*IF(GR:GR&lt;0,-1,1)+IF(GR:GR&lt;0,-1,1)*COUNTIF(FZ$2:FZ100,FZ:FZ),"")</f>
        <v/>
      </c>
      <c r="GD101" s="39" t="e">
        <f>IF(AND(Include_study?="Yes",Sufficient_data="Yes"),'Publication Bias Analysis'!E101,NA())</f>
        <v>#N/A</v>
      </c>
      <c r="GE101" s="74" t="e">
        <f>IF(AND(Include_study?="Yes",Sufficient_data="Yes"),'Publication Bias Analysis'!F101,NA())</f>
        <v>#N/A</v>
      </c>
      <c r="GK101" s="176"/>
      <c r="GL10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1" s="39" t="str">
        <f t="shared" si="413"/>
        <v/>
      </c>
      <c r="GN10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1" s="39" t="str">
        <f>IF(AND(Include_study?="Yes",Sufficient_data="Yes"),IF('Publication Bias Analysis'!L$38="Left",'Publication Bias Analysis'!E:E-GW$3,GW$3-'Publication Bias Analysis'!E:E),"")</f>
        <v/>
      </c>
      <c r="GP101" s="39" t="str">
        <f t="shared" si="330"/>
        <v/>
      </c>
      <c r="GQ10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1" s="39" t="str">
        <f>IF(AND(Include_study?="Yes",Sufficient_data="Yes"),IF('Publication Bias Analysis'!L$38="Left",'Publication Bias Analysis'!E:E-GW$10,GW$10-'Publication Bias Analysis'!E:E),"")</f>
        <v/>
      </c>
      <c r="GS101" s="39" t="str">
        <f t="shared" si="331"/>
        <v/>
      </c>
      <c r="GT10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1" s="176"/>
      <c r="HL101" s="69" t="str">
        <f t="shared" si="319"/>
        <v/>
      </c>
      <c r="HM101" s="74" t="str">
        <f>IF(AND(Include_study?="Yes",Sufficient_data="Yes"),Z_score-('Publication Bias Analysis'!P$3+'Publication Bias Analysis'!P$4*Inverse_standard_error),"")</f>
        <v/>
      </c>
      <c r="HO101" s="176"/>
      <c r="HP101" s="69" t="str">
        <f>IF(AND(Include_study?="Yes",Sufficient_data="Yes"),(GD:GD-SUMPRODUCT(Calculations!FT:FT,'Publication Bias Analysis'!E:E)/SUM(Calculations!FT:FT))/SQRT(Calculations!HQ:HQ),"")</f>
        <v/>
      </c>
      <c r="HQ101" s="69" t="str">
        <f>IF(AND(Include_study?="Yes",Sufficient_data="Yes"),GE:GE^2-1/SUM(Calculations!FT:FT),"")</f>
        <v/>
      </c>
      <c r="HR101" s="7" t="str">
        <f t="shared" si="240"/>
        <v/>
      </c>
      <c r="HS101" s="7" t="str">
        <f t="shared" si="241"/>
        <v/>
      </c>
      <c r="HT101" s="7" t="str">
        <f>IF(AND(Include_study?="Yes",Sufficient_data="Yes"),COUNTIFS(HR$2:HR100,"&lt;"&amp;HR101,HS$2:HS100,"&lt;"&amp;HS101)+COUNTIFS(HR102:HR$201,"&lt;"&amp;HR101,HS102:HS$201,"&lt;"&amp;HS101)+COUNTIFS(HR$2:HR100,"&gt;"&amp;HR101,HS$2:HS100,"&gt;"&amp;HS101)+COUNTIFS(HR102:HR$201,"&gt;"&amp;HR101,HS102:HS$201,"&gt;"&amp;HS101),"")</f>
        <v/>
      </c>
      <c r="HU101" s="104" t="str">
        <f>IF(AND(Include_study?="Yes",Sufficient_data="Yes"),COUNTIFS(HR$2:HR100,"&lt;"&amp;HR101,HS$2:HS100,"&gt;"&amp;HS101)+COUNTIFS(HR102:HR$201,"&lt;"&amp;HR101,HS102:HS$201,"&gt;"&amp;HS101)+COUNTIFS(HR$2:HR100,"&gt;"&amp;HR101,HS$2:HS100,"&lt;"&amp;HS101)+COUNTIFS(HR102:HR$201,"&gt;"&amp;HR101,HS102:HS$201,"&lt;"&amp;HS101),"")</f>
        <v/>
      </c>
      <c r="HW101" s="176"/>
      <c r="IB101" s="176"/>
      <c r="IC101" s="146" t="e">
        <f t="shared" si="414"/>
        <v>#N/A</v>
      </c>
      <c r="ID101" s="137" t="e">
        <f t="shared" si="415"/>
        <v>#N/A</v>
      </c>
      <c r="IE101" s="137" t="str">
        <f t="shared" si="416"/>
        <v/>
      </c>
      <c r="IF101" s="95" t="str">
        <f t="shared" si="417"/>
        <v/>
      </c>
      <c r="IK101" s="176"/>
      <c r="IL101" s="69" t="e">
        <f>IF(AND(Include_study?="Yes",Sufficient_data="Yes"),'Publication Bias Analysis'!AV:AV,NA())</f>
        <v>#N/A</v>
      </c>
      <c r="IM101" s="158" t="e">
        <f>IF(AND(Sufficient_data="Yes",Include_study?="Yes"),'Publication Bias Analysis'!AU:AU,NA())</f>
        <v>#N/A</v>
      </c>
      <c r="IN101" s="69" t="str">
        <f t="shared" si="418"/>
        <v/>
      </c>
      <c r="IO101" s="74" t="str">
        <f>IF(AND(Include_study?="Yes",Sufficient_data="Yes"),Z_score-('Publication Bias Analysis'!AY$30+'Publication Bias Analysis'!AY$31*Inverse_standard_error),"")</f>
        <v/>
      </c>
      <c r="IU101" s="176"/>
      <c r="IV101" s="7" t="str">
        <f>IF('Publication Bias Analysis'!BG:BG&lt;&gt;"",RANK('Publication Bias Analysis'!BG:BG,'Publication Bias Analysis'!BG:BG,1)+COUNTIF('Publication Bias Analysis'!BG$2:BG100,'Publication Bias Analysis'!BG101),"")</f>
        <v/>
      </c>
      <c r="IW101" s="124" t="str">
        <f t="shared" si="419"/>
        <v/>
      </c>
      <c r="IX101" s="125" t="e">
        <f>IF('Publication Bias Analysis'!BF101&lt;&gt;"",'Publication Bias Analysis'!BF101,NA())</f>
        <v>#N/A</v>
      </c>
      <c r="IY101" s="125" t="e">
        <f>IF('Publication Bias Analysis'!BG101&lt;&gt;"",'Publication Bias Analysis'!BG101,NA())</f>
        <v>#N/A</v>
      </c>
      <c r="IZ101" s="69" t="str">
        <f>IF(AND(Include_study?="Yes",Sufficient_data="Yes"),'Publication Bias Analysis'!BF:BF-AVERAGE('Publication Bias Analysis'!BF:BF),"")</f>
        <v/>
      </c>
      <c r="JA101" s="74" t="str">
        <f>IF(AND(Include_study?="Yes",Sufficient_data="Yes"),'Publication Bias Analysis'!BG:BG-('Publication Bias Analysis'!BJ$30+'Publication Bias Analysis'!BJ$31*'Publication Bias Analysis'!BF:BF),"")</f>
        <v/>
      </c>
      <c r="JG101" s="176"/>
      <c r="JH101" s="39" t="str">
        <f t="shared" si="420"/>
        <v/>
      </c>
      <c r="JI101" s="148" t="str">
        <f t="shared" si="332"/>
        <v/>
      </c>
      <c r="JJ101" s="74" t="str">
        <f t="shared" si="333"/>
        <v/>
      </c>
    </row>
    <row r="102" spans="1:270" x14ac:dyDescent="0.2">
      <c r="A102" s="56" t="str">
        <f t="shared" si="334"/>
        <v/>
      </c>
      <c r="B102" s="7" t="str">
        <f>IF(AND(Include_study?="Yes",Sufficient_data="Yes"),IF(Input!a_&lt;&gt;"",Input!a_,Input!n1_-Input!b_),"")</f>
        <v/>
      </c>
      <c r="C102" s="7" t="str">
        <f>IF(AND(Include_study?="Yes",Sufficient_data="Yes"),IF(Input!b_&lt;&gt;"",Input!b_,Input!n1_-Input!a_),"")</f>
        <v/>
      </c>
      <c r="D102" s="7" t="str">
        <f>IF(AND(Include_study?="Yes",Sufficient_data="Yes"),IF(Input!c_&lt;&gt;"",Input!c_,Input!n2_-Input!d_),"")</f>
        <v/>
      </c>
      <c r="E102" s="7" t="str">
        <f>IF(AND(Include_study?="Yes",Sufficient_data="Yes"),IF(Input!d_&lt;&gt;"",Input!d_,Input!n2_-Input!c_),"")</f>
        <v/>
      </c>
      <c r="F102" s="74" t="str">
        <f t="shared" si="335"/>
        <v/>
      </c>
      <c r="H102" s="196"/>
      <c r="I102" s="182"/>
      <c r="J102" s="146" t="str">
        <f t="shared" si="245"/>
        <v/>
      </c>
      <c r="K102" s="39" t="str">
        <f t="shared" si="336"/>
        <v/>
      </c>
      <c r="L102" s="39" t="str">
        <f t="shared" si="337"/>
        <v/>
      </c>
      <c r="M102" s="39" t="str">
        <f t="shared" si="338"/>
        <v/>
      </c>
      <c r="N102" s="74" t="str">
        <f t="shared" si="339"/>
        <v/>
      </c>
      <c r="P102" s="176"/>
      <c r="Q102" s="130" t="str">
        <f t="shared" si="340"/>
        <v/>
      </c>
      <c r="R102" s="39" t="str">
        <f t="shared" si="341"/>
        <v/>
      </c>
      <c r="S102" s="39" t="str">
        <f t="shared" si="342"/>
        <v/>
      </c>
      <c r="T102" s="74" t="str">
        <f t="shared" si="343"/>
        <v/>
      </c>
      <c r="V102" s="176"/>
      <c r="W102" s="130" t="str">
        <f t="shared" si="344"/>
        <v/>
      </c>
      <c r="X102" s="39" t="str">
        <f t="shared" si="345"/>
        <v/>
      </c>
      <c r="Y102" s="39" t="str">
        <f t="shared" si="346"/>
        <v/>
      </c>
      <c r="Z102" s="74" t="str">
        <f t="shared" si="347"/>
        <v/>
      </c>
      <c r="AB102" s="176"/>
      <c r="AC102" s="130" t="str">
        <f t="shared" si="348"/>
        <v/>
      </c>
      <c r="AD102" s="39" t="str">
        <f t="shared" si="349"/>
        <v/>
      </c>
      <c r="AE102" s="39" t="str">
        <f t="shared" si="350"/>
        <v/>
      </c>
      <c r="AF102" s="39" t="str">
        <f t="shared" si="351"/>
        <v/>
      </c>
      <c r="AG102" s="74" t="str">
        <f t="shared" si="352"/>
        <v/>
      </c>
      <c r="AI102" s="196"/>
      <c r="AJ10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2" s="136" t="str">
        <f>IF(AJ102&lt;&gt;"",IF(AJ102=0,COUNTIF(AJ$2:AJ101,0)+1,COUNTIF(AJ$2:AJ101,AJ102)+AJ102+COUNTIF(AJ:AJ,0)),"")</f>
        <v/>
      </c>
      <c r="AL102" s="136" t="str">
        <f t="shared" si="263"/>
        <v/>
      </c>
      <c r="AM102" s="155" t="str">
        <f>IF(AND(Include_study?="Yes",Sufficient_data="Yes",Input!Study_name&lt;&gt;""),Input!Study_name,"")</f>
        <v/>
      </c>
      <c r="AN102" s="136" t="str">
        <f t="shared" si="264"/>
        <v/>
      </c>
      <c r="AO102" s="19" t="str">
        <f t="shared" si="353"/>
        <v/>
      </c>
      <c r="AP102" s="158" t="str">
        <f t="shared" si="354"/>
        <v/>
      </c>
      <c r="AQ102" s="158" t="str">
        <f t="shared" si="355"/>
        <v/>
      </c>
      <c r="AR102" s="39" t="str">
        <f t="shared" si="356"/>
        <v/>
      </c>
      <c r="AS102" s="158" t="str">
        <f t="shared" si="357"/>
        <v/>
      </c>
      <c r="AT102" s="39" t="str">
        <f t="shared" si="358"/>
        <v/>
      </c>
      <c r="AU102" s="172" t="str">
        <f t="shared" si="359"/>
        <v/>
      </c>
      <c r="AV102" s="45"/>
      <c r="AW102" s="84" t="e">
        <f t="shared" si="360"/>
        <v>#N/A</v>
      </c>
      <c r="AX102" s="69" t="e">
        <f t="shared" si="361"/>
        <v>#N/A</v>
      </c>
      <c r="AY102" s="74" t="e">
        <f t="shared" si="362"/>
        <v>#N/A</v>
      </c>
      <c r="AZ102" s="45"/>
      <c r="BA102" s="45"/>
      <c r="BB102" s="45"/>
      <c r="BC102" s="45"/>
      <c r="BD102" s="196"/>
      <c r="BE102" s="182"/>
      <c r="BF102" s="69" t="str">
        <f t="shared" si="363"/>
        <v/>
      </c>
      <c r="BG102" s="69" t="str">
        <f t="shared" si="364"/>
        <v/>
      </c>
      <c r="BH102" s="69" t="str">
        <f t="shared" si="365"/>
        <v/>
      </c>
      <c r="BI102" s="39" t="str">
        <f t="shared" si="366"/>
        <v/>
      </c>
      <c r="BJ102" s="95" t="str">
        <f t="shared" si="367"/>
        <v/>
      </c>
      <c r="BO102" s="176"/>
      <c r="BP102" s="158" t="str">
        <f t="shared" si="368"/>
        <v/>
      </c>
      <c r="BQ102" s="158" t="str">
        <f t="shared" si="369"/>
        <v/>
      </c>
      <c r="BR102" s="158" t="str">
        <f t="shared" si="370"/>
        <v/>
      </c>
      <c r="BS102" s="158" t="str">
        <f>IF(AND(Sufficient_data="Yes",Include_study?="Yes"),IF(Add_0_5="Yes",(a_+d_+1)*(ab_+0.5)*(c_+0.5)/(Number_of_subjects+2)^2,(a_+d_)*b_*c_/Number_of_subjects^2),"")</f>
        <v/>
      </c>
      <c r="BT102" s="158" t="str">
        <f t="shared" si="371"/>
        <v/>
      </c>
      <c r="BU102" s="158" t="str">
        <f t="shared" si="372"/>
        <v/>
      </c>
      <c r="BV102" s="158" t="str">
        <f t="shared" si="373"/>
        <v/>
      </c>
      <c r="BW102" s="69" t="str">
        <f t="shared" si="374"/>
        <v/>
      </c>
      <c r="BX102" s="137" t="str">
        <f t="shared" si="375"/>
        <v/>
      </c>
      <c r="BY102" s="95" t="str">
        <f t="shared" si="376"/>
        <v/>
      </c>
      <c r="CD102" s="176"/>
      <c r="CE102" s="130" t="str">
        <f t="shared" si="377"/>
        <v/>
      </c>
      <c r="CF102" s="39" t="str">
        <f t="shared" si="378"/>
        <v/>
      </c>
      <c r="CG102" s="39" t="str">
        <f t="shared" si="379"/>
        <v/>
      </c>
      <c r="CH102" s="39" t="str">
        <f t="shared" si="380"/>
        <v/>
      </c>
      <c r="CI102" s="39" t="str">
        <f t="shared" si="381"/>
        <v/>
      </c>
      <c r="CJ102" s="39" t="str">
        <f t="shared" si="287"/>
        <v/>
      </c>
      <c r="CK102" s="95" t="str">
        <f t="shared" si="382"/>
        <v/>
      </c>
      <c r="CP102" s="176"/>
      <c r="CQ102" s="99" t="str">
        <f t="shared" si="383"/>
        <v/>
      </c>
      <c r="CX102" s="196"/>
      <c r="CY102" s="89" t="e">
        <f t="shared" si="384"/>
        <v>#N/A</v>
      </c>
      <c r="CZ102" s="136" t="str">
        <f t="shared" si="385"/>
        <v/>
      </c>
      <c r="DA102" s="140" t="str">
        <f t="shared" si="386"/>
        <v/>
      </c>
      <c r="DB102" s="39" t="str">
        <f t="shared" si="387"/>
        <v/>
      </c>
      <c r="DC102" s="39" t="str">
        <f t="shared" si="388"/>
        <v/>
      </c>
      <c r="DD102" s="39" t="str">
        <f t="shared" si="389"/>
        <v/>
      </c>
      <c r="DE102" s="39" t="str">
        <f t="shared" si="390"/>
        <v/>
      </c>
      <c r="DF102" s="141" t="str">
        <f t="shared" si="391"/>
        <v/>
      </c>
      <c r="DG102" s="39" t="str">
        <f t="shared" si="392"/>
        <v/>
      </c>
      <c r="DH102" s="39" t="str">
        <f t="shared" si="393"/>
        <v/>
      </c>
      <c r="DI102" s="39" t="str">
        <f t="shared" si="394"/>
        <v/>
      </c>
      <c r="DJ102" s="74" t="str">
        <f t="shared" si="395"/>
        <v/>
      </c>
      <c r="DK102" s="45"/>
      <c r="DL102" s="84" t="e">
        <f t="shared" si="222"/>
        <v>#N/A</v>
      </c>
      <c r="DM102" s="39" t="e">
        <f t="shared" si="396"/>
        <v>#N/A</v>
      </c>
      <c r="DN102" s="74" t="e">
        <f t="shared" si="397"/>
        <v>#N/A</v>
      </c>
      <c r="DO102" s="45"/>
      <c r="DP102" s="89" t="str">
        <f t="shared" si="326"/>
        <v/>
      </c>
      <c r="DQ102" s="26" t="str">
        <f>IF(AND(Sufficient_data="Yes",Subgroup&lt;&gt;""),IF(COUNTIFS(Input!J$2:J101,"="&amp;"Yes",Input!C$2:C101,"="&amp;"Yes",Input!K$2:K101,"="&amp;Subgroup)&gt;0,"",Subgroup),"")</f>
        <v/>
      </c>
      <c r="DR102" s="7" t="str">
        <f t="shared" si="327"/>
        <v/>
      </c>
      <c r="DS102" s="7" t="str">
        <f t="shared" si="398"/>
        <v/>
      </c>
      <c r="DT102" s="19" t="str">
        <f t="shared" si="399"/>
        <v/>
      </c>
      <c r="DU102" s="12" t="str">
        <f t="shared" si="223"/>
        <v/>
      </c>
      <c r="DV102" s="11" t="str">
        <f t="shared" si="224"/>
        <v/>
      </c>
      <c r="DW102" s="12" t="str">
        <f t="shared" si="225"/>
        <v/>
      </c>
      <c r="DX102" s="12" t="str">
        <f t="shared" si="400"/>
        <v/>
      </c>
      <c r="DY102" s="19" t="str">
        <f t="shared" si="226"/>
        <v/>
      </c>
      <c r="DZ102" s="12" t="str">
        <f t="shared" si="227"/>
        <v/>
      </c>
      <c r="EA102" s="19" t="str">
        <f t="shared" si="401"/>
        <v/>
      </c>
      <c r="EB102" s="7" t="str">
        <f t="shared" si="402"/>
        <v/>
      </c>
      <c r="EC102" s="19" t="str">
        <f t="shared" si="403"/>
        <v/>
      </c>
      <c r="ED102" s="19" t="str">
        <f t="shared" si="404"/>
        <v/>
      </c>
      <c r="EE102" s="19" t="str">
        <f t="shared" si="228"/>
        <v/>
      </c>
      <c r="EF102" s="19" t="str">
        <f t="shared" si="229"/>
        <v/>
      </c>
      <c r="EG102" s="19" t="str">
        <f t="shared" si="230"/>
        <v/>
      </c>
      <c r="EH102" s="19" t="str">
        <f t="shared" si="231"/>
        <v/>
      </c>
      <c r="EI102" s="19" t="str">
        <f t="shared" si="232"/>
        <v/>
      </c>
      <c r="EJ102" s="19" t="str">
        <f t="shared" si="405"/>
        <v/>
      </c>
      <c r="EK102" s="19" t="str">
        <f t="shared" si="406"/>
        <v/>
      </c>
      <c r="EL102" s="19" t="str">
        <f t="shared" si="233"/>
        <v/>
      </c>
      <c r="EM102" s="19" t="str">
        <f t="shared" si="234"/>
        <v/>
      </c>
      <c r="EN102" s="19" t="str">
        <f t="shared" si="235"/>
        <v/>
      </c>
      <c r="EO102" s="19" t="str">
        <f t="shared" si="236"/>
        <v/>
      </c>
      <c r="EP102" s="19" t="str">
        <f t="shared" si="237"/>
        <v/>
      </c>
      <c r="EQ102" s="19" t="e">
        <f t="shared" si="238"/>
        <v>#N/A</v>
      </c>
      <c r="ER102" s="11" t="str">
        <f t="shared" si="328"/>
        <v/>
      </c>
      <c r="ES102" s="19" t="str">
        <f t="shared" si="329"/>
        <v/>
      </c>
      <c r="ET102" s="156" t="str">
        <f t="shared" si="407"/>
        <v/>
      </c>
      <c r="EU102" s="39" t="str">
        <f t="shared" si="239"/>
        <v/>
      </c>
      <c r="EV102" s="74" t="str">
        <f t="shared" si="408"/>
        <v/>
      </c>
      <c r="FA102" s="196"/>
      <c r="FB102" s="84" t="e">
        <f>IF(AND(Include_study?="Yes",Sufficient_data="Yes",Moderator&lt;&gt;""),'Moderator Analysis'!E102,NA())</f>
        <v>#N/A</v>
      </c>
      <c r="FC102" s="39" t="e">
        <f>IF(AND(Include_study?="Yes",Sufficient_data="Yes",Moderator&lt;&gt;""),'Moderator Analysis'!F102,NA())</f>
        <v>#N/A</v>
      </c>
      <c r="FD102" s="39" t="str">
        <f t="shared" si="409"/>
        <v/>
      </c>
      <c r="FE102" s="39" t="str">
        <f t="shared" si="410"/>
        <v/>
      </c>
      <c r="FF102" s="39" t="str">
        <f>IF(AND(Include_study?="Yes",Sufficient_data="Yes",Moderator&lt;&gt;""),'Moderator Analysis'!F:F-FP$2,"")</f>
        <v/>
      </c>
      <c r="FG102" s="39" t="str">
        <f>IF(AND(Include_study?="Yes",Sufficient_data="Yes",Moderator&lt;&gt;""),'Moderator Analysis'!E:E-FP$3,"")</f>
        <v/>
      </c>
      <c r="FH102" s="74" t="str">
        <f>IF(AND(Include_study?="Yes",Sufficient_data="Yes",Moderator&lt;&gt;""),FE:FE*('Moderator Analysis'!F:F-FP$5-FP$4*'Moderator Analysis'!E:E)^2,"")</f>
        <v/>
      </c>
      <c r="FI102" s="128"/>
      <c r="FJ102" s="92" t="str">
        <f t="shared" si="411"/>
        <v/>
      </c>
      <c r="FK102" s="137" t="str">
        <f>IF(AND(Include_study?="Yes",Sufficient_data="Yes",Moderator&lt;&gt;""),'Moderator Analysis'!F:F-'Moderator Analysis'!J$37,"")</f>
        <v/>
      </c>
      <c r="FL102" s="137" t="str">
        <f>IF(AND(Include_study?="Yes",Sufficient_data="Yes",Moderator&lt;&gt;""),'Moderator Analysis'!E:E-SUMPRODUCT('Moderator Analysis'!E:E,FJ:FJ)/SUM(FJ:FJ),"")</f>
        <v/>
      </c>
      <c r="FM102" s="95" t="str">
        <f>IF(AND(Include_study?="Yes",Sufficient_data="Yes",Moderator&lt;&gt;""),FJ:FJ*('Moderator Analysis'!F:F-'Moderator Analysis'!J$29-'Moderator Analysis'!J$30*'Moderator Analysis'!E:E)^2,"")</f>
        <v/>
      </c>
      <c r="FR102" s="196"/>
      <c r="FS102" s="182"/>
      <c r="FT10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2" s="39" t="str">
        <f>IF(AND(Include_study?="Yes",Sufficient_data="Yes"),1/('Publication Bias Analysis'!F:F^2+IF(Additional_model="Fixed effect",0,Calculations!GH$12)),"")</f>
        <v/>
      </c>
      <c r="FV102" s="39" t="str">
        <f>IF(AND(Include_study?="Yes",Sufficient_data="Yes"),1/('Publication Bias Analysis'!F:F^2+IF(Additional_model="Fixed effect",0,'Publication Bias Analysis'!L$32)),"")</f>
        <v/>
      </c>
      <c r="FW102" s="39" t="str">
        <f>IF(AND(Include_study?="Yes",Sufficient_data="Yes"),'Publication Bias Analysis'!E:E-'Publication Bias Analysis'!I$37,"")</f>
        <v/>
      </c>
      <c r="FX102" s="39" t="str">
        <f>IF(AND(Include_study?="Yes",Sufficient_data="Yes"),IF(Additional_model="Fixed effect",1/'Publication Bias Analysis'!F:F,1/SQRT('Publication Bias Analysis'!F:F^2+GH$12)),"")</f>
        <v/>
      </c>
      <c r="FY10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2" s="136" t="str">
        <f t="shared" si="412"/>
        <v/>
      </c>
      <c r="GA102" s="144" t="str">
        <f>IF(AND(Include_study?="Yes",Sufficient_data="Yes"),FZ:FZ+IF(GL:GL&lt;0,-1,1)*COUNTIF(FZ$2:FZ101,FZ:FZ),"")</f>
        <v/>
      </c>
      <c r="GB102" s="144" t="str">
        <f>IF(AND(Include_study?="Yes",Sufficient_data="Yes"),RANK(GP:GP,GP:GP,1)*IF(GO:GO&lt;0,-1,1)+IF(GO:GO&lt;0,-1,1)*COUNTIF(FZ$2:FZ101,FZ:FZ),"")</f>
        <v/>
      </c>
      <c r="GC102" s="144" t="str">
        <f>IF(AND(Include_study?="Yes",Sufficient_data="Yes"),RANK(GS:GS,GS:GS,1)*IF(GR:GR&lt;0,-1,1)+IF(GR:GR&lt;0,-1,1)*COUNTIF(FZ$2:FZ101,FZ:FZ),"")</f>
        <v/>
      </c>
      <c r="GD102" s="39" t="e">
        <f>IF(AND(Include_study?="Yes",Sufficient_data="Yes"),'Publication Bias Analysis'!E102,NA())</f>
        <v>#N/A</v>
      </c>
      <c r="GE102" s="74" t="e">
        <f>IF(AND(Include_study?="Yes",Sufficient_data="Yes"),'Publication Bias Analysis'!F102,NA())</f>
        <v>#N/A</v>
      </c>
      <c r="GK102" s="176"/>
      <c r="GL10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2" s="39" t="str">
        <f t="shared" si="413"/>
        <v/>
      </c>
      <c r="GN10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2" s="39" t="str">
        <f>IF(AND(Include_study?="Yes",Sufficient_data="Yes"),IF('Publication Bias Analysis'!L$38="Left",'Publication Bias Analysis'!E:E-GW$3,GW$3-'Publication Bias Analysis'!E:E),"")</f>
        <v/>
      </c>
      <c r="GP102" s="39" t="str">
        <f t="shared" si="330"/>
        <v/>
      </c>
      <c r="GQ10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2" s="39" t="str">
        <f>IF(AND(Include_study?="Yes",Sufficient_data="Yes"),IF('Publication Bias Analysis'!L$38="Left",'Publication Bias Analysis'!E:E-GW$10,GW$10-'Publication Bias Analysis'!E:E),"")</f>
        <v/>
      </c>
      <c r="GS102" s="39" t="str">
        <f t="shared" si="331"/>
        <v/>
      </c>
      <c r="GT10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2" s="176"/>
      <c r="HL102" s="69" t="str">
        <f t="shared" si="319"/>
        <v/>
      </c>
      <c r="HM102" s="74" t="str">
        <f>IF(AND(Include_study?="Yes",Sufficient_data="Yes"),Z_score-('Publication Bias Analysis'!P$3+'Publication Bias Analysis'!P$4*Inverse_standard_error),"")</f>
        <v/>
      </c>
      <c r="HO102" s="176"/>
      <c r="HP102" s="69" t="str">
        <f>IF(AND(Include_study?="Yes",Sufficient_data="Yes"),(GD:GD-SUMPRODUCT(Calculations!FT:FT,'Publication Bias Analysis'!E:E)/SUM(Calculations!FT:FT))/SQRT(Calculations!HQ:HQ),"")</f>
        <v/>
      </c>
      <c r="HQ102" s="69" t="str">
        <f>IF(AND(Include_study?="Yes",Sufficient_data="Yes"),GE:GE^2-1/SUM(Calculations!FT:FT),"")</f>
        <v/>
      </c>
      <c r="HR102" s="7" t="str">
        <f t="shared" si="240"/>
        <v/>
      </c>
      <c r="HS102" s="7" t="str">
        <f t="shared" si="241"/>
        <v/>
      </c>
      <c r="HT102" s="7" t="str">
        <f>IF(AND(Include_study?="Yes",Sufficient_data="Yes"),COUNTIFS(HR$2:HR101,"&lt;"&amp;HR102,HS$2:HS101,"&lt;"&amp;HS102)+COUNTIFS(HR103:HR$201,"&lt;"&amp;HR102,HS103:HS$201,"&lt;"&amp;HS102)+COUNTIFS(HR$2:HR101,"&gt;"&amp;HR102,HS$2:HS101,"&gt;"&amp;HS102)+COUNTIFS(HR103:HR$201,"&gt;"&amp;HR102,HS103:HS$201,"&gt;"&amp;HS102),"")</f>
        <v/>
      </c>
      <c r="HU102" s="104" t="str">
        <f>IF(AND(Include_study?="Yes",Sufficient_data="Yes"),COUNTIFS(HR$2:HR101,"&lt;"&amp;HR102,HS$2:HS101,"&gt;"&amp;HS102)+COUNTIFS(HR103:HR$201,"&lt;"&amp;HR102,HS103:HS$201,"&gt;"&amp;HS102)+COUNTIFS(HR$2:HR101,"&gt;"&amp;HR102,HS$2:HS101,"&lt;"&amp;HS102)+COUNTIFS(HR103:HR$201,"&gt;"&amp;HR102,HS103:HS$201,"&lt;"&amp;HS102),"")</f>
        <v/>
      </c>
      <c r="HW102" s="176"/>
      <c r="IB102" s="176"/>
      <c r="IC102" s="146" t="e">
        <f t="shared" si="414"/>
        <v>#N/A</v>
      </c>
      <c r="ID102" s="137" t="e">
        <f t="shared" si="415"/>
        <v>#N/A</v>
      </c>
      <c r="IE102" s="137" t="str">
        <f t="shared" si="416"/>
        <v/>
      </c>
      <c r="IF102" s="95" t="str">
        <f t="shared" si="417"/>
        <v/>
      </c>
      <c r="IK102" s="176"/>
      <c r="IL102" s="69" t="e">
        <f>IF(AND(Include_study?="Yes",Sufficient_data="Yes"),'Publication Bias Analysis'!AV:AV,NA())</f>
        <v>#N/A</v>
      </c>
      <c r="IM102" s="158" t="e">
        <f>IF(AND(Sufficient_data="Yes",Include_study?="Yes"),'Publication Bias Analysis'!AU:AU,NA())</f>
        <v>#N/A</v>
      </c>
      <c r="IN102" s="69" t="str">
        <f t="shared" si="418"/>
        <v/>
      </c>
      <c r="IO102" s="74" t="str">
        <f>IF(AND(Include_study?="Yes",Sufficient_data="Yes"),Z_score-('Publication Bias Analysis'!AY$30+'Publication Bias Analysis'!AY$31*Inverse_standard_error),"")</f>
        <v/>
      </c>
      <c r="IU102" s="176"/>
      <c r="IV102" s="7" t="str">
        <f>IF('Publication Bias Analysis'!BG:BG&lt;&gt;"",RANK('Publication Bias Analysis'!BG:BG,'Publication Bias Analysis'!BG:BG,1)+COUNTIF('Publication Bias Analysis'!BG$2:BG101,'Publication Bias Analysis'!BG102),"")</f>
        <v/>
      </c>
      <c r="IW102" s="124" t="str">
        <f t="shared" si="419"/>
        <v/>
      </c>
      <c r="IX102" s="125" t="e">
        <f>IF('Publication Bias Analysis'!BF102&lt;&gt;"",'Publication Bias Analysis'!BF102,NA())</f>
        <v>#N/A</v>
      </c>
      <c r="IY102" s="125" t="e">
        <f>IF('Publication Bias Analysis'!BG102&lt;&gt;"",'Publication Bias Analysis'!BG102,NA())</f>
        <v>#N/A</v>
      </c>
      <c r="IZ102" s="69" t="str">
        <f>IF(AND(Include_study?="Yes",Sufficient_data="Yes"),'Publication Bias Analysis'!BF:BF-AVERAGE('Publication Bias Analysis'!BF:BF),"")</f>
        <v/>
      </c>
      <c r="JA102" s="74" t="str">
        <f>IF(AND(Include_study?="Yes",Sufficient_data="Yes"),'Publication Bias Analysis'!BG:BG-('Publication Bias Analysis'!BJ$30+'Publication Bias Analysis'!BJ$31*'Publication Bias Analysis'!BF:BF),"")</f>
        <v/>
      </c>
      <c r="JG102" s="176"/>
      <c r="JH102" s="39" t="str">
        <f t="shared" si="420"/>
        <v/>
      </c>
      <c r="JI102" s="148" t="str">
        <f t="shared" si="332"/>
        <v/>
      </c>
      <c r="JJ102" s="74" t="str">
        <f t="shared" si="333"/>
        <v/>
      </c>
    </row>
    <row r="103" spans="1:270" x14ac:dyDescent="0.2">
      <c r="A103" s="56" t="str">
        <f t="shared" si="334"/>
        <v/>
      </c>
      <c r="B103" s="7" t="str">
        <f>IF(AND(Include_study?="Yes",Sufficient_data="Yes"),IF(Input!a_&lt;&gt;"",Input!a_,Input!n1_-Input!b_),"")</f>
        <v/>
      </c>
      <c r="C103" s="7" t="str">
        <f>IF(AND(Include_study?="Yes",Sufficient_data="Yes"),IF(Input!b_&lt;&gt;"",Input!b_,Input!n1_-Input!a_),"")</f>
        <v/>
      </c>
      <c r="D103" s="7" t="str">
        <f>IF(AND(Include_study?="Yes",Sufficient_data="Yes"),IF(Input!c_&lt;&gt;"",Input!c_,Input!n2_-Input!d_),"")</f>
        <v/>
      </c>
      <c r="E103" s="7" t="str">
        <f>IF(AND(Include_study?="Yes",Sufficient_data="Yes"),IF(Input!d_&lt;&gt;"",Input!d_,Input!n2_-Input!c_),"")</f>
        <v/>
      </c>
      <c r="F103" s="74" t="str">
        <f t="shared" si="335"/>
        <v/>
      </c>
      <c r="H103" s="196"/>
      <c r="I103" s="182"/>
      <c r="J103" s="146" t="str">
        <f t="shared" si="245"/>
        <v/>
      </c>
      <c r="K103" s="39" t="str">
        <f t="shared" si="336"/>
        <v/>
      </c>
      <c r="L103" s="39" t="str">
        <f t="shared" si="337"/>
        <v/>
      </c>
      <c r="M103" s="39" t="str">
        <f t="shared" si="338"/>
        <v/>
      </c>
      <c r="N103" s="74" t="str">
        <f t="shared" si="339"/>
        <v/>
      </c>
      <c r="P103" s="176"/>
      <c r="Q103" s="130" t="str">
        <f t="shared" si="340"/>
        <v/>
      </c>
      <c r="R103" s="39" t="str">
        <f t="shared" si="341"/>
        <v/>
      </c>
      <c r="S103" s="39" t="str">
        <f t="shared" si="342"/>
        <v/>
      </c>
      <c r="T103" s="74" t="str">
        <f t="shared" si="343"/>
        <v/>
      </c>
      <c r="V103" s="176"/>
      <c r="W103" s="130" t="str">
        <f t="shared" si="344"/>
        <v/>
      </c>
      <c r="X103" s="39" t="str">
        <f t="shared" si="345"/>
        <v/>
      </c>
      <c r="Y103" s="39" t="str">
        <f t="shared" si="346"/>
        <v/>
      </c>
      <c r="Z103" s="74" t="str">
        <f t="shared" si="347"/>
        <v/>
      </c>
      <c r="AB103" s="176"/>
      <c r="AC103" s="130" t="str">
        <f t="shared" si="348"/>
        <v/>
      </c>
      <c r="AD103" s="39" t="str">
        <f t="shared" si="349"/>
        <v/>
      </c>
      <c r="AE103" s="39" t="str">
        <f t="shared" si="350"/>
        <v/>
      </c>
      <c r="AF103" s="39" t="str">
        <f t="shared" si="351"/>
        <v/>
      </c>
      <c r="AG103" s="74" t="str">
        <f t="shared" si="352"/>
        <v/>
      </c>
      <c r="AI103" s="196"/>
      <c r="AJ10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3" s="136" t="str">
        <f>IF(AJ103&lt;&gt;"",IF(AJ103=0,COUNTIF(AJ$2:AJ102,0)+1,COUNTIF(AJ$2:AJ102,AJ103)+AJ103+COUNTIF(AJ:AJ,0)),"")</f>
        <v/>
      </c>
      <c r="AL103" s="136" t="str">
        <f t="shared" si="263"/>
        <v/>
      </c>
      <c r="AM103" s="155" t="str">
        <f>IF(AND(Include_study?="Yes",Sufficient_data="Yes",Input!Study_name&lt;&gt;""),Input!Study_name,"")</f>
        <v/>
      </c>
      <c r="AN103" s="136" t="str">
        <f t="shared" si="264"/>
        <v/>
      </c>
      <c r="AO103" s="19" t="str">
        <f t="shared" si="353"/>
        <v/>
      </c>
      <c r="AP103" s="158" t="str">
        <f t="shared" si="354"/>
        <v/>
      </c>
      <c r="AQ103" s="158" t="str">
        <f t="shared" si="355"/>
        <v/>
      </c>
      <c r="AR103" s="39" t="str">
        <f t="shared" si="356"/>
        <v/>
      </c>
      <c r="AS103" s="158" t="str">
        <f t="shared" si="357"/>
        <v/>
      </c>
      <c r="AT103" s="39" t="str">
        <f t="shared" si="358"/>
        <v/>
      </c>
      <c r="AU103" s="172" t="str">
        <f t="shared" si="359"/>
        <v/>
      </c>
      <c r="AV103" s="45"/>
      <c r="AW103" s="84" t="e">
        <f t="shared" si="360"/>
        <v>#N/A</v>
      </c>
      <c r="AX103" s="69" t="e">
        <f t="shared" si="361"/>
        <v>#N/A</v>
      </c>
      <c r="AY103" s="74" t="e">
        <f t="shared" si="362"/>
        <v>#N/A</v>
      </c>
      <c r="AZ103" s="45"/>
      <c r="BA103" s="45"/>
      <c r="BB103" s="45"/>
      <c r="BC103" s="45"/>
      <c r="BD103" s="196"/>
      <c r="BE103" s="182"/>
      <c r="BF103" s="69" t="str">
        <f t="shared" si="363"/>
        <v/>
      </c>
      <c r="BG103" s="69" t="str">
        <f t="shared" si="364"/>
        <v/>
      </c>
      <c r="BH103" s="69" t="str">
        <f t="shared" si="365"/>
        <v/>
      </c>
      <c r="BI103" s="39" t="str">
        <f t="shared" si="366"/>
        <v/>
      </c>
      <c r="BJ103" s="95" t="str">
        <f t="shared" si="367"/>
        <v/>
      </c>
      <c r="BO103" s="176"/>
      <c r="BP103" s="158" t="str">
        <f t="shared" si="368"/>
        <v/>
      </c>
      <c r="BQ103" s="158" t="str">
        <f t="shared" si="369"/>
        <v/>
      </c>
      <c r="BR103" s="158" t="str">
        <f t="shared" si="370"/>
        <v/>
      </c>
      <c r="BS103" s="158" t="str">
        <f>IF(AND(Sufficient_data="Yes",Include_study?="Yes"),IF(Add_0_5="Yes",(a_+d_+1)*(ab_+0.5)*(c_+0.5)/(Number_of_subjects+2)^2,(a_+d_)*b_*c_/Number_of_subjects^2),"")</f>
        <v/>
      </c>
      <c r="BT103" s="158" t="str">
        <f t="shared" si="371"/>
        <v/>
      </c>
      <c r="BU103" s="158" t="str">
        <f t="shared" si="372"/>
        <v/>
      </c>
      <c r="BV103" s="158" t="str">
        <f t="shared" si="373"/>
        <v/>
      </c>
      <c r="BW103" s="69" t="str">
        <f t="shared" si="374"/>
        <v/>
      </c>
      <c r="BX103" s="137" t="str">
        <f t="shared" si="375"/>
        <v/>
      </c>
      <c r="BY103" s="95" t="str">
        <f t="shared" si="376"/>
        <v/>
      </c>
      <c r="CD103" s="176"/>
      <c r="CE103" s="130" t="str">
        <f t="shared" si="377"/>
        <v/>
      </c>
      <c r="CF103" s="39" t="str">
        <f t="shared" si="378"/>
        <v/>
      </c>
      <c r="CG103" s="39" t="str">
        <f t="shared" si="379"/>
        <v/>
      </c>
      <c r="CH103" s="39" t="str">
        <f t="shared" si="380"/>
        <v/>
      </c>
      <c r="CI103" s="39" t="str">
        <f t="shared" si="381"/>
        <v/>
      </c>
      <c r="CJ103" s="39" t="str">
        <f t="shared" si="287"/>
        <v/>
      </c>
      <c r="CK103" s="95" t="str">
        <f t="shared" si="382"/>
        <v/>
      </c>
      <c r="CP103" s="176"/>
      <c r="CQ103" s="99" t="str">
        <f t="shared" si="383"/>
        <v/>
      </c>
      <c r="CX103" s="196"/>
      <c r="CY103" s="89" t="e">
        <f t="shared" si="384"/>
        <v>#N/A</v>
      </c>
      <c r="CZ103" s="136" t="str">
        <f t="shared" si="385"/>
        <v/>
      </c>
      <c r="DA103" s="140" t="str">
        <f t="shared" si="386"/>
        <v/>
      </c>
      <c r="DB103" s="39" t="str">
        <f t="shared" si="387"/>
        <v/>
      </c>
      <c r="DC103" s="39" t="str">
        <f t="shared" si="388"/>
        <v/>
      </c>
      <c r="DD103" s="39" t="str">
        <f t="shared" si="389"/>
        <v/>
      </c>
      <c r="DE103" s="39" t="str">
        <f t="shared" si="390"/>
        <v/>
      </c>
      <c r="DF103" s="141" t="str">
        <f t="shared" si="391"/>
        <v/>
      </c>
      <c r="DG103" s="39" t="str">
        <f t="shared" si="392"/>
        <v/>
      </c>
      <c r="DH103" s="39" t="str">
        <f t="shared" si="393"/>
        <v/>
      </c>
      <c r="DI103" s="39" t="str">
        <f t="shared" si="394"/>
        <v/>
      </c>
      <c r="DJ103" s="74" t="str">
        <f t="shared" si="395"/>
        <v/>
      </c>
      <c r="DK103" s="45"/>
      <c r="DL103" s="84" t="e">
        <f t="shared" si="222"/>
        <v>#N/A</v>
      </c>
      <c r="DM103" s="39" t="e">
        <f t="shared" si="396"/>
        <v>#N/A</v>
      </c>
      <c r="DN103" s="74" t="e">
        <f t="shared" si="397"/>
        <v>#N/A</v>
      </c>
      <c r="DO103" s="45"/>
      <c r="DP103" s="89" t="str">
        <f t="shared" si="326"/>
        <v/>
      </c>
      <c r="DQ103" s="26" t="str">
        <f>IF(AND(Sufficient_data="Yes",Subgroup&lt;&gt;""),IF(COUNTIFS(Input!J$2:J102,"="&amp;"Yes",Input!C$2:C102,"="&amp;"Yes",Input!K$2:K102,"="&amp;Subgroup)&gt;0,"",Subgroup),"")</f>
        <v/>
      </c>
      <c r="DR103" s="7" t="str">
        <f t="shared" si="327"/>
        <v/>
      </c>
      <c r="DS103" s="7" t="str">
        <f t="shared" si="398"/>
        <v/>
      </c>
      <c r="DT103" s="19" t="str">
        <f t="shared" si="399"/>
        <v/>
      </c>
      <c r="DU103" s="12" t="str">
        <f t="shared" si="223"/>
        <v/>
      </c>
      <c r="DV103" s="11" t="str">
        <f t="shared" si="224"/>
        <v/>
      </c>
      <c r="DW103" s="12" t="str">
        <f t="shared" si="225"/>
        <v/>
      </c>
      <c r="DX103" s="12" t="str">
        <f t="shared" si="400"/>
        <v/>
      </c>
      <c r="DY103" s="19" t="str">
        <f t="shared" si="226"/>
        <v/>
      </c>
      <c r="DZ103" s="12" t="str">
        <f t="shared" si="227"/>
        <v/>
      </c>
      <c r="EA103" s="19" t="str">
        <f t="shared" si="401"/>
        <v/>
      </c>
      <c r="EB103" s="7" t="str">
        <f t="shared" si="402"/>
        <v/>
      </c>
      <c r="EC103" s="19" t="str">
        <f t="shared" si="403"/>
        <v/>
      </c>
      <c r="ED103" s="19" t="str">
        <f t="shared" si="404"/>
        <v/>
      </c>
      <c r="EE103" s="19" t="str">
        <f t="shared" si="228"/>
        <v/>
      </c>
      <c r="EF103" s="19" t="str">
        <f t="shared" si="229"/>
        <v/>
      </c>
      <c r="EG103" s="19" t="str">
        <f t="shared" si="230"/>
        <v/>
      </c>
      <c r="EH103" s="19" t="str">
        <f t="shared" si="231"/>
        <v/>
      </c>
      <c r="EI103" s="19" t="str">
        <f t="shared" si="232"/>
        <v/>
      </c>
      <c r="EJ103" s="19" t="str">
        <f t="shared" si="405"/>
        <v/>
      </c>
      <c r="EK103" s="19" t="str">
        <f t="shared" si="406"/>
        <v/>
      </c>
      <c r="EL103" s="19" t="str">
        <f t="shared" si="233"/>
        <v/>
      </c>
      <c r="EM103" s="19" t="str">
        <f t="shared" si="234"/>
        <v/>
      </c>
      <c r="EN103" s="19" t="str">
        <f t="shared" si="235"/>
        <v/>
      </c>
      <c r="EO103" s="19" t="str">
        <f t="shared" si="236"/>
        <v/>
      </c>
      <c r="EP103" s="19" t="str">
        <f t="shared" si="237"/>
        <v/>
      </c>
      <c r="EQ103" s="19" t="e">
        <f t="shared" si="238"/>
        <v>#N/A</v>
      </c>
      <c r="ER103" s="11" t="str">
        <f t="shared" si="328"/>
        <v/>
      </c>
      <c r="ES103" s="19" t="str">
        <f t="shared" si="329"/>
        <v/>
      </c>
      <c r="ET103" s="156" t="str">
        <f t="shared" si="407"/>
        <v/>
      </c>
      <c r="EU103" s="39" t="str">
        <f t="shared" si="239"/>
        <v/>
      </c>
      <c r="EV103" s="74" t="str">
        <f t="shared" si="408"/>
        <v/>
      </c>
      <c r="FA103" s="196"/>
      <c r="FB103" s="84" t="e">
        <f>IF(AND(Include_study?="Yes",Sufficient_data="Yes",Moderator&lt;&gt;""),'Moderator Analysis'!E103,NA())</f>
        <v>#N/A</v>
      </c>
      <c r="FC103" s="39" t="e">
        <f>IF(AND(Include_study?="Yes",Sufficient_data="Yes",Moderator&lt;&gt;""),'Moderator Analysis'!F103,NA())</f>
        <v>#N/A</v>
      </c>
      <c r="FD103" s="39" t="str">
        <f t="shared" si="409"/>
        <v/>
      </c>
      <c r="FE103" s="39" t="str">
        <f t="shared" si="410"/>
        <v/>
      </c>
      <c r="FF103" s="39" t="str">
        <f>IF(AND(Include_study?="Yes",Sufficient_data="Yes",Moderator&lt;&gt;""),'Moderator Analysis'!F:F-FP$2,"")</f>
        <v/>
      </c>
      <c r="FG103" s="39" t="str">
        <f>IF(AND(Include_study?="Yes",Sufficient_data="Yes",Moderator&lt;&gt;""),'Moderator Analysis'!E:E-FP$3,"")</f>
        <v/>
      </c>
      <c r="FH103" s="74" t="str">
        <f>IF(AND(Include_study?="Yes",Sufficient_data="Yes",Moderator&lt;&gt;""),FE:FE*('Moderator Analysis'!F:F-FP$5-FP$4*'Moderator Analysis'!E:E)^2,"")</f>
        <v/>
      </c>
      <c r="FI103" s="128"/>
      <c r="FJ103" s="92" t="str">
        <f t="shared" si="411"/>
        <v/>
      </c>
      <c r="FK103" s="137" t="str">
        <f>IF(AND(Include_study?="Yes",Sufficient_data="Yes",Moderator&lt;&gt;""),'Moderator Analysis'!F:F-'Moderator Analysis'!J$37,"")</f>
        <v/>
      </c>
      <c r="FL103" s="137" t="str">
        <f>IF(AND(Include_study?="Yes",Sufficient_data="Yes",Moderator&lt;&gt;""),'Moderator Analysis'!E:E-SUMPRODUCT('Moderator Analysis'!E:E,FJ:FJ)/SUM(FJ:FJ),"")</f>
        <v/>
      </c>
      <c r="FM103" s="95" t="str">
        <f>IF(AND(Include_study?="Yes",Sufficient_data="Yes",Moderator&lt;&gt;""),FJ:FJ*('Moderator Analysis'!F:F-'Moderator Analysis'!J$29-'Moderator Analysis'!J$30*'Moderator Analysis'!E:E)^2,"")</f>
        <v/>
      </c>
      <c r="FR103" s="196"/>
      <c r="FS103" s="182"/>
      <c r="FT10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3" s="39" t="str">
        <f>IF(AND(Include_study?="Yes",Sufficient_data="Yes"),1/('Publication Bias Analysis'!F:F^2+IF(Additional_model="Fixed effect",0,Calculations!GH$12)),"")</f>
        <v/>
      </c>
      <c r="FV103" s="39" t="str">
        <f>IF(AND(Include_study?="Yes",Sufficient_data="Yes"),1/('Publication Bias Analysis'!F:F^2+IF(Additional_model="Fixed effect",0,'Publication Bias Analysis'!L$32)),"")</f>
        <v/>
      </c>
      <c r="FW103" s="39" t="str">
        <f>IF(AND(Include_study?="Yes",Sufficient_data="Yes"),'Publication Bias Analysis'!E:E-'Publication Bias Analysis'!I$37,"")</f>
        <v/>
      </c>
      <c r="FX103" s="39" t="str">
        <f>IF(AND(Include_study?="Yes",Sufficient_data="Yes"),IF(Additional_model="Fixed effect",1/'Publication Bias Analysis'!F:F,1/SQRT('Publication Bias Analysis'!F:F^2+GH$12)),"")</f>
        <v/>
      </c>
      <c r="FY10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3" s="136" t="str">
        <f t="shared" si="412"/>
        <v/>
      </c>
      <c r="GA103" s="144" t="str">
        <f>IF(AND(Include_study?="Yes",Sufficient_data="Yes"),FZ:FZ+IF(GL:GL&lt;0,-1,1)*COUNTIF(FZ$2:FZ102,FZ:FZ),"")</f>
        <v/>
      </c>
      <c r="GB103" s="144" t="str">
        <f>IF(AND(Include_study?="Yes",Sufficient_data="Yes"),RANK(GP:GP,GP:GP,1)*IF(GO:GO&lt;0,-1,1)+IF(GO:GO&lt;0,-1,1)*COUNTIF(FZ$2:FZ102,FZ:FZ),"")</f>
        <v/>
      </c>
      <c r="GC103" s="144" t="str">
        <f>IF(AND(Include_study?="Yes",Sufficient_data="Yes"),RANK(GS:GS,GS:GS,1)*IF(GR:GR&lt;0,-1,1)+IF(GR:GR&lt;0,-1,1)*COUNTIF(FZ$2:FZ102,FZ:FZ),"")</f>
        <v/>
      </c>
      <c r="GD103" s="39" t="e">
        <f>IF(AND(Include_study?="Yes",Sufficient_data="Yes"),'Publication Bias Analysis'!E103,NA())</f>
        <v>#N/A</v>
      </c>
      <c r="GE103" s="74" t="e">
        <f>IF(AND(Include_study?="Yes",Sufficient_data="Yes"),'Publication Bias Analysis'!F103,NA())</f>
        <v>#N/A</v>
      </c>
      <c r="GK103" s="176"/>
      <c r="GL10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3" s="39" t="str">
        <f t="shared" si="413"/>
        <v/>
      </c>
      <c r="GN10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3" s="39" t="str">
        <f>IF(AND(Include_study?="Yes",Sufficient_data="Yes"),IF('Publication Bias Analysis'!L$38="Left",'Publication Bias Analysis'!E:E-GW$3,GW$3-'Publication Bias Analysis'!E:E),"")</f>
        <v/>
      </c>
      <c r="GP103" s="39" t="str">
        <f t="shared" si="330"/>
        <v/>
      </c>
      <c r="GQ10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3" s="39" t="str">
        <f>IF(AND(Include_study?="Yes",Sufficient_data="Yes"),IF('Publication Bias Analysis'!L$38="Left",'Publication Bias Analysis'!E:E-GW$10,GW$10-'Publication Bias Analysis'!E:E),"")</f>
        <v/>
      </c>
      <c r="GS103" s="39" t="str">
        <f t="shared" si="331"/>
        <v/>
      </c>
      <c r="GT10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3" s="176"/>
      <c r="HL103" s="69" t="str">
        <f t="shared" si="319"/>
        <v/>
      </c>
      <c r="HM103" s="74" t="str">
        <f>IF(AND(Include_study?="Yes",Sufficient_data="Yes"),Z_score-('Publication Bias Analysis'!P$3+'Publication Bias Analysis'!P$4*Inverse_standard_error),"")</f>
        <v/>
      </c>
      <c r="HO103" s="176"/>
      <c r="HP103" s="69" t="str">
        <f>IF(AND(Include_study?="Yes",Sufficient_data="Yes"),(GD:GD-SUMPRODUCT(Calculations!FT:FT,'Publication Bias Analysis'!E:E)/SUM(Calculations!FT:FT))/SQRT(Calculations!HQ:HQ),"")</f>
        <v/>
      </c>
      <c r="HQ103" s="69" t="str">
        <f>IF(AND(Include_study?="Yes",Sufficient_data="Yes"),GE:GE^2-1/SUM(Calculations!FT:FT),"")</f>
        <v/>
      </c>
      <c r="HR103" s="7" t="str">
        <f t="shared" si="240"/>
        <v/>
      </c>
      <c r="HS103" s="7" t="str">
        <f t="shared" si="241"/>
        <v/>
      </c>
      <c r="HT103" s="7" t="str">
        <f>IF(AND(Include_study?="Yes",Sufficient_data="Yes"),COUNTIFS(HR$2:HR102,"&lt;"&amp;HR103,HS$2:HS102,"&lt;"&amp;HS103)+COUNTIFS(HR104:HR$201,"&lt;"&amp;HR103,HS104:HS$201,"&lt;"&amp;HS103)+COUNTIFS(HR$2:HR102,"&gt;"&amp;HR103,HS$2:HS102,"&gt;"&amp;HS103)+COUNTIFS(HR104:HR$201,"&gt;"&amp;HR103,HS104:HS$201,"&gt;"&amp;HS103),"")</f>
        <v/>
      </c>
      <c r="HU103" s="104" t="str">
        <f>IF(AND(Include_study?="Yes",Sufficient_data="Yes"),COUNTIFS(HR$2:HR102,"&lt;"&amp;HR103,HS$2:HS102,"&gt;"&amp;HS103)+COUNTIFS(HR104:HR$201,"&lt;"&amp;HR103,HS104:HS$201,"&gt;"&amp;HS103)+COUNTIFS(HR$2:HR102,"&gt;"&amp;HR103,HS$2:HS102,"&lt;"&amp;HS103)+COUNTIFS(HR104:HR$201,"&gt;"&amp;HR103,HS104:HS$201,"&lt;"&amp;HS103),"")</f>
        <v/>
      </c>
      <c r="HW103" s="176"/>
      <c r="IB103" s="176"/>
      <c r="IC103" s="146" t="e">
        <f t="shared" si="414"/>
        <v>#N/A</v>
      </c>
      <c r="ID103" s="137" t="e">
        <f t="shared" si="415"/>
        <v>#N/A</v>
      </c>
      <c r="IE103" s="137" t="str">
        <f t="shared" si="416"/>
        <v/>
      </c>
      <c r="IF103" s="95" t="str">
        <f t="shared" si="417"/>
        <v/>
      </c>
      <c r="IK103" s="176"/>
      <c r="IL103" s="69" t="e">
        <f>IF(AND(Include_study?="Yes",Sufficient_data="Yes"),'Publication Bias Analysis'!AV:AV,NA())</f>
        <v>#N/A</v>
      </c>
      <c r="IM103" s="158" t="e">
        <f>IF(AND(Sufficient_data="Yes",Include_study?="Yes"),'Publication Bias Analysis'!AU:AU,NA())</f>
        <v>#N/A</v>
      </c>
      <c r="IN103" s="69" t="str">
        <f t="shared" si="418"/>
        <v/>
      </c>
      <c r="IO103" s="74" t="str">
        <f>IF(AND(Include_study?="Yes",Sufficient_data="Yes"),Z_score-('Publication Bias Analysis'!AY$30+'Publication Bias Analysis'!AY$31*Inverse_standard_error),"")</f>
        <v/>
      </c>
      <c r="IU103" s="176"/>
      <c r="IV103" s="7" t="str">
        <f>IF('Publication Bias Analysis'!BG:BG&lt;&gt;"",RANK('Publication Bias Analysis'!BG:BG,'Publication Bias Analysis'!BG:BG,1)+COUNTIF('Publication Bias Analysis'!BG$2:BG102,'Publication Bias Analysis'!BG103),"")</f>
        <v/>
      </c>
      <c r="IW103" s="124" t="str">
        <f t="shared" si="419"/>
        <v/>
      </c>
      <c r="IX103" s="125" t="e">
        <f>IF('Publication Bias Analysis'!BF103&lt;&gt;"",'Publication Bias Analysis'!BF103,NA())</f>
        <v>#N/A</v>
      </c>
      <c r="IY103" s="125" t="e">
        <f>IF('Publication Bias Analysis'!BG103&lt;&gt;"",'Publication Bias Analysis'!BG103,NA())</f>
        <v>#N/A</v>
      </c>
      <c r="IZ103" s="69" t="str">
        <f>IF(AND(Include_study?="Yes",Sufficient_data="Yes"),'Publication Bias Analysis'!BF:BF-AVERAGE('Publication Bias Analysis'!BF:BF),"")</f>
        <v/>
      </c>
      <c r="JA103" s="74" t="str">
        <f>IF(AND(Include_study?="Yes",Sufficient_data="Yes"),'Publication Bias Analysis'!BG:BG-('Publication Bias Analysis'!BJ$30+'Publication Bias Analysis'!BJ$31*'Publication Bias Analysis'!BF:BF),"")</f>
        <v/>
      </c>
      <c r="JG103" s="176"/>
      <c r="JH103" s="39" t="str">
        <f t="shared" si="420"/>
        <v/>
      </c>
      <c r="JI103" s="148" t="str">
        <f t="shared" si="332"/>
        <v/>
      </c>
      <c r="JJ103" s="74" t="str">
        <f t="shared" si="333"/>
        <v/>
      </c>
    </row>
    <row r="104" spans="1:270" x14ac:dyDescent="0.2">
      <c r="A104" s="56" t="str">
        <f t="shared" si="334"/>
        <v/>
      </c>
      <c r="B104" s="7" t="str">
        <f>IF(AND(Include_study?="Yes",Sufficient_data="Yes"),IF(Input!a_&lt;&gt;"",Input!a_,Input!n1_-Input!b_),"")</f>
        <v/>
      </c>
      <c r="C104" s="7" t="str">
        <f>IF(AND(Include_study?="Yes",Sufficient_data="Yes"),IF(Input!b_&lt;&gt;"",Input!b_,Input!n1_-Input!a_),"")</f>
        <v/>
      </c>
      <c r="D104" s="7" t="str">
        <f>IF(AND(Include_study?="Yes",Sufficient_data="Yes"),IF(Input!c_&lt;&gt;"",Input!c_,Input!n2_-Input!d_),"")</f>
        <v/>
      </c>
      <c r="E104" s="7" t="str">
        <f>IF(AND(Include_study?="Yes",Sufficient_data="Yes"),IF(Input!d_&lt;&gt;"",Input!d_,Input!n2_-Input!c_),"")</f>
        <v/>
      </c>
      <c r="F104" s="74" t="str">
        <f t="shared" si="335"/>
        <v/>
      </c>
      <c r="H104" s="196"/>
      <c r="I104" s="182"/>
      <c r="J104" s="146" t="str">
        <f t="shared" si="245"/>
        <v/>
      </c>
      <c r="K104" s="39" t="str">
        <f t="shared" si="336"/>
        <v/>
      </c>
      <c r="L104" s="39" t="str">
        <f t="shared" si="337"/>
        <v/>
      </c>
      <c r="M104" s="39" t="str">
        <f t="shared" si="338"/>
        <v/>
      </c>
      <c r="N104" s="74" t="str">
        <f t="shared" si="339"/>
        <v/>
      </c>
      <c r="P104" s="176"/>
      <c r="Q104" s="130" t="str">
        <f t="shared" si="340"/>
        <v/>
      </c>
      <c r="R104" s="39" t="str">
        <f t="shared" si="341"/>
        <v/>
      </c>
      <c r="S104" s="39" t="str">
        <f t="shared" si="342"/>
        <v/>
      </c>
      <c r="T104" s="74" t="str">
        <f t="shared" si="343"/>
        <v/>
      </c>
      <c r="V104" s="176"/>
      <c r="W104" s="130" t="str">
        <f t="shared" si="344"/>
        <v/>
      </c>
      <c r="X104" s="39" t="str">
        <f t="shared" si="345"/>
        <v/>
      </c>
      <c r="Y104" s="39" t="str">
        <f t="shared" si="346"/>
        <v/>
      </c>
      <c r="Z104" s="74" t="str">
        <f t="shared" si="347"/>
        <v/>
      </c>
      <c r="AB104" s="176"/>
      <c r="AC104" s="130" t="str">
        <f t="shared" si="348"/>
        <v/>
      </c>
      <c r="AD104" s="39" t="str">
        <f t="shared" si="349"/>
        <v/>
      </c>
      <c r="AE104" s="39" t="str">
        <f t="shared" si="350"/>
        <v/>
      </c>
      <c r="AF104" s="39" t="str">
        <f t="shared" si="351"/>
        <v/>
      </c>
      <c r="AG104" s="74" t="str">
        <f t="shared" si="352"/>
        <v/>
      </c>
      <c r="AI104" s="196"/>
      <c r="AJ10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4" s="136" t="str">
        <f>IF(AJ104&lt;&gt;"",IF(AJ104=0,COUNTIF(AJ$2:AJ103,0)+1,COUNTIF(AJ$2:AJ103,AJ104)+AJ104+COUNTIF(AJ:AJ,0)),"")</f>
        <v/>
      </c>
      <c r="AL104" s="136" t="str">
        <f t="shared" si="263"/>
        <v/>
      </c>
      <c r="AM104" s="155" t="str">
        <f>IF(AND(Include_study?="Yes",Sufficient_data="Yes",Input!Study_name&lt;&gt;""),Input!Study_name,"")</f>
        <v/>
      </c>
      <c r="AN104" s="136" t="str">
        <f t="shared" si="264"/>
        <v/>
      </c>
      <c r="AO104" s="19" t="str">
        <f t="shared" si="353"/>
        <v/>
      </c>
      <c r="AP104" s="158" t="str">
        <f t="shared" si="354"/>
        <v/>
      </c>
      <c r="AQ104" s="158" t="str">
        <f t="shared" si="355"/>
        <v/>
      </c>
      <c r="AR104" s="39" t="str">
        <f t="shared" si="356"/>
        <v/>
      </c>
      <c r="AS104" s="158" t="str">
        <f t="shared" si="357"/>
        <v/>
      </c>
      <c r="AT104" s="39" t="str">
        <f t="shared" si="358"/>
        <v/>
      </c>
      <c r="AU104" s="172" t="str">
        <f t="shared" si="359"/>
        <v/>
      </c>
      <c r="AV104" s="45"/>
      <c r="AW104" s="84" t="e">
        <f t="shared" si="360"/>
        <v>#N/A</v>
      </c>
      <c r="AX104" s="69" t="e">
        <f t="shared" si="361"/>
        <v>#N/A</v>
      </c>
      <c r="AY104" s="74" t="e">
        <f t="shared" si="362"/>
        <v>#N/A</v>
      </c>
      <c r="AZ104" s="45"/>
      <c r="BA104" s="45"/>
      <c r="BB104" s="45"/>
      <c r="BC104" s="45"/>
      <c r="BD104" s="196"/>
      <c r="BE104" s="182"/>
      <c r="BF104" s="69" t="str">
        <f t="shared" si="363"/>
        <v/>
      </c>
      <c r="BG104" s="69" t="str">
        <f t="shared" si="364"/>
        <v/>
      </c>
      <c r="BH104" s="69" t="str">
        <f t="shared" si="365"/>
        <v/>
      </c>
      <c r="BI104" s="39" t="str">
        <f t="shared" si="366"/>
        <v/>
      </c>
      <c r="BJ104" s="95" t="str">
        <f t="shared" si="367"/>
        <v/>
      </c>
      <c r="BO104" s="176"/>
      <c r="BP104" s="158" t="str">
        <f t="shared" si="368"/>
        <v/>
      </c>
      <c r="BQ104" s="158" t="str">
        <f t="shared" si="369"/>
        <v/>
      </c>
      <c r="BR104" s="158" t="str">
        <f t="shared" si="370"/>
        <v/>
      </c>
      <c r="BS104" s="158" t="str">
        <f>IF(AND(Sufficient_data="Yes",Include_study?="Yes"),IF(Add_0_5="Yes",(a_+d_+1)*(ab_+0.5)*(c_+0.5)/(Number_of_subjects+2)^2,(a_+d_)*b_*c_/Number_of_subjects^2),"")</f>
        <v/>
      </c>
      <c r="BT104" s="158" t="str">
        <f t="shared" si="371"/>
        <v/>
      </c>
      <c r="BU104" s="158" t="str">
        <f t="shared" si="372"/>
        <v/>
      </c>
      <c r="BV104" s="158" t="str">
        <f t="shared" si="373"/>
        <v/>
      </c>
      <c r="BW104" s="69" t="str">
        <f t="shared" si="374"/>
        <v/>
      </c>
      <c r="BX104" s="137" t="str">
        <f t="shared" si="375"/>
        <v/>
      </c>
      <c r="BY104" s="95" t="str">
        <f t="shared" si="376"/>
        <v/>
      </c>
      <c r="CD104" s="176"/>
      <c r="CE104" s="130" t="str">
        <f t="shared" si="377"/>
        <v/>
      </c>
      <c r="CF104" s="39" t="str">
        <f t="shared" si="378"/>
        <v/>
      </c>
      <c r="CG104" s="39" t="str">
        <f t="shared" si="379"/>
        <v/>
      </c>
      <c r="CH104" s="39" t="str">
        <f t="shared" si="380"/>
        <v/>
      </c>
      <c r="CI104" s="39" t="str">
        <f t="shared" si="381"/>
        <v/>
      </c>
      <c r="CJ104" s="39" t="str">
        <f t="shared" si="287"/>
        <v/>
      </c>
      <c r="CK104" s="95" t="str">
        <f t="shared" si="382"/>
        <v/>
      </c>
      <c r="CP104" s="176"/>
      <c r="CQ104" s="99" t="str">
        <f t="shared" si="383"/>
        <v/>
      </c>
      <c r="CX104" s="196"/>
      <c r="CY104" s="89" t="e">
        <f t="shared" si="384"/>
        <v>#N/A</v>
      </c>
      <c r="CZ104" s="136" t="str">
        <f t="shared" si="385"/>
        <v/>
      </c>
      <c r="DA104" s="140" t="str">
        <f t="shared" si="386"/>
        <v/>
      </c>
      <c r="DB104" s="39" t="str">
        <f t="shared" si="387"/>
        <v/>
      </c>
      <c r="DC104" s="39" t="str">
        <f t="shared" si="388"/>
        <v/>
      </c>
      <c r="DD104" s="39" t="str">
        <f t="shared" si="389"/>
        <v/>
      </c>
      <c r="DE104" s="39" t="str">
        <f t="shared" si="390"/>
        <v/>
      </c>
      <c r="DF104" s="141" t="str">
        <f t="shared" si="391"/>
        <v/>
      </c>
      <c r="DG104" s="39" t="str">
        <f t="shared" si="392"/>
        <v/>
      </c>
      <c r="DH104" s="39" t="str">
        <f t="shared" si="393"/>
        <v/>
      </c>
      <c r="DI104" s="39" t="str">
        <f t="shared" si="394"/>
        <v/>
      </c>
      <c r="DJ104" s="74" t="str">
        <f t="shared" si="395"/>
        <v/>
      </c>
      <c r="DK104" s="45"/>
      <c r="DL104" s="84" t="e">
        <f t="shared" si="222"/>
        <v>#N/A</v>
      </c>
      <c r="DM104" s="39" t="e">
        <f t="shared" si="396"/>
        <v>#N/A</v>
      </c>
      <c r="DN104" s="74" t="e">
        <f t="shared" si="397"/>
        <v>#N/A</v>
      </c>
      <c r="DO104" s="45"/>
      <c r="DP104" s="89" t="str">
        <f t="shared" si="326"/>
        <v/>
      </c>
      <c r="DQ104" s="26" t="str">
        <f>IF(AND(Sufficient_data="Yes",Subgroup&lt;&gt;""),IF(COUNTIFS(Input!J$2:J103,"="&amp;"Yes",Input!C$2:C103,"="&amp;"Yes",Input!K$2:K103,"="&amp;Subgroup)&gt;0,"",Subgroup),"")</f>
        <v/>
      </c>
      <c r="DR104" s="7" t="str">
        <f t="shared" si="327"/>
        <v/>
      </c>
      <c r="DS104" s="7" t="str">
        <f t="shared" si="398"/>
        <v/>
      </c>
      <c r="DT104" s="19" t="str">
        <f t="shared" si="399"/>
        <v/>
      </c>
      <c r="DU104" s="12" t="str">
        <f t="shared" si="223"/>
        <v/>
      </c>
      <c r="DV104" s="11" t="str">
        <f t="shared" si="224"/>
        <v/>
      </c>
      <c r="DW104" s="12" t="str">
        <f t="shared" si="225"/>
        <v/>
      </c>
      <c r="DX104" s="12" t="str">
        <f t="shared" si="400"/>
        <v/>
      </c>
      <c r="DY104" s="19" t="str">
        <f t="shared" si="226"/>
        <v/>
      </c>
      <c r="DZ104" s="12" t="str">
        <f t="shared" si="227"/>
        <v/>
      </c>
      <c r="EA104" s="19" t="str">
        <f t="shared" si="401"/>
        <v/>
      </c>
      <c r="EB104" s="7" t="str">
        <f t="shared" si="402"/>
        <v/>
      </c>
      <c r="EC104" s="19" t="str">
        <f t="shared" si="403"/>
        <v/>
      </c>
      <c r="ED104" s="19" t="str">
        <f t="shared" si="404"/>
        <v/>
      </c>
      <c r="EE104" s="19" t="str">
        <f t="shared" si="228"/>
        <v/>
      </c>
      <c r="EF104" s="19" t="str">
        <f t="shared" si="229"/>
        <v/>
      </c>
      <c r="EG104" s="19" t="str">
        <f t="shared" si="230"/>
        <v/>
      </c>
      <c r="EH104" s="19" t="str">
        <f t="shared" si="231"/>
        <v/>
      </c>
      <c r="EI104" s="19" t="str">
        <f t="shared" si="232"/>
        <v/>
      </c>
      <c r="EJ104" s="19" t="str">
        <f t="shared" si="405"/>
        <v/>
      </c>
      <c r="EK104" s="19" t="str">
        <f t="shared" si="406"/>
        <v/>
      </c>
      <c r="EL104" s="19" t="str">
        <f t="shared" si="233"/>
        <v/>
      </c>
      <c r="EM104" s="19" t="str">
        <f t="shared" si="234"/>
        <v/>
      </c>
      <c r="EN104" s="19" t="str">
        <f t="shared" si="235"/>
        <v/>
      </c>
      <c r="EO104" s="19" t="str">
        <f t="shared" si="236"/>
        <v/>
      </c>
      <c r="EP104" s="19" t="str">
        <f t="shared" si="237"/>
        <v/>
      </c>
      <c r="EQ104" s="19" t="e">
        <f t="shared" si="238"/>
        <v>#N/A</v>
      </c>
      <c r="ER104" s="11" t="str">
        <f t="shared" si="328"/>
        <v/>
      </c>
      <c r="ES104" s="19" t="str">
        <f t="shared" si="329"/>
        <v/>
      </c>
      <c r="ET104" s="156" t="str">
        <f t="shared" si="407"/>
        <v/>
      </c>
      <c r="EU104" s="39" t="str">
        <f t="shared" si="239"/>
        <v/>
      </c>
      <c r="EV104" s="74" t="str">
        <f t="shared" si="408"/>
        <v/>
      </c>
      <c r="FA104" s="196"/>
      <c r="FB104" s="84" t="e">
        <f>IF(AND(Include_study?="Yes",Sufficient_data="Yes",Moderator&lt;&gt;""),'Moderator Analysis'!E104,NA())</f>
        <v>#N/A</v>
      </c>
      <c r="FC104" s="39" t="e">
        <f>IF(AND(Include_study?="Yes",Sufficient_data="Yes",Moderator&lt;&gt;""),'Moderator Analysis'!F104,NA())</f>
        <v>#N/A</v>
      </c>
      <c r="FD104" s="39" t="str">
        <f t="shared" si="409"/>
        <v/>
      </c>
      <c r="FE104" s="39" t="str">
        <f t="shared" si="410"/>
        <v/>
      </c>
      <c r="FF104" s="39" t="str">
        <f>IF(AND(Include_study?="Yes",Sufficient_data="Yes",Moderator&lt;&gt;""),'Moderator Analysis'!F:F-FP$2,"")</f>
        <v/>
      </c>
      <c r="FG104" s="39" t="str">
        <f>IF(AND(Include_study?="Yes",Sufficient_data="Yes",Moderator&lt;&gt;""),'Moderator Analysis'!E:E-FP$3,"")</f>
        <v/>
      </c>
      <c r="FH104" s="74" t="str">
        <f>IF(AND(Include_study?="Yes",Sufficient_data="Yes",Moderator&lt;&gt;""),FE:FE*('Moderator Analysis'!F:F-FP$5-FP$4*'Moderator Analysis'!E:E)^2,"")</f>
        <v/>
      </c>
      <c r="FI104" s="128"/>
      <c r="FJ104" s="92" t="str">
        <f t="shared" si="411"/>
        <v/>
      </c>
      <c r="FK104" s="137" t="str">
        <f>IF(AND(Include_study?="Yes",Sufficient_data="Yes",Moderator&lt;&gt;""),'Moderator Analysis'!F:F-'Moderator Analysis'!J$37,"")</f>
        <v/>
      </c>
      <c r="FL104" s="137" t="str">
        <f>IF(AND(Include_study?="Yes",Sufficient_data="Yes",Moderator&lt;&gt;""),'Moderator Analysis'!E:E-SUMPRODUCT('Moderator Analysis'!E:E,FJ:FJ)/SUM(FJ:FJ),"")</f>
        <v/>
      </c>
      <c r="FM104" s="95" t="str">
        <f>IF(AND(Include_study?="Yes",Sufficient_data="Yes",Moderator&lt;&gt;""),FJ:FJ*('Moderator Analysis'!F:F-'Moderator Analysis'!J$29-'Moderator Analysis'!J$30*'Moderator Analysis'!E:E)^2,"")</f>
        <v/>
      </c>
      <c r="FR104" s="196"/>
      <c r="FS104" s="182"/>
      <c r="FT10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4" s="39" t="str">
        <f>IF(AND(Include_study?="Yes",Sufficient_data="Yes"),1/('Publication Bias Analysis'!F:F^2+IF(Additional_model="Fixed effect",0,Calculations!GH$12)),"")</f>
        <v/>
      </c>
      <c r="FV104" s="39" t="str">
        <f>IF(AND(Include_study?="Yes",Sufficient_data="Yes"),1/('Publication Bias Analysis'!F:F^2+IF(Additional_model="Fixed effect",0,'Publication Bias Analysis'!L$32)),"")</f>
        <v/>
      </c>
      <c r="FW104" s="39" t="str">
        <f>IF(AND(Include_study?="Yes",Sufficient_data="Yes"),'Publication Bias Analysis'!E:E-'Publication Bias Analysis'!I$37,"")</f>
        <v/>
      </c>
      <c r="FX104" s="39" t="str">
        <f>IF(AND(Include_study?="Yes",Sufficient_data="Yes"),IF(Additional_model="Fixed effect",1/'Publication Bias Analysis'!F:F,1/SQRT('Publication Bias Analysis'!F:F^2+GH$12)),"")</f>
        <v/>
      </c>
      <c r="FY10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4" s="136" t="str">
        <f t="shared" si="412"/>
        <v/>
      </c>
      <c r="GA104" s="144" t="str">
        <f>IF(AND(Include_study?="Yes",Sufficient_data="Yes"),FZ:FZ+IF(GL:GL&lt;0,-1,1)*COUNTIF(FZ$2:FZ103,FZ:FZ),"")</f>
        <v/>
      </c>
      <c r="GB104" s="144" t="str">
        <f>IF(AND(Include_study?="Yes",Sufficient_data="Yes"),RANK(GP:GP,GP:GP,1)*IF(GO:GO&lt;0,-1,1)+IF(GO:GO&lt;0,-1,1)*COUNTIF(FZ$2:FZ103,FZ:FZ),"")</f>
        <v/>
      </c>
      <c r="GC104" s="144" t="str">
        <f>IF(AND(Include_study?="Yes",Sufficient_data="Yes"),RANK(GS:GS,GS:GS,1)*IF(GR:GR&lt;0,-1,1)+IF(GR:GR&lt;0,-1,1)*COUNTIF(FZ$2:FZ103,FZ:FZ),"")</f>
        <v/>
      </c>
      <c r="GD104" s="39" t="e">
        <f>IF(AND(Include_study?="Yes",Sufficient_data="Yes"),'Publication Bias Analysis'!E104,NA())</f>
        <v>#N/A</v>
      </c>
      <c r="GE104" s="74" t="e">
        <f>IF(AND(Include_study?="Yes",Sufficient_data="Yes"),'Publication Bias Analysis'!F104,NA())</f>
        <v>#N/A</v>
      </c>
      <c r="GK104" s="176"/>
      <c r="GL10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4" s="39" t="str">
        <f t="shared" si="413"/>
        <v/>
      </c>
      <c r="GN10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4" s="39" t="str">
        <f>IF(AND(Include_study?="Yes",Sufficient_data="Yes"),IF('Publication Bias Analysis'!L$38="Left",'Publication Bias Analysis'!E:E-GW$3,GW$3-'Publication Bias Analysis'!E:E),"")</f>
        <v/>
      </c>
      <c r="GP104" s="39" t="str">
        <f t="shared" si="330"/>
        <v/>
      </c>
      <c r="GQ10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4" s="39" t="str">
        <f>IF(AND(Include_study?="Yes",Sufficient_data="Yes"),IF('Publication Bias Analysis'!L$38="Left",'Publication Bias Analysis'!E:E-GW$10,GW$10-'Publication Bias Analysis'!E:E),"")</f>
        <v/>
      </c>
      <c r="GS104" s="39" t="str">
        <f t="shared" si="331"/>
        <v/>
      </c>
      <c r="GT10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4" s="176"/>
      <c r="HL104" s="69" t="str">
        <f t="shared" si="319"/>
        <v/>
      </c>
      <c r="HM104" s="74" t="str">
        <f>IF(AND(Include_study?="Yes",Sufficient_data="Yes"),Z_score-('Publication Bias Analysis'!P$3+'Publication Bias Analysis'!P$4*Inverse_standard_error),"")</f>
        <v/>
      </c>
      <c r="HO104" s="176"/>
      <c r="HP104" s="69" t="str">
        <f>IF(AND(Include_study?="Yes",Sufficient_data="Yes"),(GD:GD-SUMPRODUCT(Calculations!FT:FT,'Publication Bias Analysis'!E:E)/SUM(Calculations!FT:FT))/SQRT(Calculations!HQ:HQ),"")</f>
        <v/>
      </c>
      <c r="HQ104" s="69" t="str">
        <f>IF(AND(Include_study?="Yes",Sufficient_data="Yes"),GE:GE^2-1/SUM(Calculations!FT:FT),"")</f>
        <v/>
      </c>
      <c r="HR104" s="7" t="str">
        <f t="shared" si="240"/>
        <v/>
      </c>
      <c r="HS104" s="7" t="str">
        <f t="shared" si="241"/>
        <v/>
      </c>
      <c r="HT104" s="7" t="str">
        <f>IF(AND(Include_study?="Yes",Sufficient_data="Yes"),COUNTIFS(HR$2:HR103,"&lt;"&amp;HR104,HS$2:HS103,"&lt;"&amp;HS104)+COUNTIFS(HR105:HR$201,"&lt;"&amp;HR104,HS105:HS$201,"&lt;"&amp;HS104)+COUNTIFS(HR$2:HR103,"&gt;"&amp;HR104,HS$2:HS103,"&gt;"&amp;HS104)+COUNTIFS(HR105:HR$201,"&gt;"&amp;HR104,HS105:HS$201,"&gt;"&amp;HS104),"")</f>
        <v/>
      </c>
      <c r="HU104" s="104" t="str">
        <f>IF(AND(Include_study?="Yes",Sufficient_data="Yes"),COUNTIFS(HR$2:HR103,"&lt;"&amp;HR104,HS$2:HS103,"&gt;"&amp;HS104)+COUNTIFS(HR105:HR$201,"&lt;"&amp;HR104,HS105:HS$201,"&gt;"&amp;HS104)+COUNTIFS(HR$2:HR103,"&gt;"&amp;HR104,HS$2:HS103,"&lt;"&amp;HS104)+COUNTIFS(HR105:HR$201,"&gt;"&amp;HR104,HS105:HS$201,"&lt;"&amp;HS104),"")</f>
        <v/>
      </c>
      <c r="HW104" s="176"/>
      <c r="IB104" s="176"/>
      <c r="IC104" s="146" t="e">
        <f t="shared" si="414"/>
        <v>#N/A</v>
      </c>
      <c r="ID104" s="137" t="e">
        <f t="shared" si="415"/>
        <v>#N/A</v>
      </c>
      <c r="IE104" s="137" t="str">
        <f t="shared" si="416"/>
        <v/>
      </c>
      <c r="IF104" s="95" t="str">
        <f t="shared" si="417"/>
        <v/>
      </c>
      <c r="IK104" s="176"/>
      <c r="IL104" s="69" t="e">
        <f>IF(AND(Include_study?="Yes",Sufficient_data="Yes"),'Publication Bias Analysis'!AV:AV,NA())</f>
        <v>#N/A</v>
      </c>
      <c r="IM104" s="158" t="e">
        <f>IF(AND(Sufficient_data="Yes",Include_study?="Yes"),'Publication Bias Analysis'!AU:AU,NA())</f>
        <v>#N/A</v>
      </c>
      <c r="IN104" s="69" t="str">
        <f t="shared" si="418"/>
        <v/>
      </c>
      <c r="IO104" s="74" t="str">
        <f>IF(AND(Include_study?="Yes",Sufficient_data="Yes"),Z_score-('Publication Bias Analysis'!AY$30+'Publication Bias Analysis'!AY$31*Inverse_standard_error),"")</f>
        <v/>
      </c>
      <c r="IU104" s="176"/>
      <c r="IV104" s="7" t="str">
        <f>IF('Publication Bias Analysis'!BG:BG&lt;&gt;"",RANK('Publication Bias Analysis'!BG:BG,'Publication Bias Analysis'!BG:BG,1)+COUNTIF('Publication Bias Analysis'!BG$2:BG103,'Publication Bias Analysis'!BG104),"")</f>
        <v/>
      </c>
      <c r="IW104" s="124" t="str">
        <f t="shared" si="419"/>
        <v/>
      </c>
      <c r="IX104" s="125" t="e">
        <f>IF('Publication Bias Analysis'!BF104&lt;&gt;"",'Publication Bias Analysis'!BF104,NA())</f>
        <v>#N/A</v>
      </c>
      <c r="IY104" s="125" t="e">
        <f>IF('Publication Bias Analysis'!BG104&lt;&gt;"",'Publication Bias Analysis'!BG104,NA())</f>
        <v>#N/A</v>
      </c>
      <c r="IZ104" s="69" t="str">
        <f>IF(AND(Include_study?="Yes",Sufficient_data="Yes"),'Publication Bias Analysis'!BF:BF-AVERAGE('Publication Bias Analysis'!BF:BF),"")</f>
        <v/>
      </c>
      <c r="JA104" s="74" t="str">
        <f>IF(AND(Include_study?="Yes",Sufficient_data="Yes"),'Publication Bias Analysis'!BG:BG-('Publication Bias Analysis'!BJ$30+'Publication Bias Analysis'!BJ$31*'Publication Bias Analysis'!BF:BF),"")</f>
        <v/>
      </c>
      <c r="JG104" s="176"/>
      <c r="JH104" s="39" t="str">
        <f t="shared" si="420"/>
        <v/>
      </c>
      <c r="JI104" s="148" t="str">
        <f t="shared" si="332"/>
        <v/>
      </c>
      <c r="JJ104" s="74" t="str">
        <f t="shared" si="333"/>
        <v/>
      </c>
    </row>
    <row r="105" spans="1:270" x14ac:dyDescent="0.2">
      <c r="A105" s="56" t="str">
        <f t="shared" si="334"/>
        <v/>
      </c>
      <c r="B105" s="7" t="str">
        <f>IF(AND(Include_study?="Yes",Sufficient_data="Yes"),IF(Input!a_&lt;&gt;"",Input!a_,Input!n1_-Input!b_),"")</f>
        <v/>
      </c>
      <c r="C105" s="7" t="str">
        <f>IF(AND(Include_study?="Yes",Sufficient_data="Yes"),IF(Input!b_&lt;&gt;"",Input!b_,Input!n1_-Input!a_),"")</f>
        <v/>
      </c>
      <c r="D105" s="7" t="str">
        <f>IF(AND(Include_study?="Yes",Sufficient_data="Yes"),IF(Input!c_&lt;&gt;"",Input!c_,Input!n2_-Input!d_),"")</f>
        <v/>
      </c>
      <c r="E105" s="7" t="str">
        <f>IF(AND(Include_study?="Yes",Sufficient_data="Yes"),IF(Input!d_&lt;&gt;"",Input!d_,Input!n2_-Input!c_),"")</f>
        <v/>
      </c>
      <c r="F105" s="74" t="str">
        <f t="shared" si="335"/>
        <v/>
      </c>
      <c r="H105" s="196"/>
      <c r="I105" s="182"/>
      <c r="J105" s="146" t="str">
        <f t="shared" si="245"/>
        <v/>
      </c>
      <c r="K105" s="39" t="str">
        <f t="shared" si="336"/>
        <v/>
      </c>
      <c r="L105" s="39" t="str">
        <f t="shared" si="337"/>
        <v/>
      </c>
      <c r="M105" s="39" t="str">
        <f t="shared" si="338"/>
        <v/>
      </c>
      <c r="N105" s="74" t="str">
        <f t="shared" si="339"/>
        <v/>
      </c>
      <c r="P105" s="176"/>
      <c r="Q105" s="130" t="str">
        <f t="shared" si="340"/>
        <v/>
      </c>
      <c r="R105" s="39" t="str">
        <f t="shared" si="341"/>
        <v/>
      </c>
      <c r="S105" s="39" t="str">
        <f t="shared" si="342"/>
        <v/>
      </c>
      <c r="T105" s="74" t="str">
        <f t="shared" si="343"/>
        <v/>
      </c>
      <c r="V105" s="176"/>
      <c r="W105" s="130" t="str">
        <f t="shared" si="344"/>
        <v/>
      </c>
      <c r="X105" s="39" t="str">
        <f t="shared" si="345"/>
        <v/>
      </c>
      <c r="Y105" s="39" t="str">
        <f t="shared" si="346"/>
        <v/>
      </c>
      <c r="Z105" s="74" t="str">
        <f t="shared" si="347"/>
        <v/>
      </c>
      <c r="AB105" s="176"/>
      <c r="AC105" s="130" t="str">
        <f t="shared" si="348"/>
        <v/>
      </c>
      <c r="AD105" s="39" t="str">
        <f t="shared" si="349"/>
        <v/>
      </c>
      <c r="AE105" s="39" t="str">
        <f t="shared" si="350"/>
        <v/>
      </c>
      <c r="AF105" s="39" t="str">
        <f t="shared" si="351"/>
        <v/>
      </c>
      <c r="AG105" s="74" t="str">
        <f t="shared" si="352"/>
        <v/>
      </c>
      <c r="AI105" s="196"/>
      <c r="AJ10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5" s="136" t="str">
        <f>IF(AJ105&lt;&gt;"",IF(AJ105=0,COUNTIF(AJ$2:AJ104,0)+1,COUNTIF(AJ$2:AJ104,AJ105)+AJ105+COUNTIF(AJ:AJ,0)),"")</f>
        <v/>
      </c>
      <c r="AL105" s="136" t="str">
        <f t="shared" si="263"/>
        <v/>
      </c>
      <c r="AM105" s="155" t="str">
        <f>IF(AND(Include_study?="Yes",Sufficient_data="Yes",Input!Study_name&lt;&gt;""),Input!Study_name,"")</f>
        <v/>
      </c>
      <c r="AN105" s="136" t="str">
        <f t="shared" si="264"/>
        <v/>
      </c>
      <c r="AO105" s="19" t="str">
        <f t="shared" si="353"/>
        <v/>
      </c>
      <c r="AP105" s="158" t="str">
        <f t="shared" si="354"/>
        <v/>
      </c>
      <c r="AQ105" s="158" t="str">
        <f t="shared" si="355"/>
        <v/>
      </c>
      <c r="AR105" s="39" t="str">
        <f t="shared" si="356"/>
        <v/>
      </c>
      <c r="AS105" s="158" t="str">
        <f t="shared" si="357"/>
        <v/>
      </c>
      <c r="AT105" s="39" t="str">
        <f t="shared" si="358"/>
        <v/>
      </c>
      <c r="AU105" s="172" t="str">
        <f t="shared" si="359"/>
        <v/>
      </c>
      <c r="AV105" s="45"/>
      <c r="AW105" s="84" t="e">
        <f t="shared" si="360"/>
        <v>#N/A</v>
      </c>
      <c r="AX105" s="69" t="e">
        <f t="shared" si="361"/>
        <v>#N/A</v>
      </c>
      <c r="AY105" s="74" t="e">
        <f t="shared" si="362"/>
        <v>#N/A</v>
      </c>
      <c r="AZ105" s="45"/>
      <c r="BA105" s="45"/>
      <c r="BB105" s="45"/>
      <c r="BC105" s="45"/>
      <c r="BD105" s="196"/>
      <c r="BE105" s="182"/>
      <c r="BF105" s="69" t="str">
        <f t="shared" si="363"/>
        <v/>
      </c>
      <c r="BG105" s="69" t="str">
        <f t="shared" si="364"/>
        <v/>
      </c>
      <c r="BH105" s="69" t="str">
        <f t="shared" si="365"/>
        <v/>
      </c>
      <c r="BI105" s="39" t="str">
        <f t="shared" si="366"/>
        <v/>
      </c>
      <c r="BJ105" s="95" t="str">
        <f t="shared" si="367"/>
        <v/>
      </c>
      <c r="BO105" s="176"/>
      <c r="BP105" s="158" t="str">
        <f t="shared" si="368"/>
        <v/>
      </c>
      <c r="BQ105" s="158" t="str">
        <f t="shared" si="369"/>
        <v/>
      </c>
      <c r="BR105" s="158" t="str">
        <f t="shared" si="370"/>
        <v/>
      </c>
      <c r="BS105" s="158" t="str">
        <f>IF(AND(Sufficient_data="Yes",Include_study?="Yes"),IF(Add_0_5="Yes",(a_+d_+1)*(ab_+0.5)*(c_+0.5)/(Number_of_subjects+2)^2,(a_+d_)*b_*c_/Number_of_subjects^2),"")</f>
        <v/>
      </c>
      <c r="BT105" s="158" t="str">
        <f t="shared" si="371"/>
        <v/>
      </c>
      <c r="BU105" s="158" t="str">
        <f t="shared" si="372"/>
        <v/>
      </c>
      <c r="BV105" s="158" t="str">
        <f t="shared" si="373"/>
        <v/>
      </c>
      <c r="BW105" s="69" t="str">
        <f t="shared" si="374"/>
        <v/>
      </c>
      <c r="BX105" s="137" t="str">
        <f t="shared" si="375"/>
        <v/>
      </c>
      <c r="BY105" s="95" t="str">
        <f t="shared" si="376"/>
        <v/>
      </c>
      <c r="CD105" s="176"/>
      <c r="CE105" s="130" t="str">
        <f t="shared" si="377"/>
        <v/>
      </c>
      <c r="CF105" s="39" t="str">
        <f t="shared" si="378"/>
        <v/>
      </c>
      <c r="CG105" s="39" t="str">
        <f t="shared" si="379"/>
        <v/>
      </c>
      <c r="CH105" s="39" t="str">
        <f t="shared" si="380"/>
        <v/>
      </c>
      <c r="CI105" s="39" t="str">
        <f t="shared" si="381"/>
        <v/>
      </c>
      <c r="CJ105" s="39" t="str">
        <f t="shared" si="287"/>
        <v/>
      </c>
      <c r="CK105" s="95" t="str">
        <f t="shared" si="382"/>
        <v/>
      </c>
      <c r="CP105" s="176"/>
      <c r="CQ105" s="99" t="str">
        <f t="shared" si="383"/>
        <v/>
      </c>
      <c r="CX105" s="196"/>
      <c r="CY105" s="89" t="e">
        <f t="shared" si="384"/>
        <v>#N/A</v>
      </c>
      <c r="CZ105" s="136" t="str">
        <f t="shared" si="385"/>
        <v/>
      </c>
      <c r="DA105" s="140" t="str">
        <f t="shared" si="386"/>
        <v/>
      </c>
      <c r="DB105" s="39" t="str">
        <f t="shared" si="387"/>
        <v/>
      </c>
      <c r="DC105" s="39" t="str">
        <f t="shared" si="388"/>
        <v/>
      </c>
      <c r="DD105" s="39" t="str">
        <f t="shared" si="389"/>
        <v/>
      </c>
      <c r="DE105" s="39" t="str">
        <f t="shared" si="390"/>
        <v/>
      </c>
      <c r="DF105" s="141" t="str">
        <f t="shared" si="391"/>
        <v/>
      </c>
      <c r="DG105" s="39" t="str">
        <f t="shared" si="392"/>
        <v/>
      </c>
      <c r="DH105" s="39" t="str">
        <f t="shared" si="393"/>
        <v/>
      </c>
      <c r="DI105" s="39" t="str">
        <f t="shared" si="394"/>
        <v/>
      </c>
      <c r="DJ105" s="74" t="str">
        <f t="shared" si="395"/>
        <v/>
      </c>
      <c r="DK105" s="45"/>
      <c r="DL105" s="84" t="e">
        <f t="shared" si="222"/>
        <v>#N/A</v>
      </c>
      <c r="DM105" s="39" t="e">
        <f t="shared" si="396"/>
        <v>#N/A</v>
      </c>
      <c r="DN105" s="74" t="e">
        <f t="shared" si="397"/>
        <v>#N/A</v>
      </c>
      <c r="DO105" s="45"/>
      <c r="DP105" s="89" t="str">
        <f t="shared" si="326"/>
        <v/>
      </c>
      <c r="DQ105" s="26" t="str">
        <f>IF(AND(Sufficient_data="Yes",Subgroup&lt;&gt;""),IF(COUNTIFS(Input!J$2:J104,"="&amp;"Yes",Input!C$2:C104,"="&amp;"Yes",Input!K$2:K104,"="&amp;Subgroup)&gt;0,"",Subgroup),"")</f>
        <v/>
      </c>
      <c r="DR105" s="7" t="str">
        <f t="shared" si="327"/>
        <v/>
      </c>
      <c r="DS105" s="7" t="str">
        <f t="shared" si="398"/>
        <v/>
      </c>
      <c r="DT105" s="19" t="str">
        <f t="shared" si="399"/>
        <v/>
      </c>
      <c r="DU105" s="12" t="str">
        <f t="shared" si="223"/>
        <v/>
      </c>
      <c r="DV105" s="11" t="str">
        <f t="shared" si="224"/>
        <v/>
      </c>
      <c r="DW105" s="12" t="str">
        <f t="shared" si="225"/>
        <v/>
      </c>
      <c r="DX105" s="12" t="str">
        <f t="shared" si="400"/>
        <v/>
      </c>
      <c r="DY105" s="19" t="str">
        <f t="shared" si="226"/>
        <v/>
      </c>
      <c r="DZ105" s="12" t="str">
        <f t="shared" si="227"/>
        <v/>
      </c>
      <c r="EA105" s="19" t="str">
        <f t="shared" si="401"/>
        <v/>
      </c>
      <c r="EB105" s="7" t="str">
        <f t="shared" si="402"/>
        <v/>
      </c>
      <c r="EC105" s="19" t="str">
        <f t="shared" si="403"/>
        <v/>
      </c>
      <c r="ED105" s="19" t="str">
        <f t="shared" si="404"/>
        <v/>
      </c>
      <c r="EE105" s="19" t="str">
        <f t="shared" si="228"/>
        <v/>
      </c>
      <c r="EF105" s="19" t="str">
        <f t="shared" si="229"/>
        <v/>
      </c>
      <c r="EG105" s="19" t="str">
        <f t="shared" si="230"/>
        <v/>
      </c>
      <c r="EH105" s="19" t="str">
        <f t="shared" si="231"/>
        <v/>
      </c>
      <c r="EI105" s="19" t="str">
        <f t="shared" si="232"/>
        <v/>
      </c>
      <c r="EJ105" s="19" t="str">
        <f t="shared" si="405"/>
        <v/>
      </c>
      <c r="EK105" s="19" t="str">
        <f t="shared" si="406"/>
        <v/>
      </c>
      <c r="EL105" s="19" t="str">
        <f t="shared" si="233"/>
        <v/>
      </c>
      <c r="EM105" s="19" t="str">
        <f t="shared" si="234"/>
        <v/>
      </c>
      <c r="EN105" s="19" t="str">
        <f t="shared" si="235"/>
        <v/>
      </c>
      <c r="EO105" s="19" t="str">
        <f t="shared" si="236"/>
        <v/>
      </c>
      <c r="EP105" s="19" t="str">
        <f t="shared" si="237"/>
        <v/>
      </c>
      <c r="EQ105" s="19" t="e">
        <f t="shared" si="238"/>
        <v>#N/A</v>
      </c>
      <c r="ER105" s="11" t="str">
        <f t="shared" si="328"/>
        <v/>
      </c>
      <c r="ES105" s="19" t="str">
        <f t="shared" si="329"/>
        <v/>
      </c>
      <c r="ET105" s="156" t="str">
        <f t="shared" si="407"/>
        <v/>
      </c>
      <c r="EU105" s="39" t="str">
        <f t="shared" si="239"/>
        <v/>
      </c>
      <c r="EV105" s="74" t="str">
        <f t="shared" si="408"/>
        <v/>
      </c>
      <c r="FA105" s="196"/>
      <c r="FB105" s="84" t="e">
        <f>IF(AND(Include_study?="Yes",Sufficient_data="Yes",Moderator&lt;&gt;""),'Moderator Analysis'!E105,NA())</f>
        <v>#N/A</v>
      </c>
      <c r="FC105" s="39" t="e">
        <f>IF(AND(Include_study?="Yes",Sufficient_data="Yes",Moderator&lt;&gt;""),'Moderator Analysis'!F105,NA())</f>
        <v>#N/A</v>
      </c>
      <c r="FD105" s="39" t="str">
        <f t="shared" si="409"/>
        <v/>
      </c>
      <c r="FE105" s="39" t="str">
        <f t="shared" si="410"/>
        <v/>
      </c>
      <c r="FF105" s="39" t="str">
        <f>IF(AND(Include_study?="Yes",Sufficient_data="Yes",Moderator&lt;&gt;""),'Moderator Analysis'!F:F-FP$2,"")</f>
        <v/>
      </c>
      <c r="FG105" s="39" t="str">
        <f>IF(AND(Include_study?="Yes",Sufficient_data="Yes",Moderator&lt;&gt;""),'Moderator Analysis'!E:E-FP$3,"")</f>
        <v/>
      </c>
      <c r="FH105" s="74" t="str">
        <f>IF(AND(Include_study?="Yes",Sufficient_data="Yes",Moderator&lt;&gt;""),FE:FE*('Moderator Analysis'!F:F-FP$5-FP$4*'Moderator Analysis'!E:E)^2,"")</f>
        <v/>
      </c>
      <c r="FI105" s="128"/>
      <c r="FJ105" s="92" t="str">
        <f t="shared" si="411"/>
        <v/>
      </c>
      <c r="FK105" s="137" t="str">
        <f>IF(AND(Include_study?="Yes",Sufficient_data="Yes",Moderator&lt;&gt;""),'Moderator Analysis'!F:F-'Moderator Analysis'!J$37,"")</f>
        <v/>
      </c>
      <c r="FL105" s="137" t="str">
        <f>IF(AND(Include_study?="Yes",Sufficient_data="Yes",Moderator&lt;&gt;""),'Moderator Analysis'!E:E-SUMPRODUCT('Moderator Analysis'!E:E,FJ:FJ)/SUM(FJ:FJ),"")</f>
        <v/>
      </c>
      <c r="FM105" s="95" t="str">
        <f>IF(AND(Include_study?="Yes",Sufficient_data="Yes",Moderator&lt;&gt;""),FJ:FJ*('Moderator Analysis'!F:F-'Moderator Analysis'!J$29-'Moderator Analysis'!J$30*'Moderator Analysis'!E:E)^2,"")</f>
        <v/>
      </c>
      <c r="FR105" s="196"/>
      <c r="FS105" s="182"/>
      <c r="FT10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5" s="39" t="str">
        <f>IF(AND(Include_study?="Yes",Sufficient_data="Yes"),1/('Publication Bias Analysis'!F:F^2+IF(Additional_model="Fixed effect",0,Calculations!GH$12)),"")</f>
        <v/>
      </c>
      <c r="FV105" s="39" t="str">
        <f>IF(AND(Include_study?="Yes",Sufficient_data="Yes"),1/('Publication Bias Analysis'!F:F^2+IF(Additional_model="Fixed effect",0,'Publication Bias Analysis'!L$32)),"")</f>
        <v/>
      </c>
      <c r="FW105" s="39" t="str">
        <f>IF(AND(Include_study?="Yes",Sufficient_data="Yes"),'Publication Bias Analysis'!E:E-'Publication Bias Analysis'!I$37,"")</f>
        <v/>
      </c>
      <c r="FX105" s="39" t="str">
        <f>IF(AND(Include_study?="Yes",Sufficient_data="Yes"),IF(Additional_model="Fixed effect",1/'Publication Bias Analysis'!F:F,1/SQRT('Publication Bias Analysis'!F:F^2+GH$12)),"")</f>
        <v/>
      </c>
      <c r="FY10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5" s="136" t="str">
        <f t="shared" si="412"/>
        <v/>
      </c>
      <c r="GA105" s="144" t="str">
        <f>IF(AND(Include_study?="Yes",Sufficient_data="Yes"),FZ:FZ+IF(GL:GL&lt;0,-1,1)*COUNTIF(FZ$2:FZ104,FZ:FZ),"")</f>
        <v/>
      </c>
      <c r="GB105" s="144" t="str">
        <f>IF(AND(Include_study?="Yes",Sufficient_data="Yes"),RANK(GP:GP,GP:GP,1)*IF(GO:GO&lt;0,-1,1)+IF(GO:GO&lt;0,-1,1)*COUNTIF(FZ$2:FZ104,FZ:FZ),"")</f>
        <v/>
      </c>
      <c r="GC105" s="144" t="str">
        <f>IF(AND(Include_study?="Yes",Sufficient_data="Yes"),RANK(GS:GS,GS:GS,1)*IF(GR:GR&lt;0,-1,1)+IF(GR:GR&lt;0,-1,1)*COUNTIF(FZ$2:FZ104,FZ:FZ),"")</f>
        <v/>
      </c>
      <c r="GD105" s="39" t="e">
        <f>IF(AND(Include_study?="Yes",Sufficient_data="Yes"),'Publication Bias Analysis'!E105,NA())</f>
        <v>#N/A</v>
      </c>
      <c r="GE105" s="74" t="e">
        <f>IF(AND(Include_study?="Yes",Sufficient_data="Yes"),'Publication Bias Analysis'!F105,NA())</f>
        <v>#N/A</v>
      </c>
      <c r="GK105" s="176"/>
      <c r="GL10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5" s="39" t="str">
        <f t="shared" si="413"/>
        <v/>
      </c>
      <c r="GN10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5" s="39" t="str">
        <f>IF(AND(Include_study?="Yes",Sufficient_data="Yes"),IF('Publication Bias Analysis'!L$38="Left",'Publication Bias Analysis'!E:E-GW$3,GW$3-'Publication Bias Analysis'!E:E),"")</f>
        <v/>
      </c>
      <c r="GP105" s="39" t="str">
        <f t="shared" ref="GP105:GP115" si="421">IF(GO105&lt;&gt;"",ABS(GO105),"")</f>
        <v/>
      </c>
      <c r="GQ10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5" s="39" t="str">
        <f>IF(AND(Include_study?="Yes",Sufficient_data="Yes"),IF('Publication Bias Analysis'!L$38="Left",'Publication Bias Analysis'!E:E-GW$10,GW$10-'Publication Bias Analysis'!E:E),"")</f>
        <v/>
      </c>
      <c r="GS105" s="39" t="str">
        <f t="shared" ref="GS105:GS115" si="422">IF(GR105&lt;&gt;"",ABS(GR105),"")</f>
        <v/>
      </c>
      <c r="GT10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5" s="176"/>
      <c r="HL105" s="69" t="str">
        <f t="shared" si="319"/>
        <v/>
      </c>
      <c r="HM105" s="74" t="str">
        <f>IF(AND(Include_study?="Yes",Sufficient_data="Yes"),Z_score-('Publication Bias Analysis'!P$3+'Publication Bias Analysis'!P$4*Inverse_standard_error),"")</f>
        <v/>
      </c>
      <c r="HO105" s="176"/>
      <c r="HP105" s="69" t="str">
        <f>IF(AND(Include_study?="Yes",Sufficient_data="Yes"),(GD:GD-SUMPRODUCT(Calculations!FT:FT,'Publication Bias Analysis'!E:E)/SUM(Calculations!FT:FT))/SQRT(Calculations!HQ:HQ),"")</f>
        <v/>
      </c>
      <c r="HQ105" s="69" t="str">
        <f>IF(AND(Include_study?="Yes",Sufficient_data="Yes"),GE:GE^2-1/SUM(Calculations!FT:FT),"")</f>
        <v/>
      </c>
      <c r="HR105" s="7" t="str">
        <f t="shared" si="240"/>
        <v/>
      </c>
      <c r="HS105" s="7" t="str">
        <f t="shared" si="241"/>
        <v/>
      </c>
      <c r="HT105" s="7" t="str">
        <f>IF(AND(Include_study?="Yes",Sufficient_data="Yes"),COUNTIFS(HR$2:HR104,"&lt;"&amp;HR105,HS$2:HS104,"&lt;"&amp;HS105)+COUNTIFS(HR106:HR$201,"&lt;"&amp;HR105,HS106:HS$201,"&lt;"&amp;HS105)+COUNTIFS(HR$2:HR104,"&gt;"&amp;HR105,HS$2:HS104,"&gt;"&amp;HS105)+COUNTIFS(HR106:HR$201,"&gt;"&amp;HR105,HS106:HS$201,"&gt;"&amp;HS105),"")</f>
        <v/>
      </c>
      <c r="HU105" s="104" t="str">
        <f>IF(AND(Include_study?="Yes",Sufficient_data="Yes"),COUNTIFS(HR$2:HR104,"&lt;"&amp;HR105,HS$2:HS104,"&gt;"&amp;HS105)+COUNTIFS(HR106:HR$201,"&lt;"&amp;HR105,HS106:HS$201,"&gt;"&amp;HS105)+COUNTIFS(HR$2:HR104,"&gt;"&amp;HR105,HS$2:HS104,"&lt;"&amp;HS105)+COUNTIFS(HR106:HR$201,"&gt;"&amp;HR105,HS106:HS$201,"&lt;"&amp;HS105),"")</f>
        <v/>
      </c>
      <c r="HW105" s="176"/>
      <c r="IB105" s="176"/>
      <c r="IC105" s="146" t="e">
        <f t="shared" si="414"/>
        <v>#N/A</v>
      </c>
      <c r="ID105" s="137" t="e">
        <f t="shared" si="415"/>
        <v>#N/A</v>
      </c>
      <c r="IE105" s="137" t="str">
        <f t="shared" si="416"/>
        <v/>
      </c>
      <c r="IF105" s="95" t="str">
        <f t="shared" si="417"/>
        <v/>
      </c>
      <c r="IK105" s="176"/>
      <c r="IL105" s="69" t="e">
        <f>IF(AND(Include_study?="Yes",Sufficient_data="Yes"),'Publication Bias Analysis'!AV:AV,NA())</f>
        <v>#N/A</v>
      </c>
      <c r="IM105" s="158" t="e">
        <f>IF(AND(Sufficient_data="Yes",Include_study?="Yes"),'Publication Bias Analysis'!AU:AU,NA())</f>
        <v>#N/A</v>
      </c>
      <c r="IN105" s="69" t="str">
        <f t="shared" si="418"/>
        <v/>
      </c>
      <c r="IO105" s="74" t="str">
        <f>IF(AND(Include_study?="Yes",Sufficient_data="Yes"),Z_score-('Publication Bias Analysis'!AY$30+'Publication Bias Analysis'!AY$31*Inverse_standard_error),"")</f>
        <v/>
      </c>
      <c r="IU105" s="176"/>
      <c r="IV105" s="7" t="str">
        <f>IF('Publication Bias Analysis'!BG:BG&lt;&gt;"",RANK('Publication Bias Analysis'!BG:BG,'Publication Bias Analysis'!BG:BG,1)+COUNTIF('Publication Bias Analysis'!BG$2:BG104,'Publication Bias Analysis'!BG105),"")</f>
        <v/>
      </c>
      <c r="IW105" s="124" t="str">
        <f t="shared" si="419"/>
        <v/>
      </c>
      <c r="IX105" s="125" t="e">
        <f>IF('Publication Bias Analysis'!BF105&lt;&gt;"",'Publication Bias Analysis'!BF105,NA())</f>
        <v>#N/A</v>
      </c>
      <c r="IY105" s="125" t="e">
        <f>IF('Publication Bias Analysis'!BG105&lt;&gt;"",'Publication Bias Analysis'!BG105,NA())</f>
        <v>#N/A</v>
      </c>
      <c r="IZ105" s="69" t="str">
        <f>IF(AND(Include_study?="Yes",Sufficient_data="Yes"),'Publication Bias Analysis'!BF:BF-AVERAGE('Publication Bias Analysis'!BF:BF),"")</f>
        <v/>
      </c>
      <c r="JA105" s="74" t="str">
        <f>IF(AND(Include_study?="Yes",Sufficient_data="Yes"),'Publication Bias Analysis'!BG:BG-('Publication Bias Analysis'!BJ$30+'Publication Bias Analysis'!BJ$31*'Publication Bias Analysis'!BF:BF),"")</f>
        <v/>
      </c>
      <c r="JG105" s="176"/>
      <c r="JH105" s="39" t="str">
        <f t="shared" si="420"/>
        <v/>
      </c>
      <c r="JI105" s="148" t="str">
        <f t="shared" si="332"/>
        <v/>
      </c>
      <c r="JJ105" s="74" t="str">
        <f t="shared" si="333"/>
        <v/>
      </c>
    </row>
    <row r="106" spans="1:270" x14ac:dyDescent="0.2">
      <c r="A106" s="56" t="str">
        <f t="shared" si="334"/>
        <v/>
      </c>
      <c r="B106" s="7" t="str">
        <f>IF(AND(Include_study?="Yes",Sufficient_data="Yes"),IF(Input!a_&lt;&gt;"",Input!a_,Input!n1_-Input!b_),"")</f>
        <v/>
      </c>
      <c r="C106" s="7" t="str">
        <f>IF(AND(Include_study?="Yes",Sufficient_data="Yes"),IF(Input!b_&lt;&gt;"",Input!b_,Input!n1_-Input!a_),"")</f>
        <v/>
      </c>
      <c r="D106" s="7" t="str">
        <f>IF(AND(Include_study?="Yes",Sufficient_data="Yes"),IF(Input!c_&lt;&gt;"",Input!c_,Input!n2_-Input!d_),"")</f>
        <v/>
      </c>
      <c r="E106" s="7" t="str">
        <f>IF(AND(Include_study?="Yes",Sufficient_data="Yes"),IF(Input!d_&lt;&gt;"",Input!d_,Input!n2_-Input!c_),"")</f>
        <v/>
      </c>
      <c r="F106" s="74" t="str">
        <f t="shared" si="335"/>
        <v/>
      </c>
      <c r="H106" s="196"/>
      <c r="I106" s="182"/>
      <c r="J106" s="146" t="str">
        <f t="shared" si="245"/>
        <v/>
      </c>
      <c r="K106" s="39" t="str">
        <f t="shared" si="336"/>
        <v/>
      </c>
      <c r="L106" s="39" t="str">
        <f t="shared" si="337"/>
        <v/>
      </c>
      <c r="M106" s="39" t="str">
        <f t="shared" si="338"/>
        <v/>
      </c>
      <c r="N106" s="74" t="str">
        <f t="shared" si="339"/>
        <v/>
      </c>
      <c r="P106" s="176"/>
      <c r="Q106" s="130" t="str">
        <f t="shared" si="340"/>
        <v/>
      </c>
      <c r="R106" s="39" t="str">
        <f t="shared" si="341"/>
        <v/>
      </c>
      <c r="S106" s="39" t="str">
        <f t="shared" si="342"/>
        <v/>
      </c>
      <c r="T106" s="74" t="str">
        <f t="shared" si="343"/>
        <v/>
      </c>
      <c r="V106" s="176"/>
      <c r="W106" s="130" t="str">
        <f t="shared" si="344"/>
        <v/>
      </c>
      <c r="X106" s="39" t="str">
        <f t="shared" si="345"/>
        <v/>
      </c>
      <c r="Y106" s="39" t="str">
        <f t="shared" si="346"/>
        <v/>
      </c>
      <c r="Z106" s="74" t="str">
        <f t="shared" si="347"/>
        <v/>
      </c>
      <c r="AB106" s="176"/>
      <c r="AC106" s="130" t="str">
        <f t="shared" si="348"/>
        <v/>
      </c>
      <c r="AD106" s="39" t="str">
        <f t="shared" si="349"/>
        <v/>
      </c>
      <c r="AE106" s="39" t="str">
        <f t="shared" si="350"/>
        <v/>
      </c>
      <c r="AF106" s="39" t="str">
        <f t="shared" si="351"/>
        <v/>
      </c>
      <c r="AG106" s="74" t="str">
        <f t="shared" si="352"/>
        <v/>
      </c>
      <c r="AI106" s="196"/>
      <c r="AJ10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6" s="136" t="str">
        <f>IF(AJ106&lt;&gt;"",IF(AJ106=0,COUNTIF(AJ$2:AJ105,0)+1,COUNTIF(AJ$2:AJ105,AJ106)+AJ106+COUNTIF(AJ:AJ,0)),"")</f>
        <v/>
      </c>
      <c r="AL106" s="136" t="str">
        <f t="shared" si="263"/>
        <v/>
      </c>
      <c r="AM106" s="155" t="str">
        <f>IF(AND(Include_study?="Yes",Sufficient_data="Yes",Input!Study_name&lt;&gt;""),Input!Study_name,"")</f>
        <v/>
      </c>
      <c r="AN106" s="136" t="str">
        <f t="shared" si="264"/>
        <v/>
      </c>
      <c r="AO106" s="19" t="str">
        <f t="shared" si="353"/>
        <v/>
      </c>
      <c r="AP106" s="158" t="str">
        <f t="shared" si="354"/>
        <v/>
      </c>
      <c r="AQ106" s="158" t="str">
        <f t="shared" si="355"/>
        <v/>
      </c>
      <c r="AR106" s="39" t="str">
        <f t="shared" si="356"/>
        <v/>
      </c>
      <c r="AS106" s="158" t="str">
        <f t="shared" si="357"/>
        <v/>
      </c>
      <c r="AT106" s="39" t="str">
        <f t="shared" si="358"/>
        <v/>
      </c>
      <c r="AU106" s="172" t="str">
        <f t="shared" si="359"/>
        <v/>
      </c>
      <c r="AV106" s="45"/>
      <c r="AW106" s="84" t="e">
        <f t="shared" si="360"/>
        <v>#N/A</v>
      </c>
      <c r="AX106" s="69" t="e">
        <f t="shared" si="361"/>
        <v>#N/A</v>
      </c>
      <c r="AY106" s="74" t="e">
        <f t="shared" si="362"/>
        <v>#N/A</v>
      </c>
      <c r="AZ106" s="45"/>
      <c r="BA106" s="45"/>
      <c r="BB106" s="45"/>
      <c r="BC106" s="45"/>
      <c r="BD106" s="196"/>
      <c r="BE106" s="182"/>
      <c r="BF106" s="69" t="str">
        <f t="shared" si="363"/>
        <v/>
      </c>
      <c r="BG106" s="69" t="str">
        <f t="shared" si="364"/>
        <v/>
      </c>
      <c r="BH106" s="69" t="str">
        <f t="shared" si="365"/>
        <v/>
      </c>
      <c r="BI106" s="39" t="str">
        <f t="shared" si="366"/>
        <v/>
      </c>
      <c r="BJ106" s="95" t="str">
        <f t="shared" si="367"/>
        <v/>
      </c>
      <c r="BO106" s="176"/>
      <c r="BP106" s="158" t="str">
        <f t="shared" si="368"/>
        <v/>
      </c>
      <c r="BQ106" s="158" t="str">
        <f t="shared" si="369"/>
        <v/>
      </c>
      <c r="BR106" s="158" t="str">
        <f t="shared" si="370"/>
        <v/>
      </c>
      <c r="BS106" s="158" t="str">
        <f>IF(AND(Sufficient_data="Yes",Include_study?="Yes"),IF(Add_0_5="Yes",(a_+d_+1)*(ab_+0.5)*(c_+0.5)/(Number_of_subjects+2)^2,(a_+d_)*b_*c_/Number_of_subjects^2),"")</f>
        <v/>
      </c>
      <c r="BT106" s="158" t="str">
        <f t="shared" si="371"/>
        <v/>
      </c>
      <c r="BU106" s="158" t="str">
        <f t="shared" si="372"/>
        <v/>
      </c>
      <c r="BV106" s="158" t="str">
        <f t="shared" si="373"/>
        <v/>
      </c>
      <c r="BW106" s="69" t="str">
        <f t="shared" si="374"/>
        <v/>
      </c>
      <c r="BX106" s="137" t="str">
        <f t="shared" si="375"/>
        <v/>
      </c>
      <c r="BY106" s="95" t="str">
        <f t="shared" si="376"/>
        <v/>
      </c>
      <c r="CD106" s="176"/>
      <c r="CE106" s="130" t="str">
        <f t="shared" si="377"/>
        <v/>
      </c>
      <c r="CF106" s="39" t="str">
        <f t="shared" si="378"/>
        <v/>
      </c>
      <c r="CG106" s="39" t="str">
        <f t="shared" si="379"/>
        <v/>
      </c>
      <c r="CH106" s="39" t="str">
        <f t="shared" si="380"/>
        <v/>
      </c>
      <c r="CI106" s="39" t="str">
        <f t="shared" si="381"/>
        <v/>
      </c>
      <c r="CJ106" s="39" t="str">
        <f t="shared" si="287"/>
        <v/>
      </c>
      <c r="CK106" s="95" t="str">
        <f t="shared" si="382"/>
        <v/>
      </c>
      <c r="CP106" s="176"/>
      <c r="CQ106" s="99" t="str">
        <f t="shared" si="383"/>
        <v/>
      </c>
      <c r="CX106" s="196"/>
      <c r="CY106" s="89" t="e">
        <f t="shared" si="384"/>
        <v>#N/A</v>
      </c>
      <c r="CZ106" s="136" t="str">
        <f t="shared" si="385"/>
        <v/>
      </c>
      <c r="DA106" s="140" t="str">
        <f t="shared" si="386"/>
        <v/>
      </c>
      <c r="DB106" s="39" t="str">
        <f t="shared" si="387"/>
        <v/>
      </c>
      <c r="DC106" s="39" t="str">
        <f t="shared" si="388"/>
        <v/>
      </c>
      <c r="DD106" s="39" t="str">
        <f t="shared" si="389"/>
        <v/>
      </c>
      <c r="DE106" s="39" t="str">
        <f t="shared" si="390"/>
        <v/>
      </c>
      <c r="DF106" s="141" t="str">
        <f t="shared" si="391"/>
        <v/>
      </c>
      <c r="DG106" s="39" t="str">
        <f t="shared" si="392"/>
        <v/>
      </c>
      <c r="DH106" s="39" t="str">
        <f t="shared" si="393"/>
        <v/>
      </c>
      <c r="DI106" s="39" t="str">
        <f t="shared" si="394"/>
        <v/>
      </c>
      <c r="DJ106" s="74" t="str">
        <f t="shared" si="395"/>
        <v/>
      </c>
      <c r="DK106" s="45"/>
      <c r="DL106" s="84" t="e">
        <f t="shared" si="222"/>
        <v>#N/A</v>
      </c>
      <c r="DM106" s="39" t="e">
        <f t="shared" si="396"/>
        <v>#N/A</v>
      </c>
      <c r="DN106" s="74" t="e">
        <f t="shared" si="397"/>
        <v>#N/A</v>
      </c>
      <c r="DO106" s="45"/>
      <c r="DP106" s="89" t="str">
        <f t="shared" si="326"/>
        <v/>
      </c>
      <c r="DQ106" s="26" t="str">
        <f>IF(AND(Sufficient_data="Yes",Subgroup&lt;&gt;""),IF(COUNTIFS(Input!J$2:J105,"="&amp;"Yes",Input!C$2:C105,"="&amp;"Yes",Input!K$2:K105,"="&amp;Subgroup)&gt;0,"",Subgroup),"")</f>
        <v/>
      </c>
      <c r="DR106" s="7" t="str">
        <f t="shared" si="327"/>
        <v/>
      </c>
      <c r="DS106" s="7" t="str">
        <f t="shared" si="398"/>
        <v/>
      </c>
      <c r="DT106" s="19" t="str">
        <f t="shared" si="399"/>
        <v/>
      </c>
      <c r="DU106" s="12" t="str">
        <f t="shared" si="223"/>
        <v/>
      </c>
      <c r="DV106" s="11" t="str">
        <f t="shared" si="224"/>
        <v/>
      </c>
      <c r="DW106" s="12" t="str">
        <f t="shared" si="225"/>
        <v/>
      </c>
      <c r="DX106" s="12" t="str">
        <f t="shared" si="400"/>
        <v/>
      </c>
      <c r="DY106" s="19" t="str">
        <f t="shared" si="226"/>
        <v/>
      </c>
      <c r="DZ106" s="12" t="str">
        <f t="shared" si="227"/>
        <v/>
      </c>
      <c r="EA106" s="19" t="str">
        <f t="shared" si="401"/>
        <v/>
      </c>
      <c r="EB106" s="7" t="str">
        <f t="shared" si="402"/>
        <v/>
      </c>
      <c r="EC106" s="19" t="str">
        <f t="shared" si="403"/>
        <v/>
      </c>
      <c r="ED106" s="19" t="str">
        <f t="shared" si="404"/>
        <v/>
      </c>
      <c r="EE106" s="19" t="str">
        <f t="shared" si="228"/>
        <v/>
      </c>
      <c r="EF106" s="19" t="str">
        <f t="shared" si="229"/>
        <v/>
      </c>
      <c r="EG106" s="19" t="str">
        <f t="shared" si="230"/>
        <v/>
      </c>
      <c r="EH106" s="19" t="str">
        <f t="shared" si="231"/>
        <v/>
      </c>
      <c r="EI106" s="19" t="str">
        <f t="shared" si="232"/>
        <v/>
      </c>
      <c r="EJ106" s="19" t="str">
        <f t="shared" si="405"/>
        <v/>
      </c>
      <c r="EK106" s="19" t="str">
        <f t="shared" si="406"/>
        <v/>
      </c>
      <c r="EL106" s="19" t="str">
        <f t="shared" si="233"/>
        <v/>
      </c>
      <c r="EM106" s="19" t="str">
        <f t="shared" si="234"/>
        <v/>
      </c>
      <c r="EN106" s="19" t="str">
        <f t="shared" si="235"/>
        <v/>
      </c>
      <c r="EO106" s="19" t="str">
        <f t="shared" si="236"/>
        <v/>
      </c>
      <c r="EP106" s="19" t="str">
        <f t="shared" si="237"/>
        <v/>
      </c>
      <c r="EQ106" s="19" t="e">
        <f t="shared" si="238"/>
        <v>#N/A</v>
      </c>
      <c r="ER106" s="11" t="str">
        <f t="shared" si="328"/>
        <v/>
      </c>
      <c r="ES106" s="19" t="str">
        <f t="shared" si="329"/>
        <v/>
      </c>
      <c r="ET106" s="156" t="str">
        <f t="shared" si="407"/>
        <v/>
      </c>
      <c r="EU106" s="39" t="str">
        <f t="shared" si="239"/>
        <v/>
      </c>
      <c r="EV106" s="74" t="str">
        <f t="shared" si="408"/>
        <v/>
      </c>
      <c r="FA106" s="196"/>
      <c r="FB106" s="84" t="e">
        <f>IF(AND(Include_study?="Yes",Sufficient_data="Yes",Moderator&lt;&gt;""),'Moderator Analysis'!E106,NA())</f>
        <v>#N/A</v>
      </c>
      <c r="FC106" s="39" t="e">
        <f>IF(AND(Include_study?="Yes",Sufficient_data="Yes",Moderator&lt;&gt;""),'Moderator Analysis'!F106,NA())</f>
        <v>#N/A</v>
      </c>
      <c r="FD106" s="39" t="str">
        <f t="shared" si="409"/>
        <v/>
      </c>
      <c r="FE106" s="39" t="str">
        <f t="shared" si="410"/>
        <v/>
      </c>
      <c r="FF106" s="39" t="str">
        <f>IF(AND(Include_study?="Yes",Sufficient_data="Yes",Moderator&lt;&gt;""),'Moderator Analysis'!F:F-FP$2,"")</f>
        <v/>
      </c>
      <c r="FG106" s="39" t="str">
        <f>IF(AND(Include_study?="Yes",Sufficient_data="Yes",Moderator&lt;&gt;""),'Moderator Analysis'!E:E-FP$3,"")</f>
        <v/>
      </c>
      <c r="FH106" s="74" t="str">
        <f>IF(AND(Include_study?="Yes",Sufficient_data="Yes",Moderator&lt;&gt;""),FE:FE*('Moderator Analysis'!F:F-FP$5-FP$4*'Moderator Analysis'!E:E)^2,"")</f>
        <v/>
      </c>
      <c r="FI106" s="128"/>
      <c r="FJ106" s="92" t="str">
        <f t="shared" si="411"/>
        <v/>
      </c>
      <c r="FK106" s="137" t="str">
        <f>IF(AND(Include_study?="Yes",Sufficient_data="Yes",Moderator&lt;&gt;""),'Moderator Analysis'!F:F-'Moderator Analysis'!J$37,"")</f>
        <v/>
      </c>
      <c r="FL106" s="137" t="str">
        <f>IF(AND(Include_study?="Yes",Sufficient_data="Yes",Moderator&lt;&gt;""),'Moderator Analysis'!E:E-SUMPRODUCT('Moderator Analysis'!E:E,FJ:FJ)/SUM(FJ:FJ),"")</f>
        <v/>
      </c>
      <c r="FM106" s="95" t="str">
        <f>IF(AND(Include_study?="Yes",Sufficient_data="Yes",Moderator&lt;&gt;""),FJ:FJ*('Moderator Analysis'!F:F-'Moderator Analysis'!J$29-'Moderator Analysis'!J$30*'Moderator Analysis'!E:E)^2,"")</f>
        <v/>
      </c>
      <c r="FR106" s="196"/>
      <c r="FS106" s="182"/>
      <c r="FT10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6" s="39" t="str">
        <f>IF(AND(Include_study?="Yes",Sufficient_data="Yes"),1/('Publication Bias Analysis'!F:F^2+IF(Additional_model="Fixed effect",0,Calculations!GH$12)),"")</f>
        <v/>
      </c>
      <c r="FV106" s="39" t="str">
        <f>IF(AND(Include_study?="Yes",Sufficient_data="Yes"),1/('Publication Bias Analysis'!F:F^2+IF(Additional_model="Fixed effect",0,'Publication Bias Analysis'!L$32)),"")</f>
        <v/>
      </c>
      <c r="FW106" s="39" t="str">
        <f>IF(AND(Include_study?="Yes",Sufficient_data="Yes"),'Publication Bias Analysis'!E:E-'Publication Bias Analysis'!I$37,"")</f>
        <v/>
      </c>
      <c r="FX106" s="39" t="str">
        <f>IF(AND(Include_study?="Yes",Sufficient_data="Yes"),IF(Additional_model="Fixed effect",1/'Publication Bias Analysis'!F:F,1/SQRT('Publication Bias Analysis'!F:F^2+GH$12)),"")</f>
        <v/>
      </c>
      <c r="FY10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6" s="136" t="str">
        <f t="shared" si="412"/>
        <v/>
      </c>
      <c r="GA106" s="144" t="str">
        <f>IF(AND(Include_study?="Yes",Sufficient_data="Yes"),FZ:FZ+IF(GL:GL&lt;0,-1,1)*COUNTIF(FZ$2:FZ105,FZ:FZ),"")</f>
        <v/>
      </c>
      <c r="GB106" s="144" t="str">
        <f>IF(AND(Include_study?="Yes",Sufficient_data="Yes"),RANK(GP:GP,GP:GP,1)*IF(GO:GO&lt;0,-1,1)+IF(GO:GO&lt;0,-1,1)*COUNTIF(FZ$2:FZ105,FZ:FZ),"")</f>
        <v/>
      </c>
      <c r="GC106" s="144" t="str">
        <f>IF(AND(Include_study?="Yes",Sufficient_data="Yes"),RANK(GS:GS,GS:GS,1)*IF(GR:GR&lt;0,-1,1)+IF(GR:GR&lt;0,-1,1)*COUNTIF(FZ$2:FZ105,FZ:FZ),"")</f>
        <v/>
      </c>
      <c r="GD106" s="39" t="e">
        <f>IF(AND(Include_study?="Yes",Sufficient_data="Yes"),'Publication Bias Analysis'!E106,NA())</f>
        <v>#N/A</v>
      </c>
      <c r="GE106" s="74" t="e">
        <f>IF(AND(Include_study?="Yes",Sufficient_data="Yes"),'Publication Bias Analysis'!F106,NA())</f>
        <v>#N/A</v>
      </c>
      <c r="GK106" s="176"/>
      <c r="GL10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6" s="39" t="str">
        <f t="shared" si="413"/>
        <v/>
      </c>
      <c r="GN10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6" s="39" t="str">
        <f>IF(AND(Include_study?="Yes",Sufficient_data="Yes"),IF('Publication Bias Analysis'!L$38="Left",'Publication Bias Analysis'!E:E-GW$3,GW$3-'Publication Bias Analysis'!E:E),"")</f>
        <v/>
      </c>
      <c r="GP106" s="39" t="str">
        <f t="shared" si="421"/>
        <v/>
      </c>
      <c r="GQ10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6" s="39" t="str">
        <f>IF(AND(Include_study?="Yes",Sufficient_data="Yes"),IF('Publication Bias Analysis'!L$38="Left",'Publication Bias Analysis'!E:E-GW$10,GW$10-'Publication Bias Analysis'!E:E),"")</f>
        <v/>
      </c>
      <c r="GS106" s="39" t="str">
        <f t="shared" si="422"/>
        <v/>
      </c>
      <c r="GT10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6" s="176"/>
      <c r="HL106" s="69" t="str">
        <f t="shared" si="319"/>
        <v/>
      </c>
      <c r="HM106" s="74" t="str">
        <f>IF(AND(Include_study?="Yes",Sufficient_data="Yes"),Z_score-('Publication Bias Analysis'!P$3+'Publication Bias Analysis'!P$4*Inverse_standard_error),"")</f>
        <v/>
      </c>
      <c r="HO106" s="176"/>
      <c r="HP106" s="69" t="str">
        <f>IF(AND(Include_study?="Yes",Sufficient_data="Yes"),(GD:GD-SUMPRODUCT(Calculations!FT:FT,'Publication Bias Analysis'!E:E)/SUM(Calculations!FT:FT))/SQRT(Calculations!HQ:HQ),"")</f>
        <v/>
      </c>
      <c r="HQ106" s="69" t="str">
        <f>IF(AND(Include_study?="Yes",Sufficient_data="Yes"),GE:GE^2-1/SUM(Calculations!FT:FT),"")</f>
        <v/>
      </c>
      <c r="HR106" s="7" t="str">
        <f t="shared" si="240"/>
        <v/>
      </c>
      <c r="HS106" s="7" t="str">
        <f t="shared" si="241"/>
        <v/>
      </c>
      <c r="HT106" s="7" t="str">
        <f>IF(AND(Include_study?="Yes",Sufficient_data="Yes"),COUNTIFS(HR$2:HR105,"&lt;"&amp;HR106,HS$2:HS105,"&lt;"&amp;HS106)+COUNTIFS(HR107:HR$201,"&lt;"&amp;HR106,HS107:HS$201,"&lt;"&amp;HS106)+COUNTIFS(HR$2:HR105,"&gt;"&amp;HR106,HS$2:HS105,"&gt;"&amp;HS106)+COUNTIFS(HR107:HR$201,"&gt;"&amp;HR106,HS107:HS$201,"&gt;"&amp;HS106),"")</f>
        <v/>
      </c>
      <c r="HU106" s="104" t="str">
        <f>IF(AND(Include_study?="Yes",Sufficient_data="Yes"),COUNTIFS(HR$2:HR105,"&lt;"&amp;HR106,HS$2:HS105,"&gt;"&amp;HS106)+COUNTIFS(HR107:HR$201,"&lt;"&amp;HR106,HS107:HS$201,"&gt;"&amp;HS106)+COUNTIFS(HR$2:HR105,"&gt;"&amp;HR106,HS$2:HS105,"&lt;"&amp;HS106)+COUNTIFS(HR107:HR$201,"&gt;"&amp;HR106,HS107:HS$201,"&lt;"&amp;HS106),"")</f>
        <v/>
      </c>
      <c r="HW106" s="176"/>
      <c r="IB106" s="176"/>
      <c r="IC106" s="146" t="e">
        <f t="shared" si="414"/>
        <v>#N/A</v>
      </c>
      <c r="ID106" s="137" t="e">
        <f t="shared" si="415"/>
        <v>#N/A</v>
      </c>
      <c r="IE106" s="137" t="str">
        <f t="shared" si="416"/>
        <v/>
      </c>
      <c r="IF106" s="95" t="str">
        <f t="shared" si="417"/>
        <v/>
      </c>
      <c r="IK106" s="176"/>
      <c r="IL106" s="69" t="e">
        <f>IF(AND(Include_study?="Yes",Sufficient_data="Yes"),'Publication Bias Analysis'!AV:AV,NA())</f>
        <v>#N/A</v>
      </c>
      <c r="IM106" s="158" t="e">
        <f>IF(AND(Sufficient_data="Yes",Include_study?="Yes"),'Publication Bias Analysis'!AU:AU,NA())</f>
        <v>#N/A</v>
      </c>
      <c r="IN106" s="69" t="str">
        <f t="shared" si="418"/>
        <v/>
      </c>
      <c r="IO106" s="74" t="str">
        <f>IF(AND(Include_study?="Yes",Sufficient_data="Yes"),Z_score-('Publication Bias Analysis'!AY$30+'Publication Bias Analysis'!AY$31*Inverse_standard_error),"")</f>
        <v/>
      </c>
      <c r="IU106" s="176"/>
      <c r="IV106" s="7" t="str">
        <f>IF('Publication Bias Analysis'!BG:BG&lt;&gt;"",RANK('Publication Bias Analysis'!BG:BG,'Publication Bias Analysis'!BG:BG,1)+COUNTIF('Publication Bias Analysis'!BG$2:BG105,'Publication Bias Analysis'!BG106),"")</f>
        <v/>
      </c>
      <c r="IW106" s="124" t="str">
        <f t="shared" si="419"/>
        <v/>
      </c>
      <c r="IX106" s="125" t="e">
        <f>IF('Publication Bias Analysis'!BF106&lt;&gt;"",'Publication Bias Analysis'!BF106,NA())</f>
        <v>#N/A</v>
      </c>
      <c r="IY106" s="125" t="e">
        <f>IF('Publication Bias Analysis'!BG106&lt;&gt;"",'Publication Bias Analysis'!BG106,NA())</f>
        <v>#N/A</v>
      </c>
      <c r="IZ106" s="69" t="str">
        <f>IF(AND(Include_study?="Yes",Sufficient_data="Yes"),'Publication Bias Analysis'!BF:BF-AVERAGE('Publication Bias Analysis'!BF:BF),"")</f>
        <v/>
      </c>
      <c r="JA106" s="74" t="str">
        <f>IF(AND(Include_study?="Yes",Sufficient_data="Yes"),'Publication Bias Analysis'!BG:BG-('Publication Bias Analysis'!BJ$30+'Publication Bias Analysis'!BJ$31*'Publication Bias Analysis'!BF:BF),"")</f>
        <v/>
      </c>
      <c r="JG106" s="176"/>
      <c r="JH106" s="39" t="str">
        <f t="shared" si="420"/>
        <v/>
      </c>
      <c r="JI106" s="148" t="str">
        <f t="shared" si="332"/>
        <v/>
      </c>
      <c r="JJ106" s="74" t="str">
        <f t="shared" si="333"/>
        <v/>
      </c>
    </row>
    <row r="107" spans="1:270" x14ac:dyDescent="0.2">
      <c r="A107" s="56" t="str">
        <f t="shared" si="334"/>
        <v/>
      </c>
      <c r="B107" s="7" t="str">
        <f>IF(AND(Include_study?="Yes",Sufficient_data="Yes"),IF(Input!a_&lt;&gt;"",Input!a_,Input!n1_-Input!b_),"")</f>
        <v/>
      </c>
      <c r="C107" s="7" t="str">
        <f>IF(AND(Include_study?="Yes",Sufficient_data="Yes"),IF(Input!b_&lt;&gt;"",Input!b_,Input!n1_-Input!a_),"")</f>
        <v/>
      </c>
      <c r="D107" s="7" t="str">
        <f>IF(AND(Include_study?="Yes",Sufficient_data="Yes"),IF(Input!c_&lt;&gt;"",Input!c_,Input!n2_-Input!d_),"")</f>
        <v/>
      </c>
      <c r="E107" s="7" t="str">
        <f>IF(AND(Include_study?="Yes",Sufficient_data="Yes"),IF(Input!d_&lt;&gt;"",Input!d_,Input!n2_-Input!c_),"")</f>
        <v/>
      </c>
      <c r="F107" s="74" t="str">
        <f t="shared" si="335"/>
        <v/>
      </c>
      <c r="H107" s="196"/>
      <c r="I107" s="182"/>
      <c r="J107" s="146" t="str">
        <f t="shared" si="245"/>
        <v/>
      </c>
      <c r="K107" s="39" t="str">
        <f t="shared" si="336"/>
        <v/>
      </c>
      <c r="L107" s="39" t="str">
        <f t="shared" si="337"/>
        <v/>
      </c>
      <c r="M107" s="39" t="str">
        <f t="shared" si="338"/>
        <v/>
      </c>
      <c r="N107" s="74" t="str">
        <f t="shared" si="339"/>
        <v/>
      </c>
      <c r="P107" s="176"/>
      <c r="Q107" s="130" t="str">
        <f t="shared" si="340"/>
        <v/>
      </c>
      <c r="R107" s="39" t="str">
        <f t="shared" si="341"/>
        <v/>
      </c>
      <c r="S107" s="39" t="str">
        <f t="shared" si="342"/>
        <v/>
      </c>
      <c r="T107" s="74" t="str">
        <f t="shared" si="343"/>
        <v/>
      </c>
      <c r="V107" s="176"/>
      <c r="W107" s="130" t="str">
        <f t="shared" si="344"/>
        <v/>
      </c>
      <c r="X107" s="39" t="str">
        <f t="shared" si="345"/>
        <v/>
      </c>
      <c r="Y107" s="39" t="str">
        <f t="shared" si="346"/>
        <v/>
      </c>
      <c r="Z107" s="74" t="str">
        <f t="shared" si="347"/>
        <v/>
      </c>
      <c r="AB107" s="176"/>
      <c r="AC107" s="130" t="str">
        <f t="shared" si="348"/>
        <v/>
      </c>
      <c r="AD107" s="39" t="str">
        <f t="shared" si="349"/>
        <v/>
      </c>
      <c r="AE107" s="39" t="str">
        <f t="shared" si="350"/>
        <v/>
      </c>
      <c r="AF107" s="39" t="str">
        <f t="shared" si="351"/>
        <v/>
      </c>
      <c r="AG107" s="74" t="str">
        <f t="shared" si="352"/>
        <v/>
      </c>
      <c r="AI107" s="196"/>
      <c r="AJ10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7" s="136" t="str">
        <f>IF(AJ107&lt;&gt;"",IF(AJ107=0,COUNTIF(AJ$2:AJ106,0)+1,COUNTIF(AJ$2:AJ106,AJ107)+AJ107+COUNTIF(AJ:AJ,0)),"")</f>
        <v/>
      </c>
      <c r="AL107" s="136" t="str">
        <f t="shared" si="263"/>
        <v/>
      </c>
      <c r="AM107" s="155" t="str">
        <f>IF(AND(Include_study?="Yes",Sufficient_data="Yes",Input!Study_name&lt;&gt;""),Input!Study_name,"")</f>
        <v/>
      </c>
      <c r="AN107" s="136" t="str">
        <f t="shared" si="264"/>
        <v/>
      </c>
      <c r="AO107" s="19" t="str">
        <f t="shared" si="353"/>
        <v/>
      </c>
      <c r="AP107" s="158" t="str">
        <f t="shared" si="354"/>
        <v/>
      </c>
      <c r="AQ107" s="158" t="str">
        <f t="shared" si="355"/>
        <v/>
      </c>
      <c r="AR107" s="39" t="str">
        <f t="shared" si="356"/>
        <v/>
      </c>
      <c r="AS107" s="158" t="str">
        <f t="shared" si="357"/>
        <v/>
      </c>
      <c r="AT107" s="39" t="str">
        <f t="shared" si="358"/>
        <v/>
      </c>
      <c r="AU107" s="172" t="str">
        <f t="shared" si="359"/>
        <v/>
      </c>
      <c r="AV107" s="45"/>
      <c r="AW107" s="84" t="e">
        <f t="shared" si="360"/>
        <v>#N/A</v>
      </c>
      <c r="AX107" s="69" t="e">
        <f t="shared" si="361"/>
        <v>#N/A</v>
      </c>
      <c r="AY107" s="74" t="e">
        <f t="shared" si="362"/>
        <v>#N/A</v>
      </c>
      <c r="AZ107" s="45"/>
      <c r="BA107" s="45"/>
      <c r="BB107" s="45"/>
      <c r="BC107" s="45"/>
      <c r="BD107" s="196"/>
      <c r="BE107" s="182"/>
      <c r="BF107" s="69" t="str">
        <f t="shared" si="363"/>
        <v/>
      </c>
      <c r="BG107" s="69" t="str">
        <f t="shared" si="364"/>
        <v/>
      </c>
      <c r="BH107" s="69" t="str">
        <f t="shared" si="365"/>
        <v/>
      </c>
      <c r="BI107" s="39" t="str">
        <f t="shared" si="366"/>
        <v/>
      </c>
      <c r="BJ107" s="95" t="str">
        <f t="shared" si="367"/>
        <v/>
      </c>
      <c r="BO107" s="176"/>
      <c r="BP107" s="158" t="str">
        <f t="shared" si="368"/>
        <v/>
      </c>
      <c r="BQ107" s="158" t="str">
        <f t="shared" si="369"/>
        <v/>
      </c>
      <c r="BR107" s="158" t="str">
        <f t="shared" si="370"/>
        <v/>
      </c>
      <c r="BS107" s="158" t="str">
        <f>IF(AND(Sufficient_data="Yes",Include_study?="Yes"),IF(Add_0_5="Yes",(a_+d_+1)*(ab_+0.5)*(c_+0.5)/(Number_of_subjects+2)^2,(a_+d_)*b_*c_/Number_of_subjects^2),"")</f>
        <v/>
      </c>
      <c r="BT107" s="158" t="str">
        <f t="shared" si="371"/>
        <v/>
      </c>
      <c r="BU107" s="158" t="str">
        <f t="shared" si="372"/>
        <v/>
      </c>
      <c r="BV107" s="158" t="str">
        <f t="shared" si="373"/>
        <v/>
      </c>
      <c r="BW107" s="69" t="str">
        <f t="shared" si="374"/>
        <v/>
      </c>
      <c r="BX107" s="137" t="str">
        <f t="shared" si="375"/>
        <v/>
      </c>
      <c r="BY107" s="95" t="str">
        <f t="shared" si="376"/>
        <v/>
      </c>
      <c r="CD107" s="176"/>
      <c r="CE107" s="130" t="str">
        <f t="shared" si="377"/>
        <v/>
      </c>
      <c r="CF107" s="39" t="str">
        <f t="shared" si="378"/>
        <v/>
      </c>
      <c r="CG107" s="39" t="str">
        <f t="shared" si="379"/>
        <v/>
      </c>
      <c r="CH107" s="39" t="str">
        <f t="shared" si="380"/>
        <v/>
      </c>
      <c r="CI107" s="39" t="str">
        <f t="shared" si="381"/>
        <v/>
      </c>
      <c r="CJ107" s="39" t="str">
        <f t="shared" si="287"/>
        <v/>
      </c>
      <c r="CK107" s="95" t="str">
        <f t="shared" si="382"/>
        <v/>
      </c>
      <c r="CP107" s="176"/>
      <c r="CQ107" s="99" t="str">
        <f t="shared" si="383"/>
        <v/>
      </c>
      <c r="CX107" s="196"/>
      <c r="CY107" s="89" t="e">
        <f t="shared" si="384"/>
        <v>#N/A</v>
      </c>
      <c r="CZ107" s="136" t="str">
        <f t="shared" si="385"/>
        <v/>
      </c>
      <c r="DA107" s="140" t="str">
        <f t="shared" si="386"/>
        <v/>
      </c>
      <c r="DB107" s="39" t="str">
        <f t="shared" si="387"/>
        <v/>
      </c>
      <c r="DC107" s="39" t="str">
        <f t="shared" si="388"/>
        <v/>
      </c>
      <c r="DD107" s="39" t="str">
        <f t="shared" si="389"/>
        <v/>
      </c>
      <c r="DE107" s="39" t="str">
        <f t="shared" si="390"/>
        <v/>
      </c>
      <c r="DF107" s="141" t="str">
        <f t="shared" si="391"/>
        <v/>
      </c>
      <c r="DG107" s="39" t="str">
        <f t="shared" si="392"/>
        <v/>
      </c>
      <c r="DH107" s="39" t="str">
        <f t="shared" si="393"/>
        <v/>
      </c>
      <c r="DI107" s="39" t="str">
        <f t="shared" si="394"/>
        <v/>
      </c>
      <c r="DJ107" s="74" t="str">
        <f t="shared" si="395"/>
        <v/>
      </c>
      <c r="DK107" s="45"/>
      <c r="DL107" s="84" t="e">
        <f t="shared" si="222"/>
        <v>#N/A</v>
      </c>
      <c r="DM107" s="39" t="e">
        <f t="shared" si="396"/>
        <v>#N/A</v>
      </c>
      <c r="DN107" s="74" t="e">
        <f t="shared" si="397"/>
        <v>#N/A</v>
      </c>
      <c r="DO107" s="45"/>
      <c r="DP107" s="89" t="str">
        <f t="shared" si="326"/>
        <v/>
      </c>
      <c r="DQ107" s="26" t="str">
        <f>IF(AND(Sufficient_data="Yes",Subgroup&lt;&gt;""),IF(COUNTIFS(Input!J$2:J106,"="&amp;"Yes",Input!C$2:C106,"="&amp;"Yes",Input!K$2:K106,"="&amp;Subgroup)&gt;0,"",Subgroup),"")</f>
        <v/>
      </c>
      <c r="DR107" s="7" t="str">
        <f t="shared" si="327"/>
        <v/>
      </c>
      <c r="DS107" s="7" t="str">
        <f t="shared" si="398"/>
        <v/>
      </c>
      <c r="DT107" s="19" t="str">
        <f t="shared" si="399"/>
        <v/>
      </c>
      <c r="DU107" s="12" t="str">
        <f t="shared" si="223"/>
        <v/>
      </c>
      <c r="DV107" s="11" t="str">
        <f t="shared" si="224"/>
        <v/>
      </c>
      <c r="DW107" s="12" t="str">
        <f t="shared" si="225"/>
        <v/>
      </c>
      <c r="DX107" s="12" t="str">
        <f t="shared" si="400"/>
        <v/>
      </c>
      <c r="DY107" s="19" t="str">
        <f t="shared" si="226"/>
        <v/>
      </c>
      <c r="DZ107" s="12" t="str">
        <f t="shared" si="227"/>
        <v/>
      </c>
      <c r="EA107" s="19" t="str">
        <f t="shared" si="401"/>
        <v/>
      </c>
      <c r="EB107" s="7" t="str">
        <f t="shared" si="402"/>
        <v/>
      </c>
      <c r="EC107" s="19" t="str">
        <f t="shared" si="403"/>
        <v/>
      </c>
      <c r="ED107" s="19" t="str">
        <f t="shared" si="404"/>
        <v/>
      </c>
      <c r="EE107" s="19" t="str">
        <f t="shared" si="228"/>
        <v/>
      </c>
      <c r="EF107" s="19" t="str">
        <f t="shared" si="229"/>
        <v/>
      </c>
      <c r="EG107" s="19" t="str">
        <f t="shared" si="230"/>
        <v/>
      </c>
      <c r="EH107" s="19" t="str">
        <f t="shared" si="231"/>
        <v/>
      </c>
      <c r="EI107" s="19" t="str">
        <f t="shared" si="232"/>
        <v/>
      </c>
      <c r="EJ107" s="19" t="str">
        <f t="shared" si="405"/>
        <v/>
      </c>
      <c r="EK107" s="19" t="str">
        <f t="shared" si="406"/>
        <v/>
      </c>
      <c r="EL107" s="19" t="str">
        <f t="shared" si="233"/>
        <v/>
      </c>
      <c r="EM107" s="19" t="str">
        <f t="shared" si="234"/>
        <v/>
      </c>
      <c r="EN107" s="19" t="str">
        <f t="shared" si="235"/>
        <v/>
      </c>
      <c r="EO107" s="19" t="str">
        <f t="shared" si="236"/>
        <v/>
      </c>
      <c r="EP107" s="19" t="str">
        <f t="shared" si="237"/>
        <v/>
      </c>
      <c r="EQ107" s="19" t="e">
        <f t="shared" si="238"/>
        <v>#N/A</v>
      </c>
      <c r="ER107" s="11" t="str">
        <f t="shared" si="328"/>
        <v/>
      </c>
      <c r="ES107" s="19" t="str">
        <f t="shared" si="329"/>
        <v/>
      </c>
      <c r="ET107" s="156" t="str">
        <f t="shared" si="407"/>
        <v/>
      </c>
      <c r="EU107" s="39" t="str">
        <f t="shared" si="239"/>
        <v/>
      </c>
      <c r="EV107" s="74" t="str">
        <f t="shared" si="408"/>
        <v/>
      </c>
      <c r="FA107" s="196"/>
      <c r="FB107" s="84" t="e">
        <f>IF(AND(Include_study?="Yes",Sufficient_data="Yes",Moderator&lt;&gt;""),'Moderator Analysis'!E107,NA())</f>
        <v>#N/A</v>
      </c>
      <c r="FC107" s="39" t="e">
        <f>IF(AND(Include_study?="Yes",Sufficient_data="Yes",Moderator&lt;&gt;""),'Moderator Analysis'!F107,NA())</f>
        <v>#N/A</v>
      </c>
      <c r="FD107" s="39" t="str">
        <f t="shared" si="409"/>
        <v/>
      </c>
      <c r="FE107" s="39" t="str">
        <f t="shared" si="410"/>
        <v/>
      </c>
      <c r="FF107" s="39" t="str">
        <f>IF(AND(Include_study?="Yes",Sufficient_data="Yes",Moderator&lt;&gt;""),'Moderator Analysis'!F:F-FP$2,"")</f>
        <v/>
      </c>
      <c r="FG107" s="39" t="str">
        <f>IF(AND(Include_study?="Yes",Sufficient_data="Yes",Moderator&lt;&gt;""),'Moderator Analysis'!E:E-FP$3,"")</f>
        <v/>
      </c>
      <c r="FH107" s="74" t="str">
        <f>IF(AND(Include_study?="Yes",Sufficient_data="Yes",Moderator&lt;&gt;""),FE:FE*('Moderator Analysis'!F:F-FP$5-FP$4*'Moderator Analysis'!E:E)^2,"")</f>
        <v/>
      </c>
      <c r="FI107" s="128"/>
      <c r="FJ107" s="92" t="str">
        <f t="shared" si="411"/>
        <v/>
      </c>
      <c r="FK107" s="137" t="str">
        <f>IF(AND(Include_study?="Yes",Sufficient_data="Yes",Moderator&lt;&gt;""),'Moderator Analysis'!F:F-'Moderator Analysis'!J$37,"")</f>
        <v/>
      </c>
      <c r="FL107" s="137" t="str">
        <f>IF(AND(Include_study?="Yes",Sufficient_data="Yes",Moderator&lt;&gt;""),'Moderator Analysis'!E:E-SUMPRODUCT('Moderator Analysis'!E:E,FJ:FJ)/SUM(FJ:FJ),"")</f>
        <v/>
      </c>
      <c r="FM107" s="95" t="str">
        <f>IF(AND(Include_study?="Yes",Sufficient_data="Yes",Moderator&lt;&gt;""),FJ:FJ*('Moderator Analysis'!F:F-'Moderator Analysis'!J$29-'Moderator Analysis'!J$30*'Moderator Analysis'!E:E)^2,"")</f>
        <v/>
      </c>
      <c r="FR107" s="196"/>
      <c r="FS107" s="182"/>
      <c r="FT10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7" s="39" t="str">
        <f>IF(AND(Include_study?="Yes",Sufficient_data="Yes"),1/('Publication Bias Analysis'!F:F^2+IF(Additional_model="Fixed effect",0,Calculations!GH$12)),"")</f>
        <v/>
      </c>
      <c r="FV107" s="39" t="str">
        <f>IF(AND(Include_study?="Yes",Sufficient_data="Yes"),1/('Publication Bias Analysis'!F:F^2+IF(Additional_model="Fixed effect",0,'Publication Bias Analysis'!L$32)),"")</f>
        <v/>
      </c>
      <c r="FW107" s="39" t="str">
        <f>IF(AND(Include_study?="Yes",Sufficient_data="Yes"),'Publication Bias Analysis'!E:E-'Publication Bias Analysis'!I$37,"")</f>
        <v/>
      </c>
      <c r="FX107" s="39" t="str">
        <f>IF(AND(Include_study?="Yes",Sufficient_data="Yes"),IF(Additional_model="Fixed effect",1/'Publication Bias Analysis'!F:F,1/SQRT('Publication Bias Analysis'!F:F^2+GH$12)),"")</f>
        <v/>
      </c>
      <c r="FY10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7" s="136" t="str">
        <f t="shared" si="412"/>
        <v/>
      </c>
      <c r="GA107" s="144" t="str">
        <f>IF(AND(Include_study?="Yes",Sufficient_data="Yes"),FZ:FZ+IF(GL:GL&lt;0,-1,1)*COUNTIF(FZ$2:FZ106,FZ:FZ),"")</f>
        <v/>
      </c>
      <c r="GB107" s="144" t="str">
        <f>IF(AND(Include_study?="Yes",Sufficient_data="Yes"),RANK(GP:GP,GP:GP,1)*IF(GO:GO&lt;0,-1,1)+IF(GO:GO&lt;0,-1,1)*COUNTIF(FZ$2:FZ106,FZ:FZ),"")</f>
        <v/>
      </c>
      <c r="GC107" s="144" t="str">
        <f>IF(AND(Include_study?="Yes",Sufficient_data="Yes"),RANK(GS:GS,GS:GS,1)*IF(GR:GR&lt;0,-1,1)+IF(GR:GR&lt;0,-1,1)*COUNTIF(FZ$2:FZ106,FZ:FZ),"")</f>
        <v/>
      </c>
      <c r="GD107" s="39" t="e">
        <f>IF(AND(Include_study?="Yes",Sufficient_data="Yes"),'Publication Bias Analysis'!E107,NA())</f>
        <v>#N/A</v>
      </c>
      <c r="GE107" s="74" t="e">
        <f>IF(AND(Include_study?="Yes",Sufficient_data="Yes"),'Publication Bias Analysis'!F107,NA())</f>
        <v>#N/A</v>
      </c>
      <c r="GK107" s="176"/>
      <c r="GL10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7" s="39" t="str">
        <f t="shared" si="413"/>
        <v/>
      </c>
      <c r="GN10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7" s="39" t="str">
        <f>IF(AND(Include_study?="Yes",Sufficient_data="Yes"),IF('Publication Bias Analysis'!L$38="Left",'Publication Bias Analysis'!E:E-GW$3,GW$3-'Publication Bias Analysis'!E:E),"")</f>
        <v/>
      </c>
      <c r="GP107" s="39" t="str">
        <f t="shared" si="421"/>
        <v/>
      </c>
      <c r="GQ10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7" s="39" t="str">
        <f>IF(AND(Include_study?="Yes",Sufficient_data="Yes"),IF('Publication Bias Analysis'!L$38="Left",'Publication Bias Analysis'!E:E-GW$10,GW$10-'Publication Bias Analysis'!E:E),"")</f>
        <v/>
      </c>
      <c r="GS107" s="39" t="str">
        <f t="shared" si="422"/>
        <v/>
      </c>
      <c r="GT10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7" s="176"/>
      <c r="HL107" s="69" t="str">
        <f t="shared" si="319"/>
        <v/>
      </c>
      <c r="HM107" s="74" t="str">
        <f>IF(AND(Include_study?="Yes",Sufficient_data="Yes"),Z_score-('Publication Bias Analysis'!P$3+'Publication Bias Analysis'!P$4*Inverse_standard_error),"")</f>
        <v/>
      </c>
      <c r="HO107" s="176"/>
      <c r="HP107" s="69" t="str">
        <f>IF(AND(Include_study?="Yes",Sufficient_data="Yes"),(GD:GD-SUMPRODUCT(Calculations!FT:FT,'Publication Bias Analysis'!E:E)/SUM(Calculations!FT:FT))/SQRT(Calculations!HQ:HQ),"")</f>
        <v/>
      </c>
      <c r="HQ107" s="69" t="str">
        <f>IF(AND(Include_study?="Yes",Sufficient_data="Yes"),GE:GE^2-1/SUM(Calculations!FT:FT),"")</f>
        <v/>
      </c>
      <c r="HR107" s="7" t="str">
        <f t="shared" si="240"/>
        <v/>
      </c>
      <c r="HS107" s="7" t="str">
        <f t="shared" si="241"/>
        <v/>
      </c>
      <c r="HT107" s="7" t="str">
        <f>IF(AND(Include_study?="Yes",Sufficient_data="Yes"),COUNTIFS(HR$2:HR106,"&lt;"&amp;HR107,HS$2:HS106,"&lt;"&amp;HS107)+COUNTIFS(HR108:HR$201,"&lt;"&amp;HR107,HS108:HS$201,"&lt;"&amp;HS107)+COUNTIFS(HR$2:HR106,"&gt;"&amp;HR107,HS$2:HS106,"&gt;"&amp;HS107)+COUNTIFS(HR108:HR$201,"&gt;"&amp;HR107,HS108:HS$201,"&gt;"&amp;HS107),"")</f>
        <v/>
      </c>
      <c r="HU107" s="104" t="str">
        <f>IF(AND(Include_study?="Yes",Sufficient_data="Yes"),COUNTIFS(HR$2:HR106,"&lt;"&amp;HR107,HS$2:HS106,"&gt;"&amp;HS107)+COUNTIFS(HR108:HR$201,"&lt;"&amp;HR107,HS108:HS$201,"&gt;"&amp;HS107)+COUNTIFS(HR$2:HR106,"&gt;"&amp;HR107,HS$2:HS106,"&lt;"&amp;HS107)+COUNTIFS(HR108:HR$201,"&gt;"&amp;HR107,HS108:HS$201,"&lt;"&amp;HS107),"")</f>
        <v/>
      </c>
      <c r="HW107" s="176"/>
      <c r="IB107" s="176"/>
      <c r="IC107" s="146" t="e">
        <f t="shared" si="414"/>
        <v>#N/A</v>
      </c>
      <c r="ID107" s="137" t="e">
        <f t="shared" si="415"/>
        <v>#N/A</v>
      </c>
      <c r="IE107" s="137" t="str">
        <f t="shared" si="416"/>
        <v/>
      </c>
      <c r="IF107" s="95" t="str">
        <f t="shared" si="417"/>
        <v/>
      </c>
      <c r="IK107" s="176"/>
      <c r="IL107" s="69" t="e">
        <f>IF(AND(Include_study?="Yes",Sufficient_data="Yes"),'Publication Bias Analysis'!AV:AV,NA())</f>
        <v>#N/A</v>
      </c>
      <c r="IM107" s="158" t="e">
        <f>IF(AND(Sufficient_data="Yes",Include_study?="Yes"),'Publication Bias Analysis'!AU:AU,NA())</f>
        <v>#N/A</v>
      </c>
      <c r="IN107" s="69" t="str">
        <f t="shared" si="418"/>
        <v/>
      </c>
      <c r="IO107" s="74" t="str">
        <f>IF(AND(Include_study?="Yes",Sufficient_data="Yes"),Z_score-('Publication Bias Analysis'!AY$30+'Publication Bias Analysis'!AY$31*Inverse_standard_error),"")</f>
        <v/>
      </c>
      <c r="IU107" s="176"/>
      <c r="IV107" s="7" t="str">
        <f>IF('Publication Bias Analysis'!BG:BG&lt;&gt;"",RANK('Publication Bias Analysis'!BG:BG,'Publication Bias Analysis'!BG:BG,1)+COUNTIF('Publication Bias Analysis'!BG$2:BG106,'Publication Bias Analysis'!BG107),"")</f>
        <v/>
      </c>
      <c r="IW107" s="124" t="str">
        <f t="shared" si="419"/>
        <v/>
      </c>
      <c r="IX107" s="125" t="e">
        <f>IF('Publication Bias Analysis'!BF107&lt;&gt;"",'Publication Bias Analysis'!BF107,NA())</f>
        <v>#N/A</v>
      </c>
      <c r="IY107" s="125" t="e">
        <f>IF('Publication Bias Analysis'!BG107&lt;&gt;"",'Publication Bias Analysis'!BG107,NA())</f>
        <v>#N/A</v>
      </c>
      <c r="IZ107" s="69" t="str">
        <f>IF(AND(Include_study?="Yes",Sufficient_data="Yes"),'Publication Bias Analysis'!BF:BF-AVERAGE('Publication Bias Analysis'!BF:BF),"")</f>
        <v/>
      </c>
      <c r="JA107" s="74" t="str">
        <f>IF(AND(Include_study?="Yes",Sufficient_data="Yes"),'Publication Bias Analysis'!BG:BG-('Publication Bias Analysis'!BJ$30+'Publication Bias Analysis'!BJ$31*'Publication Bias Analysis'!BF:BF),"")</f>
        <v/>
      </c>
      <c r="JG107" s="176"/>
      <c r="JH107" s="39" t="str">
        <f t="shared" si="420"/>
        <v/>
      </c>
      <c r="JI107" s="148" t="str">
        <f t="shared" si="332"/>
        <v/>
      </c>
      <c r="JJ107" s="74" t="str">
        <f t="shared" si="333"/>
        <v/>
      </c>
    </row>
    <row r="108" spans="1:270" x14ac:dyDescent="0.2">
      <c r="A108" s="56" t="str">
        <f t="shared" si="334"/>
        <v/>
      </c>
      <c r="B108" s="7" t="str">
        <f>IF(AND(Include_study?="Yes",Sufficient_data="Yes"),IF(Input!a_&lt;&gt;"",Input!a_,Input!n1_-Input!b_),"")</f>
        <v/>
      </c>
      <c r="C108" s="7" t="str">
        <f>IF(AND(Include_study?="Yes",Sufficient_data="Yes"),IF(Input!b_&lt;&gt;"",Input!b_,Input!n1_-Input!a_),"")</f>
        <v/>
      </c>
      <c r="D108" s="7" t="str">
        <f>IF(AND(Include_study?="Yes",Sufficient_data="Yes"),IF(Input!c_&lt;&gt;"",Input!c_,Input!n2_-Input!d_),"")</f>
        <v/>
      </c>
      <c r="E108" s="7" t="str">
        <f>IF(AND(Include_study?="Yes",Sufficient_data="Yes"),IF(Input!d_&lt;&gt;"",Input!d_,Input!n2_-Input!c_),"")</f>
        <v/>
      </c>
      <c r="F108" s="74" t="str">
        <f t="shared" si="335"/>
        <v/>
      </c>
      <c r="H108" s="196"/>
      <c r="I108" s="182"/>
      <c r="J108" s="146" t="str">
        <f t="shared" si="245"/>
        <v/>
      </c>
      <c r="K108" s="39" t="str">
        <f t="shared" si="336"/>
        <v/>
      </c>
      <c r="L108" s="39" t="str">
        <f t="shared" si="337"/>
        <v/>
      </c>
      <c r="M108" s="39" t="str">
        <f t="shared" si="338"/>
        <v/>
      </c>
      <c r="N108" s="74" t="str">
        <f t="shared" si="339"/>
        <v/>
      </c>
      <c r="P108" s="176"/>
      <c r="Q108" s="130" t="str">
        <f t="shared" si="340"/>
        <v/>
      </c>
      <c r="R108" s="39" t="str">
        <f t="shared" si="341"/>
        <v/>
      </c>
      <c r="S108" s="39" t="str">
        <f t="shared" si="342"/>
        <v/>
      </c>
      <c r="T108" s="74" t="str">
        <f t="shared" si="343"/>
        <v/>
      </c>
      <c r="V108" s="176"/>
      <c r="W108" s="130" t="str">
        <f t="shared" si="344"/>
        <v/>
      </c>
      <c r="X108" s="39" t="str">
        <f t="shared" si="345"/>
        <v/>
      </c>
      <c r="Y108" s="39" t="str">
        <f t="shared" si="346"/>
        <v/>
      </c>
      <c r="Z108" s="74" t="str">
        <f t="shared" si="347"/>
        <v/>
      </c>
      <c r="AB108" s="176"/>
      <c r="AC108" s="130" t="str">
        <f t="shared" si="348"/>
        <v/>
      </c>
      <c r="AD108" s="39" t="str">
        <f t="shared" si="349"/>
        <v/>
      </c>
      <c r="AE108" s="39" t="str">
        <f t="shared" si="350"/>
        <v/>
      </c>
      <c r="AF108" s="39" t="str">
        <f t="shared" si="351"/>
        <v/>
      </c>
      <c r="AG108" s="74" t="str">
        <f t="shared" si="352"/>
        <v/>
      </c>
      <c r="AI108" s="196"/>
      <c r="AJ10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8" s="136" t="str">
        <f>IF(AJ108&lt;&gt;"",IF(AJ108=0,COUNTIF(AJ$2:AJ107,0)+1,COUNTIF(AJ$2:AJ107,AJ108)+AJ108+COUNTIF(AJ:AJ,0)),"")</f>
        <v/>
      </c>
      <c r="AL108" s="136" t="str">
        <f t="shared" si="263"/>
        <v/>
      </c>
      <c r="AM108" s="155" t="str">
        <f>IF(AND(Include_study?="Yes",Sufficient_data="Yes",Input!Study_name&lt;&gt;""),Input!Study_name,"")</f>
        <v/>
      </c>
      <c r="AN108" s="136" t="str">
        <f t="shared" si="264"/>
        <v/>
      </c>
      <c r="AO108" s="19" t="str">
        <f t="shared" si="353"/>
        <v/>
      </c>
      <c r="AP108" s="158" t="str">
        <f t="shared" si="354"/>
        <v/>
      </c>
      <c r="AQ108" s="158" t="str">
        <f t="shared" si="355"/>
        <v/>
      </c>
      <c r="AR108" s="39" t="str">
        <f t="shared" si="356"/>
        <v/>
      </c>
      <c r="AS108" s="158" t="str">
        <f t="shared" si="357"/>
        <v/>
      </c>
      <c r="AT108" s="39" t="str">
        <f t="shared" si="358"/>
        <v/>
      </c>
      <c r="AU108" s="172" t="str">
        <f t="shared" si="359"/>
        <v/>
      </c>
      <c r="AV108" s="45"/>
      <c r="AW108" s="84" t="e">
        <f t="shared" si="360"/>
        <v>#N/A</v>
      </c>
      <c r="AX108" s="69" t="e">
        <f t="shared" si="361"/>
        <v>#N/A</v>
      </c>
      <c r="AY108" s="74" t="e">
        <f t="shared" si="362"/>
        <v>#N/A</v>
      </c>
      <c r="AZ108" s="45"/>
      <c r="BA108" s="45"/>
      <c r="BB108" s="45"/>
      <c r="BC108" s="45"/>
      <c r="BD108" s="196"/>
      <c r="BE108" s="182"/>
      <c r="BF108" s="69" t="str">
        <f t="shared" si="363"/>
        <v/>
      </c>
      <c r="BG108" s="69" t="str">
        <f t="shared" si="364"/>
        <v/>
      </c>
      <c r="BH108" s="69" t="str">
        <f t="shared" si="365"/>
        <v/>
      </c>
      <c r="BI108" s="39" t="str">
        <f t="shared" si="366"/>
        <v/>
      </c>
      <c r="BJ108" s="95" t="str">
        <f t="shared" si="367"/>
        <v/>
      </c>
      <c r="BO108" s="176"/>
      <c r="BP108" s="158" t="str">
        <f t="shared" si="368"/>
        <v/>
      </c>
      <c r="BQ108" s="158" t="str">
        <f t="shared" si="369"/>
        <v/>
      </c>
      <c r="BR108" s="158" t="str">
        <f t="shared" si="370"/>
        <v/>
      </c>
      <c r="BS108" s="158" t="str">
        <f>IF(AND(Sufficient_data="Yes",Include_study?="Yes"),IF(Add_0_5="Yes",(a_+d_+1)*(ab_+0.5)*(c_+0.5)/(Number_of_subjects+2)^2,(a_+d_)*b_*c_/Number_of_subjects^2),"")</f>
        <v/>
      </c>
      <c r="BT108" s="158" t="str">
        <f t="shared" si="371"/>
        <v/>
      </c>
      <c r="BU108" s="158" t="str">
        <f t="shared" si="372"/>
        <v/>
      </c>
      <c r="BV108" s="158" t="str">
        <f t="shared" si="373"/>
        <v/>
      </c>
      <c r="BW108" s="69" t="str">
        <f t="shared" si="374"/>
        <v/>
      </c>
      <c r="BX108" s="137" t="str">
        <f t="shared" si="375"/>
        <v/>
      </c>
      <c r="BY108" s="95" t="str">
        <f t="shared" si="376"/>
        <v/>
      </c>
      <c r="CD108" s="176"/>
      <c r="CE108" s="130" t="str">
        <f t="shared" si="377"/>
        <v/>
      </c>
      <c r="CF108" s="39" t="str">
        <f t="shared" si="378"/>
        <v/>
      </c>
      <c r="CG108" s="39" t="str">
        <f t="shared" si="379"/>
        <v/>
      </c>
      <c r="CH108" s="39" t="str">
        <f t="shared" si="380"/>
        <v/>
      </c>
      <c r="CI108" s="39" t="str">
        <f t="shared" si="381"/>
        <v/>
      </c>
      <c r="CJ108" s="39" t="str">
        <f t="shared" si="287"/>
        <v/>
      </c>
      <c r="CK108" s="95" t="str">
        <f t="shared" si="382"/>
        <v/>
      </c>
      <c r="CP108" s="176"/>
      <c r="CQ108" s="99" t="str">
        <f t="shared" si="383"/>
        <v/>
      </c>
      <c r="CX108" s="196"/>
      <c r="CY108" s="89" t="e">
        <f t="shared" si="384"/>
        <v>#N/A</v>
      </c>
      <c r="CZ108" s="136" t="str">
        <f t="shared" si="385"/>
        <v/>
      </c>
      <c r="DA108" s="140" t="str">
        <f t="shared" si="386"/>
        <v/>
      </c>
      <c r="DB108" s="39" t="str">
        <f t="shared" si="387"/>
        <v/>
      </c>
      <c r="DC108" s="39" t="str">
        <f t="shared" si="388"/>
        <v/>
      </c>
      <c r="DD108" s="39" t="str">
        <f t="shared" si="389"/>
        <v/>
      </c>
      <c r="DE108" s="39" t="str">
        <f t="shared" si="390"/>
        <v/>
      </c>
      <c r="DF108" s="141" t="str">
        <f t="shared" si="391"/>
        <v/>
      </c>
      <c r="DG108" s="39" t="str">
        <f t="shared" si="392"/>
        <v/>
      </c>
      <c r="DH108" s="39" t="str">
        <f t="shared" si="393"/>
        <v/>
      </c>
      <c r="DI108" s="39" t="str">
        <f t="shared" si="394"/>
        <v/>
      </c>
      <c r="DJ108" s="74" t="str">
        <f t="shared" si="395"/>
        <v/>
      </c>
      <c r="DK108" s="45"/>
      <c r="DL108" s="84" t="e">
        <f t="shared" si="222"/>
        <v>#N/A</v>
      </c>
      <c r="DM108" s="39" t="e">
        <f t="shared" si="396"/>
        <v>#N/A</v>
      </c>
      <c r="DN108" s="74" t="e">
        <f t="shared" si="397"/>
        <v>#N/A</v>
      </c>
      <c r="DO108" s="45"/>
      <c r="DP108" s="89" t="str">
        <f t="shared" si="326"/>
        <v/>
      </c>
      <c r="DQ108" s="26" t="str">
        <f>IF(AND(Sufficient_data="Yes",Subgroup&lt;&gt;""),IF(COUNTIFS(Input!J$2:J107,"="&amp;"Yes",Input!C$2:C107,"="&amp;"Yes",Input!K$2:K107,"="&amp;Subgroup)&gt;0,"",Subgroup),"")</f>
        <v/>
      </c>
      <c r="DR108" s="7" t="str">
        <f t="shared" si="327"/>
        <v/>
      </c>
      <c r="DS108" s="7" t="str">
        <f t="shared" si="398"/>
        <v/>
      </c>
      <c r="DT108" s="19" t="str">
        <f t="shared" si="399"/>
        <v/>
      </c>
      <c r="DU108" s="12" t="str">
        <f t="shared" si="223"/>
        <v/>
      </c>
      <c r="DV108" s="11" t="str">
        <f t="shared" si="224"/>
        <v/>
      </c>
      <c r="DW108" s="12" t="str">
        <f t="shared" si="225"/>
        <v/>
      </c>
      <c r="DX108" s="12" t="str">
        <f t="shared" si="400"/>
        <v/>
      </c>
      <c r="DY108" s="19" t="str">
        <f t="shared" si="226"/>
        <v/>
      </c>
      <c r="DZ108" s="12" t="str">
        <f t="shared" si="227"/>
        <v/>
      </c>
      <c r="EA108" s="19" t="str">
        <f t="shared" si="401"/>
        <v/>
      </c>
      <c r="EB108" s="7" t="str">
        <f t="shared" si="402"/>
        <v/>
      </c>
      <c r="EC108" s="19" t="str">
        <f t="shared" si="403"/>
        <v/>
      </c>
      <c r="ED108" s="19" t="str">
        <f t="shared" si="404"/>
        <v/>
      </c>
      <c r="EE108" s="19" t="str">
        <f t="shared" si="228"/>
        <v/>
      </c>
      <c r="EF108" s="19" t="str">
        <f t="shared" si="229"/>
        <v/>
      </c>
      <c r="EG108" s="19" t="str">
        <f t="shared" si="230"/>
        <v/>
      </c>
      <c r="EH108" s="19" t="str">
        <f t="shared" si="231"/>
        <v/>
      </c>
      <c r="EI108" s="19" t="str">
        <f t="shared" si="232"/>
        <v/>
      </c>
      <c r="EJ108" s="19" t="str">
        <f t="shared" si="405"/>
        <v/>
      </c>
      <c r="EK108" s="19" t="str">
        <f t="shared" si="406"/>
        <v/>
      </c>
      <c r="EL108" s="19" t="str">
        <f t="shared" si="233"/>
        <v/>
      </c>
      <c r="EM108" s="19" t="str">
        <f t="shared" si="234"/>
        <v/>
      </c>
      <c r="EN108" s="19" t="str">
        <f t="shared" si="235"/>
        <v/>
      </c>
      <c r="EO108" s="19" t="str">
        <f t="shared" si="236"/>
        <v/>
      </c>
      <c r="EP108" s="19" t="str">
        <f t="shared" si="237"/>
        <v/>
      </c>
      <c r="EQ108" s="19" t="e">
        <f t="shared" si="238"/>
        <v>#N/A</v>
      </c>
      <c r="ER108" s="11" t="str">
        <f t="shared" si="328"/>
        <v/>
      </c>
      <c r="ES108" s="19" t="str">
        <f t="shared" si="329"/>
        <v/>
      </c>
      <c r="ET108" s="156" t="str">
        <f t="shared" si="407"/>
        <v/>
      </c>
      <c r="EU108" s="39" t="str">
        <f t="shared" si="239"/>
        <v/>
      </c>
      <c r="EV108" s="74" t="str">
        <f t="shared" si="408"/>
        <v/>
      </c>
      <c r="FA108" s="196"/>
      <c r="FB108" s="84" t="e">
        <f>IF(AND(Include_study?="Yes",Sufficient_data="Yes",Moderator&lt;&gt;""),'Moderator Analysis'!E108,NA())</f>
        <v>#N/A</v>
      </c>
      <c r="FC108" s="39" t="e">
        <f>IF(AND(Include_study?="Yes",Sufficient_data="Yes",Moderator&lt;&gt;""),'Moderator Analysis'!F108,NA())</f>
        <v>#N/A</v>
      </c>
      <c r="FD108" s="39" t="str">
        <f t="shared" si="409"/>
        <v/>
      </c>
      <c r="FE108" s="39" t="str">
        <f t="shared" si="410"/>
        <v/>
      </c>
      <c r="FF108" s="39" t="str">
        <f>IF(AND(Include_study?="Yes",Sufficient_data="Yes",Moderator&lt;&gt;""),'Moderator Analysis'!F:F-FP$2,"")</f>
        <v/>
      </c>
      <c r="FG108" s="39" t="str">
        <f>IF(AND(Include_study?="Yes",Sufficient_data="Yes",Moderator&lt;&gt;""),'Moderator Analysis'!E:E-FP$3,"")</f>
        <v/>
      </c>
      <c r="FH108" s="74" t="str">
        <f>IF(AND(Include_study?="Yes",Sufficient_data="Yes",Moderator&lt;&gt;""),FE:FE*('Moderator Analysis'!F:F-FP$5-FP$4*'Moderator Analysis'!E:E)^2,"")</f>
        <v/>
      </c>
      <c r="FI108" s="128"/>
      <c r="FJ108" s="92" t="str">
        <f t="shared" si="411"/>
        <v/>
      </c>
      <c r="FK108" s="137" t="str">
        <f>IF(AND(Include_study?="Yes",Sufficient_data="Yes",Moderator&lt;&gt;""),'Moderator Analysis'!F:F-'Moderator Analysis'!J$37,"")</f>
        <v/>
      </c>
      <c r="FL108" s="137" t="str">
        <f>IF(AND(Include_study?="Yes",Sufficient_data="Yes",Moderator&lt;&gt;""),'Moderator Analysis'!E:E-SUMPRODUCT('Moderator Analysis'!E:E,FJ:FJ)/SUM(FJ:FJ),"")</f>
        <v/>
      </c>
      <c r="FM108" s="95" t="str">
        <f>IF(AND(Include_study?="Yes",Sufficient_data="Yes",Moderator&lt;&gt;""),FJ:FJ*('Moderator Analysis'!F:F-'Moderator Analysis'!J$29-'Moderator Analysis'!J$30*'Moderator Analysis'!E:E)^2,"")</f>
        <v/>
      </c>
      <c r="FR108" s="196"/>
      <c r="FS108" s="182"/>
      <c r="FT10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8" s="39" t="str">
        <f>IF(AND(Include_study?="Yes",Sufficient_data="Yes"),1/('Publication Bias Analysis'!F:F^2+IF(Additional_model="Fixed effect",0,Calculations!GH$12)),"")</f>
        <v/>
      </c>
      <c r="FV108" s="39" t="str">
        <f>IF(AND(Include_study?="Yes",Sufficient_data="Yes"),1/('Publication Bias Analysis'!F:F^2+IF(Additional_model="Fixed effect",0,'Publication Bias Analysis'!L$32)),"")</f>
        <v/>
      </c>
      <c r="FW108" s="39" t="str">
        <f>IF(AND(Include_study?="Yes",Sufficient_data="Yes"),'Publication Bias Analysis'!E:E-'Publication Bias Analysis'!I$37,"")</f>
        <v/>
      </c>
      <c r="FX108" s="39" t="str">
        <f>IF(AND(Include_study?="Yes",Sufficient_data="Yes"),IF(Additional_model="Fixed effect",1/'Publication Bias Analysis'!F:F,1/SQRT('Publication Bias Analysis'!F:F^2+GH$12)),"")</f>
        <v/>
      </c>
      <c r="FY10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8" s="136" t="str">
        <f t="shared" si="412"/>
        <v/>
      </c>
      <c r="GA108" s="144" t="str">
        <f>IF(AND(Include_study?="Yes",Sufficient_data="Yes"),FZ:FZ+IF(GL:GL&lt;0,-1,1)*COUNTIF(FZ$2:FZ107,FZ:FZ),"")</f>
        <v/>
      </c>
      <c r="GB108" s="144" t="str">
        <f>IF(AND(Include_study?="Yes",Sufficient_data="Yes"),RANK(GP:GP,GP:GP,1)*IF(GO:GO&lt;0,-1,1)+IF(GO:GO&lt;0,-1,1)*COUNTIF(FZ$2:FZ107,FZ:FZ),"")</f>
        <v/>
      </c>
      <c r="GC108" s="144" t="str">
        <f>IF(AND(Include_study?="Yes",Sufficient_data="Yes"),RANK(GS:GS,GS:GS,1)*IF(GR:GR&lt;0,-1,1)+IF(GR:GR&lt;0,-1,1)*COUNTIF(FZ$2:FZ107,FZ:FZ),"")</f>
        <v/>
      </c>
      <c r="GD108" s="39" t="e">
        <f>IF(AND(Include_study?="Yes",Sufficient_data="Yes"),'Publication Bias Analysis'!E108,NA())</f>
        <v>#N/A</v>
      </c>
      <c r="GE108" s="74" t="e">
        <f>IF(AND(Include_study?="Yes",Sufficient_data="Yes"),'Publication Bias Analysis'!F108,NA())</f>
        <v>#N/A</v>
      </c>
      <c r="GK108" s="176"/>
      <c r="GL10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8" s="39" t="str">
        <f t="shared" si="413"/>
        <v/>
      </c>
      <c r="GN10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8" s="39" t="str">
        <f>IF(AND(Include_study?="Yes",Sufficient_data="Yes"),IF('Publication Bias Analysis'!L$38="Left",'Publication Bias Analysis'!E:E-GW$3,GW$3-'Publication Bias Analysis'!E:E),"")</f>
        <v/>
      </c>
      <c r="GP108" s="39" t="str">
        <f t="shared" si="421"/>
        <v/>
      </c>
      <c r="GQ10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8" s="39" t="str">
        <f>IF(AND(Include_study?="Yes",Sufficient_data="Yes"),IF('Publication Bias Analysis'!L$38="Left",'Publication Bias Analysis'!E:E-GW$10,GW$10-'Publication Bias Analysis'!E:E),"")</f>
        <v/>
      </c>
      <c r="GS108" s="39" t="str">
        <f t="shared" si="422"/>
        <v/>
      </c>
      <c r="GT10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8" s="176"/>
      <c r="HL108" s="69" t="str">
        <f t="shared" si="319"/>
        <v/>
      </c>
      <c r="HM108" s="74" t="str">
        <f>IF(AND(Include_study?="Yes",Sufficient_data="Yes"),Z_score-('Publication Bias Analysis'!P$3+'Publication Bias Analysis'!P$4*Inverse_standard_error),"")</f>
        <v/>
      </c>
      <c r="HO108" s="176"/>
      <c r="HP108" s="69" t="str">
        <f>IF(AND(Include_study?="Yes",Sufficient_data="Yes"),(GD:GD-SUMPRODUCT(Calculations!FT:FT,'Publication Bias Analysis'!E:E)/SUM(Calculations!FT:FT))/SQRT(Calculations!HQ:HQ),"")</f>
        <v/>
      </c>
      <c r="HQ108" s="69" t="str">
        <f>IF(AND(Include_study?="Yes",Sufficient_data="Yes"),GE:GE^2-1/SUM(Calculations!FT:FT),"")</f>
        <v/>
      </c>
      <c r="HR108" s="7" t="str">
        <f t="shared" si="240"/>
        <v/>
      </c>
      <c r="HS108" s="7" t="str">
        <f t="shared" si="241"/>
        <v/>
      </c>
      <c r="HT108" s="7" t="str">
        <f>IF(AND(Include_study?="Yes",Sufficient_data="Yes"),COUNTIFS(HR$2:HR107,"&lt;"&amp;HR108,HS$2:HS107,"&lt;"&amp;HS108)+COUNTIFS(HR109:HR$201,"&lt;"&amp;HR108,HS109:HS$201,"&lt;"&amp;HS108)+COUNTIFS(HR$2:HR107,"&gt;"&amp;HR108,HS$2:HS107,"&gt;"&amp;HS108)+COUNTIFS(HR109:HR$201,"&gt;"&amp;HR108,HS109:HS$201,"&gt;"&amp;HS108),"")</f>
        <v/>
      </c>
      <c r="HU108" s="104" t="str">
        <f>IF(AND(Include_study?="Yes",Sufficient_data="Yes"),COUNTIFS(HR$2:HR107,"&lt;"&amp;HR108,HS$2:HS107,"&gt;"&amp;HS108)+COUNTIFS(HR109:HR$201,"&lt;"&amp;HR108,HS109:HS$201,"&gt;"&amp;HS108)+COUNTIFS(HR$2:HR107,"&gt;"&amp;HR108,HS$2:HS107,"&lt;"&amp;HS108)+COUNTIFS(HR109:HR$201,"&gt;"&amp;HR108,HS109:HS$201,"&lt;"&amp;HS108),"")</f>
        <v/>
      </c>
      <c r="HW108" s="176"/>
      <c r="IB108" s="176"/>
      <c r="IC108" s="146" t="e">
        <f t="shared" si="414"/>
        <v>#N/A</v>
      </c>
      <c r="ID108" s="137" t="e">
        <f t="shared" si="415"/>
        <v>#N/A</v>
      </c>
      <c r="IE108" s="137" t="str">
        <f t="shared" si="416"/>
        <v/>
      </c>
      <c r="IF108" s="95" t="str">
        <f t="shared" si="417"/>
        <v/>
      </c>
      <c r="IK108" s="176"/>
      <c r="IL108" s="69" t="e">
        <f>IF(AND(Include_study?="Yes",Sufficient_data="Yes"),'Publication Bias Analysis'!AV:AV,NA())</f>
        <v>#N/A</v>
      </c>
      <c r="IM108" s="158" t="e">
        <f>IF(AND(Sufficient_data="Yes",Include_study?="Yes"),'Publication Bias Analysis'!AU:AU,NA())</f>
        <v>#N/A</v>
      </c>
      <c r="IN108" s="69" t="str">
        <f t="shared" si="418"/>
        <v/>
      </c>
      <c r="IO108" s="74" t="str">
        <f>IF(AND(Include_study?="Yes",Sufficient_data="Yes"),Z_score-('Publication Bias Analysis'!AY$30+'Publication Bias Analysis'!AY$31*Inverse_standard_error),"")</f>
        <v/>
      </c>
      <c r="IU108" s="176"/>
      <c r="IV108" s="7" t="str">
        <f>IF('Publication Bias Analysis'!BG:BG&lt;&gt;"",RANK('Publication Bias Analysis'!BG:BG,'Publication Bias Analysis'!BG:BG,1)+COUNTIF('Publication Bias Analysis'!BG$2:BG107,'Publication Bias Analysis'!BG108),"")</f>
        <v/>
      </c>
      <c r="IW108" s="124" t="str">
        <f t="shared" si="419"/>
        <v/>
      </c>
      <c r="IX108" s="125" t="e">
        <f>IF('Publication Bias Analysis'!BF108&lt;&gt;"",'Publication Bias Analysis'!BF108,NA())</f>
        <v>#N/A</v>
      </c>
      <c r="IY108" s="125" t="e">
        <f>IF('Publication Bias Analysis'!BG108&lt;&gt;"",'Publication Bias Analysis'!BG108,NA())</f>
        <v>#N/A</v>
      </c>
      <c r="IZ108" s="69" t="str">
        <f>IF(AND(Include_study?="Yes",Sufficient_data="Yes"),'Publication Bias Analysis'!BF:BF-AVERAGE('Publication Bias Analysis'!BF:BF),"")</f>
        <v/>
      </c>
      <c r="JA108" s="74" t="str">
        <f>IF(AND(Include_study?="Yes",Sufficient_data="Yes"),'Publication Bias Analysis'!BG:BG-('Publication Bias Analysis'!BJ$30+'Publication Bias Analysis'!BJ$31*'Publication Bias Analysis'!BF:BF),"")</f>
        <v/>
      </c>
      <c r="JG108" s="176"/>
      <c r="JH108" s="39" t="str">
        <f t="shared" si="420"/>
        <v/>
      </c>
      <c r="JI108" s="148" t="str">
        <f t="shared" si="332"/>
        <v/>
      </c>
      <c r="JJ108" s="74" t="str">
        <f t="shared" si="333"/>
        <v/>
      </c>
    </row>
    <row r="109" spans="1:270" x14ac:dyDescent="0.2">
      <c r="A109" s="56" t="str">
        <f t="shared" si="334"/>
        <v/>
      </c>
      <c r="B109" s="7" t="str">
        <f>IF(AND(Include_study?="Yes",Sufficient_data="Yes"),IF(Input!a_&lt;&gt;"",Input!a_,Input!n1_-Input!b_),"")</f>
        <v/>
      </c>
      <c r="C109" s="7" t="str">
        <f>IF(AND(Include_study?="Yes",Sufficient_data="Yes"),IF(Input!b_&lt;&gt;"",Input!b_,Input!n1_-Input!a_),"")</f>
        <v/>
      </c>
      <c r="D109" s="7" t="str">
        <f>IF(AND(Include_study?="Yes",Sufficient_data="Yes"),IF(Input!c_&lt;&gt;"",Input!c_,Input!n2_-Input!d_),"")</f>
        <v/>
      </c>
      <c r="E109" s="7" t="str">
        <f>IF(AND(Include_study?="Yes",Sufficient_data="Yes"),IF(Input!d_&lt;&gt;"",Input!d_,Input!n2_-Input!c_),"")</f>
        <v/>
      </c>
      <c r="F109" s="74" t="str">
        <f t="shared" si="335"/>
        <v/>
      </c>
      <c r="H109" s="196"/>
      <c r="I109" s="182"/>
      <c r="J109" s="146" t="str">
        <f t="shared" si="245"/>
        <v/>
      </c>
      <c r="K109" s="39" t="str">
        <f t="shared" si="336"/>
        <v/>
      </c>
      <c r="L109" s="39" t="str">
        <f t="shared" si="337"/>
        <v/>
      </c>
      <c r="M109" s="39" t="str">
        <f t="shared" si="338"/>
        <v/>
      </c>
      <c r="N109" s="74" t="str">
        <f t="shared" si="339"/>
        <v/>
      </c>
      <c r="P109" s="176"/>
      <c r="Q109" s="130" t="str">
        <f t="shared" si="340"/>
        <v/>
      </c>
      <c r="R109" s="39" t="str">
        <f t="shared" si="341"/>
        <v/>
      </c>
      <c r="S109" s="39" t="str">
        <f t="shared" si="342"/>
        <v/>
      </c>
      <c r="T109" s="74" t="str">
        <f t="shared" si="343"/>
        <v/>
      </c>
      <c r="V109" s="176"/>
      <c r="W109" s="130" t="str">
        <f t="shared" si="344"/>
        <v/>
      </c>
      <c r="X109" s="39" t="str">
        <f t="shared" si="345"/>
        <v/>
      </c>
      <c r="Y109" s="39" t="str">
        <f t="shared" si="346"/>
        <v/>
      </c>
      <c r="Z109" s="74" t="str">
        <f t="shared" si="347"/>
        <v/>
      </c>
      <c r="AB109" s="176"/>
      <c r="AC109" s="130" t="str">
        <f t="shared" si="348"/>
        <v/>
      </c>
      <c r="AD109" s="39" t="str">
        <f t="shared" si="349"/>
        <v/>
      </c>
      <c r="AE109" s="39" t="str">
        <f t="shared" si="350"/>
        <v/>
      </c>
      <c r="AF109" s="39" t="str">
        <f t="shared" si="351"/>
        <v/>
      </c>
      <c r="AG109" s="74" t="str">
        <f t="shared" si="352"/>
        <v/>
      </c>
      <c r="AI109" s="196"/>
      <c r="AJ10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09" s="136" t="str">
        <f>IF(AJ109&lt;&gt;"",IF(AJ109=0,COUNTIF(AJ$2:AJ108,0)+1,COUNTIF(AJ$2:AJ108,AJ109)+AJ109+COUNTIF(AJ:AJ,0)),"")</f>
        <v/>
      </c>
      <c r="AL109" s="136" t="str">
        <f t="shared" si="263"/>
        <v/>
      </c>
      <c r="AM109" s="155" t="str">
        <f>IF(AND(Include_study?="Yes",Sufficient_data="Yes",Input!Study_name&lt;&gt;""),Input!Study_name,"")</f>
        <v/>
      </c>
      <c r="AN109" s="136" t="str">
        <f t="shared" si="264"/>
        <v/>
      </c>
      <c r="AO109" s="19" t="str">
        <f t="shared" si="353"/>
        <v/>
      </c>
      <c r="AP109" s="158" t="str">
        <f t="shared" si="354"/>
        <v/>
      </c>
      <c r="AQ109" s="158" t="str">
        <f t="shared" si="355"/>
        <v/>
      </c>
      <c r="AR109" s="39" t="str">
        <f t="shared" si="356"/>
        <v/>
      </c>
      <c r="AS109" s="158" t="str">
        <f t="shared" si="357"/>
        <v/>
      </c>
      <c r="AT109" s="39" t="str">
        <f t="shared" si="358"/>
        <v/>
      </c>
      <c r="AU109" s="172" t="str">
        <f t="shared" si="359"/>
        <v/>
      </c>
      <c r="AV109" s="45"/>
      <c r="AW109" s="84" t="e">
        <f t="shared" si="360"/>
        <v>#N/A</v>
      </c>
      <c r="AX109" s="69" t="e">
        <f t="shared" si="361"/>
        <v>#N/A</v>
      </c>
      <c r="AY109" s="74" t="e">
        <f t="shared" si="362"/>
        <v>#N/A</v>
      </c>
      <c r="AZ109" s="45"/>
      <c r="BA109" s="45"/>
      <c r="BB109" s="45"/>
      <c r="BC109" s="45"/>
      <c r="BD109" s="196"/>
      <c r="BE109" s="182"/>
      <c r="BF109" s="69" t="str">
        <f t="shared" si="363"/>
        <v/>
      </c>
      <c r="BG109" s="69" t="str">
        <f t="shared" si="364"/>
        <v/>
      </c>
      <c r="BH109" s="69" t="str">
        <f t="shared" si="365"/>
        <v/>
      </c>
      <c r="BI109" s="39" t="str">
        <f t="shared" si="366"/>
        <v/>
      </c>
      <c r="BJ109" s="95" t="str">
        <f t="shared" si="367"/>
        <v/>
      </c>
      <c r="BO109" s="176"/>
      <c r="BP109" s="158" t="str">
        <f t="shared" si="368"/>
        <v/>
      </c>
      <c r="BQ109" s="158" t="str">
        <f t="shared" si="369"/>
        <v/>
      </c>
      <c r="BR109" s="158" t="str">
        <f t="shared" si="370"/>
        <v/>
      </c>
      <c r="BS109" s="158" t="str">
        <f>IF(AND(Sufficient_data="Yes",Include_study?="Yes"),IF(Add_0_5="Yes",(a_+d_+1)*(ab_+0.5)*(c_+0.5)/(Number_of_subjects+2)^2,(a_+d_)*b_*c_/Number_of_subjects^2),"")</f>
        <v/>
      </c>
      <c r="BT109" s="158" t="str">
        <f t="shared" si="371"/>
        <v/>
      </c>
      <c r="BU109" s="158" t="str">
        <f t="shared" si="372"/>
        <v/>
      </c>
      <c r="BV109" s="158" t="str">
        <f t="shared" si="373"/>
        <v/>
      </c>
      <c r="BW109" s="69" t="str">
        <f t="shared" si="374"/>
        <v/>
      </c>
      <c r="BX109" s="137" t="str">
        <f t="shared" si="375"/>
        <v/>
      </c>
      <c r="BY109" s="95" t="str">
        <f t="shared" si="376"/>
        <v/>
      </c>
      <c r="CD109" s="176"/>
      <c r="CE109" s="130" t="str">
        <f t="shared" si="377"/>
        <v/>
      </c>
      <c r="CF109" s="39" t="str">
        <f t="shared" si="378"/>
        <v/>
      </c>
      <c r="CG109" s="39" t="str">
        <f t="shared" si="379"/>
        <v/>
      </c>
      <c r="CH109" s="39" t="str">
        <f t="shared" si="380"/>
        <v/>
      </c>
      <c r="CI109" s="39" t="str">
        <f t="shared" si="381"/>
        <v/>
      </c>
      <c r="CJ109" s="39" t="str">
        <f t="shared" si="287"/>
        <v/>
      </c>
      <c r="CK109" s="95" t="str">
        <f t="shared" si="382"/>
        <v/>
      </c>
      <c r="CP109" s="176"/>
      <c r="CQ109" s="99" t="str">
        <f t="shared" si="383"/>
        <v/>
      </c>
      <c r="CX109" s="196"/>
      <c r="CY109" s="89" t="e">
        <f t="shared" si="384"/>
        <v>#N/A</v>
      </c>
      <c r="CZ109" s="136" t="str">
        <f t="shared" si="385"/>
        <v/>
      </c>
      <c r="DA109" s="140" t="str">
        <f t="shared" si="386"/>
        <v/>
      </c>
      <c r="DB109" s="39" t="str">
        <f t="shared" si="387"/>
        <v/>
      </c>
      <c r="DC109" s="39" t="str">
        <f t="shared" si="388"/>
        <v/>
      </c>
      <c r="DD109" s="39" t="str">
        <f t="shared" si="389"/>
        <v/>
      </c>
      <c r="DE109" s="39" t="str">
        <f t="shared" si="390"/>
        <v/>
      </c>
      <c r="DF109" s="141" t="str">
        <f t="shared" si="391"/>
        <v/>
      </c>
      <c r="DG109" s="39" t="str">
        <f t="shared" si="392"/>
        <v/>
      </c>
      <c r="DH109" s="39" t="str">
        <f t="shared" si="393"/>
        <v/>
      </c>
      <c r="DI109" s="39" t="str">
        <f t="shared" si="394"/>
        <v/>
      </c>
      <c r="DJ109" s="74" t="str">
        <f t="shared" si="395"/>
        <v/>
      </c>
      <c r="DK109" s="45"/>
      <c r="DL109" s="84" t="e">
        <f t="shared" si="222"/>
        <v>#N/A</v>
      </c>
      <c r="DM109" s="39" t="e">
        <f t="shared" si="396"/>
        <v>#N/A</v>
      </c>
      <c r="DN109" s="74" t="e">
        <f t="shared" si="397"/>
        <v>#N/A</v>
      </c>
      <c r="DO109" s="45"/>
      <c r="DP109" s="89" t="str">
        <f t="shared" si="326"/>
        <v/>
      </c>
      <c r="DQ109" s="26" t="str">
        <f>IF(AND(Sufficient_data="Yes",Subgroup&lt;&gt;""),IF(COUNTIFS(Input!J$2:J108,"="&amp;"Yes",Input!C$2:C108,"="&amp;"Yes",Input!K$2:K108,"="&amp;Subgroup)&gt;0,"",Subgroup),"")</f>
        <v/>
      </c>
      <c r="DR109" s="7" t="str">
        <f t="shared" si="327"/>
        <v/>
      </c>
      <c r="DS109" s="7" t="str">
        <f t="shared" si="398"/>
        <v/>
      </c>
      <c r="DT109" s="19" t="str">
        <f t="shared" si="399"/>
        <v/>
      </c>
      <c r="DU109" s="12" t="str">
        <f t="shared" si="223"/>
        <v/>
      </c>
      <c r="DV109" s="11" t="str">
        <f t="shared" si="224"/>
        <v/>
      </c>
      <c r="DW109" s="12" t="str">
        <f t="shared" si="225"/>
        <v/>
      </c>
      <c r="DX109" s="12" t="str">
        <f t="shared" si="400"/>
        <v/>
      </c>
      <c r="DY109" s="19" t="str">
        <f t="shared" si="226"/>
        <v/>
      </c>
      <c r="DZ109" s="12" t="str">
        <f t="shared" si="227"/>
        <v/>
      </c>
      <c r="EA109" s="19" t="str">
        <f t="shared" si="401"/>
        <v/>
      </c>
      <c r="EB109" s="7" t="str">
        <f t="shared" si="402"/>
        <v/>
      </c>
      <c r="EC109" s="19" t="str">
        <f t="shared" si="403"/>
        <v/>
      </c>
      <c r="ED109" s="19" t="str">
        <f t="shared" si="404"/>
        <v/>
      </c>
      <c r="EE109" s="19" t="str">
        <f t="shared" si="228"/>
        <v/>
      </c>
      <c r="EF109" s="19" t="str">
        <f t="shared" si="229"/>
        <v/>
      </c>
      <c r="EG109" s="19" t="str">
        <f t="shared" si="230"/>
        <v/>
      </c>
      <c r="EH109" s="19" t="str">
        <f t="shared" si="231"/>
        <v/>
      </c>
      <c r="EI109" s="19" t="str">
        <f t="shared" si="232"/>
        <v/>
      </c>
      <c r="EJ109" s="19" t="str">
        <f t="shared" si="405"/>
        <v/>
      </c>
      <c r="EK109" s="19" t="str">
        <f t="shared" si="406"/>
        <v/>
      </c>
      <c r="EL109" s="19" t="str">
        <f t="shared" si="233"/>
        <v/>
      </c>
      <c r="EM109" s="19" t="str">
        <f t="shared" si="234"/>
        <v/>
      </c>
      <c r="EN109" s="19" t="str">
        <f t="shared" si="235"/>
        <v/>
      </c>
      <c r="EO109" s="19" t="str">
        <f t="shared" si="236"/>
        <v/>
      </c>
      <c r="EP109" s="19" t="str">
        <f t="shared" si="237"/>
        <v/>
      </c>
      <c r="EQ109" s="19" t="e">
        <f t="shared" si="238"/>
        <v>#N/A</v>
      </c>
      <c r="ER109" s="11" t="str">
        <f t="shared" si="328"/>
        <v/>
      </c>
      <c r="ES109" s="19" t="str">
        <f t="shared" si="329"/>
        <v/>
      </c>
      <c r="ET109" s="156" t="str">
        <f t="shared" si="407"/>
        <v/>
      </c>
      <c r="EU109" s="39" t="str">
        <f t="shared" si="239"/>
        <v/>
      </c>
      <c r="EV109" s="74" t="str">
        <f t="shared" si="408"/>
        <v/>
      </c>
      <c r="FA109" s="196"/>
      <c r="FB109" s="84" t="e">
        <f>IF(AND(Include_study?="Yes",Sufficient_data="Yes",Moderator&lt;&gt;""),'Moderator Analysis'!E109,NA())</f>
        <v>#N/A</v>
      </c>
      <c r="FC109" s="39" t="e">
        <f>IF(AND(Include_study?="Yes",Sufficient_data="Yes",Moderator&lt;&gt;""),'Moderator Analysis'!F109,NA())</f>
        <v>#N/A</v>
      </c>
      <c r="FD109" s="39" t="str">
        <f t="shared" si="409"/>
        <v/>
      </c>
      <c r="FE109" s="39" t="str">
        <f t="shared" si="410"/>
        <v/>
      </c>
      <c r="FF109" s="39" t="str">
        <f>IF(AND(Include_study?="Yes",Sufficient_data="Yes",Moderator&lt;&gt;""),'Moderator Analysis'!F:F-FP$2,"")</f>
        <v/>
      </c>
      <c r="FG109" s="39" t="str">
        <f>IF(AND(Include_study?="Yes",Sufficient_data="Yes",Moderator&lt;&gt;""),'Moderator Analysis'!E:E-FP$3,"")</f>
        <v/>
      </c>
      <c r="FH109" s="74" t="str">
        <f>IF(AND(Include_study?="Yes",Sufficient_data="Yes",Moderator&lt;&gt;""),FE:FE*('Moderator Analysis'!F:F-FP$5-FP$4*'Moderator Analysis'!E:E)^2,"")</f>
        <v/>
      </c>
      <c r="FI109" s="128"/>
      <c r="FJ109" s="92" t="str">
        <f t="shared" si="411"/>
        <v/>
      </c>
      <c r="FK109" s="137" t="str">
        <f>IF(AND(Include_study?="Yes",Sufficient_data="Yes",Moderator&lt;&gt;""),'Moderator Analysis'!F:F-'Moderator Analysis'!J$37,"")</f>
        <v/>
      </c>
      <c r="FL109" s="137" t="str">
        <f>IF(AND(Include_study?="Yes",Sufficient_data="Yes",Moderator&lt;&gt;""),'Moderator Analysis'!E:E-SUMPRODUCT('Moderator Analysis'!E:E,FJ:FJ)/SUM(FJ:FJ),"")</f>
        <v/>
      </c>
      <c r="FM109" s="95" t="str">
        <f>IF(AND(Include_study?="Yes",Sufficient_data="Yes",Moderator&lt;&gt;""),FJ:FJ*('Moderator Analysis'!F:F-'Moderator Analysis'!J$29-'Moderator Analysis'!J$30*'Moderator Analysis'!E:E)^2,"")</f>
        <v/>
      </c>
      <c r="FR109" s="196"/>
      <c r="FS109" s="182"/>
      <c r="FT10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09" s="39" t="str">
        <f>IF(AND(Include_study?="Yes",Sufficient_data="Yes"),1/('Publication Bias Analysis'!F:F^2+IF(Additional_model="Fixed effect",0,Calculations!GH$12)),"")</f>
        <v/>
      </c>
      <c r="FV109" s="39" t="str">
        <f>IF(AND(Include_study?="Yes",Sufficient_data="Yes"),1/('Publication Bias Analysis'!F:F^2+IF(Additional_model="Fixed effect",0,'Publication Bias Analysis'!L$32)),"")</f>
        <v/>
      </c>
      <c r="FW109" s="39" t="str">
        <f>IF(AND(Include_study?="Yes",Sufficient_data="Yes"),'Publication Bias Analysis'!E:E-'Publication Bias Analysis'!I$37,"")</f>
        <v/>
      </c>
      <c r="FX109" s="39" t="str">
        <f>IF(AND(Include_study?="Yes",Sufficient_data="Yes"),IF(Additional_model="Fixed effect",1/'Publication Bias Analysis'!F:F,1/SQRT('Publication Bias Analysis'!F:F^2+GH$12)),"")</f>
        <v/>
      </c>
      <c r="FY10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09" s="136" t="str">
        <f t="shared" si="412"/>
        <v/>
      </c>
      <c r="GA109" s="144" t="str">
        <f>IF(AND(Include_study?="Yes",Sufficient_data="Yes"),FZ:FZ+IF(GL:GL&lt;0,-1,1)*COUNTIF(FZ$2:FZ108,FZ:FZ),"")</f>
        <v/>
      </c>
      <c r="GB109" s="144" t="str">
        <f>IF(AND(Include_study?="Yes",Sufficient_data="Yes"),RANK(GP:GP,GP:GP,1)*IF(GO:GO&lt;0,-1,1)+IF(GO:GO&lt;0,-1,1)*COUNTIF(FZ$2:FZ108,FZ:FZ),"")</f>
        <v/>
      </c>
      <c r="GC109" s="144" t="str">
        <f>IF(AND(Include_study?="Yes",Sufficient_data="Yes"),RANK(GS:GS,GS:GS,1)*IF(GR:GR&lt;0,-1,1)+IF(GR:GR&lt;0,-1,1)*COUNTIF(FZ$2:FZ108,FZ:FZ),"")</f>
        <v/>
      </c>
      <c r="GD109" s="39" t="e">
        <f>IF(AND(Include_study?="Yes",Sufficient_data="Yes"),'Publication Bias Analysis'!E109,NA())</f>
        <v>#N/A</v>
      </c>
      <c r="GE109" s="74" t="e">
        <f>IF(AND(Include_study?="Yes",Sufficient_data="Yes"),'Publication Bias Analysis'!F109,NA())</f>
        <v>#N/A</v>
      </c>
      <c r="GK109" s="176"/>
      <c r="GL10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09" s="39" t="str">
        <f t="shared" si="413"/>
        <v/>
      </c>
      <c r="GN10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09" s="39" t="str">
        <f>IF(AND(Include_study?="Yes",Sufficient_data="Yes"),IF('Publication Bias Analysis'!L$38="Left",'Publication Bias Analysis'!E:E-GW$3,GW$3-'Publication Bias Analysis'!E:E),"")</f>
        <v/>
      </c>
      <c r="GP109" s="39" t="str">
        <f t="shared" si="421"/>
        <v/>
      </c>
      <c r="GQ10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09" s="39" t="str">
        <f>IF(AND(Include_study?="Yes",Sufficient_data="Yes"),IF('Publication Bias Analysis'!L$38="Left",'Publication Bias Analysis'!E:E-GW$10,GW$10-'Publication Bias Analysis'!E:E),"")</f>
        <v/>
      </c>
      <c r="GS109" s="39" t="str">
        <f t="shared" si="422"/>
        <v/>
      </c>
      <c r="GT10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09" s="176"/>
      <c r="HL109" s="69" t="str">
        <f t="shared" si="319"/>
        <v/>
      </c>
      <c r="HM109" s="74" t="str">
        <f>IF(AND(Include_study?="Yes",Sufficient_data="Yes"),Z_score-('Publication Bias Analysis'!P$3+'Publication Bias Analysis'!P$4*Inverse_standard_error),"")</f>
        <v/>
      </c>
      <c r="HO109" s="176"/>
      <c r="HP109" s="69" t="str">
        <f>IF(AND(Include_study?="Yes",Sufficient_data="Yes"),(GD:GD-SUMPRODUCT(Calculations!FT:FT,'Publication Bias Analysis'!E:E)/SUM(Calculations!FT:FT))/SQRT(Calculations!HQ:HQ),"")</f>
        <v/>
      </c>
      <c r="HQ109" s="69" t="str">
        <f>IF(AND(Include_study?="Yes",Sufficient_data="Yes"),GE:GE^2-1/SUM(Calculations!FT:FT),"")</f>
        <v/>
      </c>
      <c r="HR109" s="7" t="str">
        <f t="shared" si="240"/>
        <v/>
      </c>
      <c r="HS109" s="7" t="str">
        <f t="shared" si="241"/>
        <v/>
      </c>
      <c r="HT109" s="7" t="str">
        <f>IF(AND(Include_study?="Yes",Sufficient_data="Yes"),COUNTIFS(HR$2:HR108,"&lt;"&amp;HR109,HS$2:HS108,"&lt;"&amp;HS109)+COUNTIFS(HR110:HR$201,"&lt;"&amp;HR109,HS110:HS$201,"&lt;"&amp;HS109)+COUNTIFS(HR$2:HR108,"&gt;"&amp;HR109,HS$2:HS108,"&gt;"&amp;HS109)+COUNTIFS(HR110:HR$201,"&gt;"&amp;HR109,HS110:HS$201,"&gt;"&amp;HS109),"")</f>
        <v/>
      </c>
      <c r="HU109" s="104" t="str">
        <f>IF(AND(Include_study?="Yes",Sufficient_data="Yes"),COUNTIFS(HR$2:HR108,"&lt;"&amp;HR109,HS$2:HS108,"&gt;"&amp;HS109)+COUNTIFS(HR110:HR$201,"&lt;"&amp;HR109,HS110:HS$201,"&gt;"&amp;HS109)+COUNTIFS(HR$2:HR108,"&gt;"&amp;HR109,HS$2:HS108,"&lt;"&amp;HS109)+COUNTIFS(HR110:HR$201,"&gt;"&amp;HR109,HS110:HS$201,"&lt;"&amp;HS109),"")</f>
        <v/>
      </c>
      <c r="HW109" s="176"/>
      <c r="IB109" s="176"/>
      <c r="IC109" s="146" t="e">
        <f t="shared" si="414"/>
        <v>#N/A</v>
      </c>
      <c r="ID109" s="137" t="e">
        <f t="shared" si="415"/>
        <v>#N/A</v>
      </c>
      <c r="IE109" s="137" t="str">
        <f t="shared" si="416"/>
        <v/>
      </c>
      <c r="IF109" s="95" t="str">
        <f t="shared" si="417"/>
        <v/>
      </c>
      <c r="IK109" s="176"/>
      <c r="IL109" s="69" t="e">
        <f>IF(AND(Include_study?="Yes",Sufficient_data="Yes"),'Publication Bias Analysis'!AV:AV,NA())</f>
        <v>#N/A</v>
      </c>
      <c r="IM109" s="158" t="e">
        <f>IF(AND(Sufficient_data="Yes",Include_study?="Yes"),'Publication Bias Analysis'!AU:AU,NA())</f>
        <v>#N/A</v>
      </c>
      <c r="IN109" s="69" t="str">
        <f t="shared" si="418"/>
        <v/>
      </c>
      <c r="IO109" s="74" t="str">
        <f>IF(AND(Include_study?="Yes",Sufficient_data="Yes"),Z_score-('Publication Bias Analysis'!AY$30+'Publication Bias Analysis'!AY$31*Inverse_standard_error),"")</f>
        <v/>
      </c>
      <c r="IU109" s="176"/>
      <c r="IV109" s="7" t="str">
        <f>IF('Publication Bias Analysis'!BG:BG&lt;&gt;"",RANK('Publication Bias Analysis'!BG:BG,'Publication Bias Analysis'!BG:BG,1)+COUNTIF('Publication Bias Analysis'!BG$2:BG108,'Publication Bias Analysis'!BG109),"")</f>
        <v/>
      </c>
      <c r="IW109" s="124" t="str">
        <f t="shared" si="419"/>
        <v/>
      </c>
      <c r="IX109" s="125" t="e">
        <f>IF('Publication Bias Analysis'!BF109&lt;&gt;"",'Publication Bias Analysis'!BF109,NA())</f>
        <v>#N/A</v>
      </c>
      <c r="IY109" s="125" t="e">
        <f>IF('Publication Bias Analysis'!BG109&lt;&gt;"",'Publication Bias Analysis'!BG109,NA())</f>
        <v>#N/A</v>
      </c>
      <c r="IZ109" s="69" t="str">
        <f>IF(AND(Include_study?="Yes",Sufficient_data="Yes"),'Publication Bias Analysis'!BF:BF-AVERAGE('Publication Bias Analysis'!BF:BF),"")</f>
        <v/>
      </c>
      <c r="JA109" s="74" t="str">
        <f>IF(AND(Include_study?="Yes",Sufficient_data="Yes"),'Publication Bias Analysis'!BG:BG-('Publication Bias Analysis'!BJ$30+'Publication Bias Analysis'!BJ$31*'Publication Bias Analysis'!BF:BF),"")</f>
        <v/>
      </c>
      <c r="JG109" s="176"/>
      <c r="JH109" s="39" t="str">
        <f t="shared" si="420"/>
        <v/>
      </c>
      <c r="JI109" s="148" t="str">
        <f t="shared" si="332"/>
        <v/>
      </c>
      <c r="JJ109" s="74" t="str">
        <f t="shared" si="333"/>
        <v/>
      </c>
    </row>
    <row r="110" spans="1:270" x14ac:dyDescent="0.2">
      <c r="A110" s="56" t="str">
        <f t="shared" si="334"/>
        <v/>
      </c>
      <c r="B110" s="7" t="str">
        <f>IF(AND(Include_study?="Yes",Sufficient_data="Yes"),IF(Input!a_&lt;&gt;"",Input!a_,Input!n1_-Input!b_),"")</f>
        <v/>
      </c>
      <c r="C110" s="7" t="str">
        <f>IF(AND(Include_study?="Yes",Sufficient_data="Yes"),IF(Input!b_&lt;&gt;"",Input!b_,Input!n1_-Input!a_),"")</f>
        <v/>
      </c>
      <c r="D110" s="7" t="str">
        <f>IF(AND(Include_study?="Yes",Sufficient_data="Yes"),IF(Input!c_&lt;&gt;"",Input!c_,Input!n2_-Input!d_),"")</f>
        <v/>
      </c>
      <c r="E110" s="7" t="str">
        <f>IF(AND(Include_study?="Yes",Sufficient_data="Yes"),IF(Input!d_&lt;&gt;"",Input!d_,Input!n2_-Input!c_),"")</f>
        <v/>
      </c>
      <c r="F110" s="74" t="str">
        <f t="shared" si="335"/>
        <v/>
      </c>
      <c r="H110" s="196"/>
      <c r="I110" s="182"/>
      <c r="J110" s="146" t="str">
        <f t="shared" si="245"/>
        <v/>
      </c>
      <c r="K110" s="39" t="str">
        <f t="shared" si="336"/>
        <v/>
      </c>
      <c r="L110" s="39" t="str">
        <f t="shared" si="337"/>
        <v/>
      </c>
      <c r="M110" s="39" t="str">
        <f t="shared" si="338"/>
        <v/>
      </c>
      <c r="N110" s="74" t="str">
        <f t="shared" si="339"/>
        <v/>
      </c>
      <c r="P110" s="176"/>
      <c r="Q110" s="130" t="str">
        <f t="shared" si="340"/>
        <v/>
      </c>
      <c r="R110" s="39" t="str">
        <f t="shared" si="341"/>
        <v/>
      </c>
      <c r="S110" s="39" t="str">
        <f t="shared" si="342"/>
        <v/>
      </c>
      <c r="T110" s="74" t="str">
        <f t="shared" si="343"/>
        <v/>
      </c>
      <c r="V110" s="176"/>
      <c r="W110" s="130" t="str">
        <f t="shared" si="344"/>
        <v/>
      </c>
      <c r="X110" s="39" t="str">
        <f t="shared" si="345"/>
        <v/>
      </c>
      <c r="Y110" s="39" t="str">
        <f t="shared" si="346"/>
        <v/>
      </c>
      <c r="Z110" s="74" t="str">
        <f t="shared" si="347"/>
        <v/>
      </c>
      <c r="AB110" s="176"/>
      <c r="AC110" s="130" t="str">
        <f t="shared" si="348"/>
        <v/>
      </c>
      <c r="AD110" s="39" t="str">
        <f t="shared" si="349"/>
        <v/>
      </c>
      <c r="AE110" s="39" t="str">
        <f t="shared" si="350"/>
        <v/>
      </c>
      <c r="AF110" s="39" t="str">
        <f t="shared" si="351"/>
        <v/>
      </c>
      <c r="AG110" s="74" t="str">
        <f t="shared" si="352"/>
        <v/>
      </c>
      <c r="AI110" s="196"/>
      <c r="AJ11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0" s="136" t="str">
        <f>IF(AJ110&lt;&gt;"",IF(AJ110=0,COUNTIF(AJ$2:AJ109,0)+1,COUNTIF(AJ$2:AJ109,AJ110)+AJ110+COUNTIF(AJ:AJ,0)),"")</f>
        <v/>
      </c>
      <c r="AL110" s="136" t="str">
        <f t="shared" si="263"/>
        <v/>
      </c>
      <c r="AM110" s="155" t="str">
        <f>IF(AND(Include_study?="Yes",Sufficient_data="Yes",Input!Study_name&lt;&gt;""),Input!Study_name,"")</f>
        <v/>
      </c>
      <c r="AN110" s="136" t="str">
        <f t="shared" si="264"/>
        <v/>
      </c>
      <c r="AO110" s="19" t="str">
        <f t="shared" si="353"/>
        <v/>
      </c>
      <c r="AP110" s="158" t="str">
        <f t="shared" si="354"/>
        <v/>
      </c>
      <c r="AQ110" s="158" t="str">
        <f t="shared" si="355"/>
        <v/>
      </c>
      <c r="AR110" s="39" t="str">
        <f t="shared" si="356"/>
        <v/>
      </c>
      <c r="AS110" s="158" t="str">
        <f t="shared" si="357"/>
        <v/>
      </c>
      <c r="AT110" s="39" t="str">
        <f t="shared" si="358"/>
        <v/>
      </c>
      <c r="AU110" s="172" t="str">
        <f t="shared" si="359"/>
        <v/>
      </c>
      <c r="AV110" s="45"/>
      <c r="AW110" s="84" t="e">
        <f t="shared" si="360"/>
        <v>#N/A</v>
      </c>
      <c r="AX110" s="69" t="e">
        <f t="shared" si="361"/>
        <v>#N/A</v>
      </c>
      <c r="AY110" s="74" t="e">
        <f t="shared" si="362"/>
        <v>#N/A</v>
      </c>
      <c r="AZ110" s="45"/>
      <c r="BA110" s="45"/>
      <c r="BB110" s="45"/>
      <c r="BC110" s="45"/>
      <c r="BD110" s="196"/>
      <c r="BE110" s="182"/>
      <c r="BF110" s="69" t="str">
        <f t="shared" si="363"/>
        <v/>
      </c>
      <c r="BG110" s="69" t="str">
        <f t="shared" si="364"/>
        <v/>
      </c>
      <c r="BH110" s="69" t="str">
        <f t="shared" si="365"/>
        <v/>
      </c>
      <c r="BI110" s="39" t="str">
        <f t="shared" si="366"/>
        <v/>
      </c>
      <c r="BJ110" s="95" t="str">
        <f t="shared" si="367"/>
        <v/>
      </c>
      <c r="BO110" s="176"/>
      <c r="BP110" s="158" t="str">
        <f t="shared" si="368"/>
        <v/>
      </c>
      <c r="BQ110" s="158" t="str">
        <f t="shared" si="369"/>
        <v/>
      </c>
      <c r="BR110" s="158" t="str">
        <f t="shared" si="370"/>
        <v/>
      </c>
      <c r="BS110" s="158" t="str">
        <f>IF(AND(Sufficient_data="Yes",Include_study?="Yes"),IF(Add_0_5="Yes",(a_+d_+1)*(ab_+0.5)*(c_+0.5)/(Number_of_subjects+2)^2,(a_+d_)*b_*c_/Number_of_subjects^2),"")</f>
        <v/>
      </c>
      <c r="BT110" s="158" t="str">
        <f t="shared" si="371"/>
        <v/>
      </c>
      <c r="BU110" s="158" t="str">
        <f t="shared" si="372"/>
        <v/>
      </c>
      <c r="BV110" s="158" t="str">
        <f t="shared" si="373"/>
        <v/>
      </c>
      <c r="BW110" s="69" t="str">
        <f t="shared" si="374"/>
        <v/>
      </c>
      <c r="BX110" s="137" t="str">
        <f t="shared" si="375"/>
        <v/>
      </c>
      <c r="BY110" s="95" t="str">
        <f t="shared" si="376"/>
        <v/>
      </c>
      <c r="CD110" s="176"/>
      <c r="CE110" s="130" t="str">
        <f t="shared" si="377"/>
        <v/>
      </c>
      <c r="CF110" s="39" t="str">
        <f t="shared" si="378"/>
        <v/>
      </c>
      <c r="CG110" s="39" t="str">
        <f t="shared" si="379"/>
        <v/>
      </c>
      <c r="CH110" s="39" t="str">
        <f t="shared" si="380"/>
        <v/>
      </c>
      <c r="CI110" s="39" t="str">
        <f t="shared" si="381"/>
        <v/>
      </c>
      <c r="CJ110" s="39" t="str">
        <f t="shared" si="287"/>
        <v/>
      </c>
      <c r="CK110" s="95" t="str">
        <f t="shared" si="382"/>
        <v/>
      </c>
      <c r="CP110" s="176"/>
      <c r="CQ110" s="99" t="str">
        <f t="shared" si="383"/>
        <v/>
      </c>
      <c r="CX110" s="196"/>
      <c r="CY110" s="89" t="e">
        <f t="shared" si="384"/>
        <v>#N/A</v>
      </c>
      <c r="CZ110" s="136" t="str">
        <f t="shared" si="385"/>
        <v/>
      </c>
      <c r="DA110" s="140" t="str">
        <f t="shared" si="386"/>
        <v/>
      </c>
      <c r="DB110" s="39" t="str">
        <f t="shared" si="387"/>
        <v/>
      </c>
      <c r="DC110" s="39" t="str">
        <f t="shared" si="388"/>
        <v/>
      </c>
      <c r="DD110" s="39" t="str">
        <f t="shared" si="389"/>
        <v/>
      </c>
      <c r="DE110" s="39" t="str">
        <f t="shared" si="390"/>
        <v/>
      </c>
      <c r="DF110" s="141" t="str">
        <f t="shared" si="391"/>
        <v/>
      </c>
      <c r="DG110" s="39" t="str">
        <f t="shared" si="392"/>
        <v/>
      </c>
      <c r="DH110" s="39" t="str">
        <f t="shared" si="393"/>
        <v/>
      </c>
      <c r="DI110" s="39" t="str">
        <f t="shared" si="394"/>
        <v/>
      </c>
      <c r="DJ110" s="74" t="str">
        <f t="shared" si="395"/>
        <v/>
      </c>
      <c r="DK110" s="45"/>
      <c r="DL110" s="84" t="e">
        <f t="shared" si="222"/>
        <v>#N/A</v>
      </c>
      <c r="DM110" s="39" t="e">
        <f t="shared" si="396"/>
        <v>#N/A</v>
      </c>
      <c r="DN110" s="74" t="e">
        <f t="shared" si="397"/>
        <v>#N/A</v>
      </c>
      <c r="DO110" s="45"/>
      <c r="DP110" s="89" t="str">
        <f t="shared" si="326"/>
        <v/>
      </c>
      <c r="DQ110" s="26" t="str">
        <f>IF(AND(Sufficient_data="Yes",Subgroup&lt;&gt;""),IF(COUNTIFS(Input!J$2:J109,"="&amp;"Yes",Input!C$2:C109,"="&amp;"Yes",Input!K$2:K109,"="&amp;Subgroup)&gt;0,"",Subgroup),"")</f>
        <v/>
      </c>
      <c r="DR110" s="7" t="str">
        <f t="shared" si="327"/>
        <v/>
      </c>
      <c r="DS110" s="7" t="str">
        <f t="shared" si="398"/>
        <v/>
      </c>
      <c r="DT110" s="19" t="str">
        <f t="shared" si="399"/>
        <v/>
      </c>
      <c r="DU110" s="12" t="str">
        <f t="shared" si="223"/>
        <v/>
      </c>
      <c r="DV110" s="11" t="str">
        <f t="shared" si="224"/>
        <v/>
      </c>
      <c r="DW110" s="12" t="str">
        <f t="shared" si="225"/>
        <v/>
      </c>
      <c r="DX110" s="12" t="str">
        <f t="shared" si="400"/>
        <v/>
      </c>
      <c r="DY110" s="19" t="str">
        <f t="shared" si="226"/>
        <v/>
      </c>
      <c r="DZ110" s="12" t="str">
        <f t="shared" si="227"/>
        <v/>
      </c>
      <c r="EA110" s="19" t="str">
        <f t="shared" si="401"/>
        <v/>
      </c>
      <c r="EB110" s="7" t="str">
        <f t="shared" si="402"/>
        <v/>
      </c>
      <c r="EC110" s="19" t="str">
        <f t="shared" si="403"/>
        <v/>
      </c>
      <c r="ED110" s="19" t="str">
        <f t="shared" si="404"/>
        <v/>
      </c>
      <c r="EE110" s="19" t="str">
        <f t="shared" si="228"/>
        <v/>
      </c>
      <c r="EF110" s="19" t="str">
        <f t="shared" si="229"/>
        <v/>
      </c>
      <c r="EG110" s="19" t="str">
        <f t="shared" si="230"/>
        <v/>
      </c>
      <c r="EH110" s="19" t="str">
        <f t="shared" si="231"/>
        <v/>
      </c>
      <c r="EI110" s="19" t="str">
        <f t="shared" si="232"/>
        <v/>
      </c>
      <c r="EJ110" s="19" t="str">
        <f t="shared" si="405"/>
        <v/>
      </c>
      <c r="EK110" s="19" t="str">
        <f t="shared" si="406"/>
        <v/>
      </c>
      <c r="EL110" s="19" t="str">
        <f t="shared" si="233"/>
        <v/>
      </c>
      <c r="EM110" s="19" t="str">
        <f t="shared" si="234"/>
        <v/>
      </c>
      <c r="EN110" s="19" t="str">
        <f t="shared" si="235"/>
        <v/>
      </c>
      <c r="EO110" s="19" t="str">
        <f t="shared" si="236"/>
        <v/>
      </c>
      <c r="EP110" s="19" t="str">
        <f t="shared" si="237"/>
        <v/>
      </c>
      <c r="EQ110" s="19" t="e">
        <f t="shared" si="238"/>
        <v>#N/A</v>
      </c>
      <c r="ER110" s="11" t="str">
        <f t="shared" si="328"/>
        <v/>
      </c>
      <c r="ES110" s="19" t="str">
        <f t="shared" si="329"/>
        <v/>
      </c>
      <c r="ET110" s="156" t="str">
        <f t="shared" si="407"/>
        <v/>
      </c>
      <c r="EU110" s="39" t="str">
        <f t="shared" si="239"/>
        <v/>
      </c>
      <c r="EV110" s="74" t="str">
        <f t="shared" si="408"/>
        <v/>
      </c>
      <c r="FA110" s="196"/>
      <c r="FB110" s="84" t="e">
        <f>IF(AND(Include_study?="Yes",Sufficient_data="Yes",Moderator&lt;&gt;""),'Moderator Analysis'!E110,NA())</f>
        <v>#N/A</v>
      </c>
      <c r="FC110" s="39" t="e">
        <f>IF(AND(Include_study?="Yes",Sufficient_data="Yes",Moderator&lt;&gt;""),'Moderator Analysis'!F110,NA())</f>
        <v>#N/A</v>
      </c>
      <c r="FD110" s="39" t="str">
        <f t="shared" si="409"/>
        <v/>
      </c>
      <c r="FE110" s="39" t="str">
        <f t="shared" si="410"/>
        <v/>
      </c>
      <c r="FF110" s="39" t="str">
        <f>IF(AND(Include_study?="Yes",Sufficient_data="Yes",Moderator&lt;&gt;""),'Moderator Analysis'!F:F-FP$2,"")</f>
        <v/>
      </c>
      <c r="FG110" s="39" t="str">
        <f>IF(AND(Include_study?="Yes",Sufficient_data="Yes",Moderator&lt;&gt;""),'Moderator Analysis'!E:E-FP$3,"")</f>
        <v/>
      </c>
      <c r="FH110" s="74" t="str">
        <f>IF(AND(Include_study?="Yes",Sufficient_data="Yes",Moderator&lt;&gt;""),FE:FE*('Moderator Analysis'!F:F-FP$5-FP$4*'Moderator Analysis'!E:E)^2,"")</f>
        <v/>
      </c>
      <c r="FI110" s="128"/>
      <c r="FJ110" s="92" t="str">
        <f t="shared" si="411"/>
        <v/>
      </c>
      <c r="FK110" s="137" t="str">
        <f>IF(AND(Include_study?="Yes",Sufficient_data="Yes",Moderator&lt;&gt;""),'Moderator Analysis'!F:F-'Moderator Analysis'!J$37,"")</f>
        <v/>
      </c>
      <c r="FL110" s="137" t="str">
        <f>IF(AND(Include_study?="Yes",Sufficient_data="Yes",Moderator&lt;&gt;""),'Moderator Analysis'!E:E-SUMPRODUCT('Moderator Analysis'!E:E,FJ:FJ)/SUM(FJ:FJ),"")</f>
        <v/>
      </c>
      <c r="FM110" s="95" t="str">
        <f>IF(AND(Include_study?="Yes",Sufficient_data="Yes",Moderator&lt;&gt;""),FJ:FJ*('Moderator Analysis'!F:F-'Moderator Analysis'!J$29-'Moderator Analysis'!J$30*'Moderator Analysis'!E:E)^2,"")</f>
        <v/>
      </c>
      <c r="FR110" s="196"/>
      <c r="FS110" s="182"/>
      <c r="FT11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0" s="39" t="str">
        <f>IF(AND(Include_study?="Yes",Sufficient_data="Yes"),1/('Publication Bias Analysis'!F:F^2+IF(Additional_model="Fixed effect",0,Calculations!GH$12)),"")</f>
        <v/>
      </c>
      <c r="FV110" s="39" t="str">
        <f>IF(AND(Include_study?="Yes",Sufficient_data="Yes"),1/('Publication Bias Analysis'!F:F^2+IF(Additional_model="Fixed effect",0,'Publication Bias Analysis'!L$32)),"")</f>
        <v/>
      </c>
      <c r="FW110" s="39" t="str">
        <f>IF(AND(Include_study?="Yes",Sufficient_data="Yes"),'Publication Bias Analysis'!E:E-'Publication Bias Analysis'!I$37,"")</f>
        <v/>
      </c>
      <c r="FX110" s="39" t="str">
        <f>IF(AND(Include_study?="Yes",Sufficient_data="Yes"),IF(Additional_model="Fixed effect",1/'Publication Bias Analysis'!F:F,1/SQRT('Publication Bias Analysis'!F:F^2+GH$12)),"")</f>
        <v/>
      </c>
      <c r="FY11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0" s="136" t="str">
        <f t="shared" si="412"/>
        <v/>
      </c>
      <c r="GA110" s="144" t="str">
        <f>IF(AND(Include_study?="Yes",Sufficient_data="Yes"),FZ:FZ+IF(GL:GL&lt;0,-1,1)*COUNTIF(FZ$2:FZ109,FZ:FZ),"")</f>
        <v/>
      </c>
      <c r="GB110" s="144" t="str">
        <f>IF(AND(Include_study?="Yes",Sufficient_data="Yes"),RANK(GP:GP,GP:GP,1)*IF(GO:GO&lt;0,-1,1)+IF(GO:GO&lt;0,-1,1)*COUNTIF(FZ$2:FZ109,FZ:FZ),"")</f>
        <v/>
      </c>
      <c r="GC110" s="144" t="str">
        <f>IF(AND(Include_study?="Yes",Sufficient_data="Yes"),RANK(GS:GS,GS:GS,1)*IF(GR:GR&lt;0,-1,1)+IF(GR:GR&lt;0,-1,1)*COUNTIF(FZ$2:FZ109,FZ:FZ),"")</f>
        <v/>
      </c>
      <c r="GD110" s="39" t="e">
        <f>IF(AND(Include_study?="Yes",Sufficient_data="Yes"),'Publication Bias Analysis'!E110,NA())</f>
        <v>#N/A</v>
      </c>
      <c r="GE110" s="74" t="e">
        <f>IF(AND(Include_study?="Yes",Sufficient_data="Yes"),'Publication Bias Analysis'!F110,NA())</f>
        <v>#N/A</v>
      </c>
      <c r="GK110" s="176"/>
      <c r="GL11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0" s="39" t="str">
        <f t="shared" si="413"/>
        <v/>
      </c>
      <c r="GN11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0" s="39" t="str">
        <f>IF(AND(Include_study?="Yes",Sufficient_data="Yes"),IF('Publication Bias Analysis'!L$38="Left",'Publication Bias Analysis'!E:E-GW$3,GW$3-'Publication Bias Analysis'!E:E),"")</f>
        <v/>
      </c>
      <c r="GP110" s="39" t="str">
        <f t="shared" si="421"/>
        <v/>
      </c>
      <c r="GQ11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0" s="39" t="str">
        <f>IF(AND(Include_study?="Yes",Sufficient_data="Yes"),IF('Publication Bias Analysis'!L$38="Left",'Publication Bias Analysis'!E:E-GW$10,GW$10-'Publication Bias Analysis'!E:E),"")</f>
        <v/>
      </c>
      <c r="GS110" s="39" t="str">
        <f t="shared" si="422"/>
        <v/>
      </c>
      <c r="GT11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0" s="176"/>
      <c r="HL110" s="69" t="str">
        <f t="shared" si="319"/>
        <v/>
      </c>
      <c r="HM110" s="74" t="str">
        <f>IF(AND(Include_study?="Yes",Sufficient_data="Yes"),Z_score-('Publication Bias Analysis'!P$3+'Publication Bias Analysis'!P$4*Inverse_standard_error),"")</f>
        <v/>
      </c>
      <c r="HO110" s="176"/>
      <c r="HP110" s="69" t="str">
        <f>IF(AND(Include_study?="Yes",Sufficient_data="Yes"),(GD:GD-SUMPRODUCT(Calculations!FT:FT,'Publication Bias Analysis'!E:E)/SUM(Calculations!FT:FT))/SQRT(Calculations!HQ:HQ),"")</f>
        <v/>
      </c>
      <c r="HQ110" s="69" t="str">
        <f>IF(AND(Include_study?="Yes",Sufficient_data="Yes"),GE:GE^2-1/SUM(Calculations!FT:FT),"")</f>
        <v/>
      </c>
      <c r="HR110" s="7" t="str">
        <f t="shared" si="240"/>
        <v/>
      </c>
      <c r="HS110" s="7" t="str">
        <f t="shared" si="241"/>
        <v/>
      </c>
      <c r="HT110" s="7" t="str">
        <f>IF(AND(Include_study?="Yes",Sufficient_data="Yes"),COUNTIFS(HR$2:HR109,"&lt;"&amp;HR110,HS$2:HS109,"&lt;"&amp;HS110)+COUNTIFS(HR111:HR$201,"&lt;"&amp;HR110,HS111:HS$201,"&lt;"&amp;HS110)+COUNTIFS(HR$2:HR109,"&gt;"&amp;HR110,HS$2:HS109,"&gt;"&amp;HS110)+COUNTIFS(HR111:HR$201,"&gt;"&amp;HR110,HS111:HS$201,"&gt;"&amp;HS110),"")</f>
        <v/>
      </c>
      <c r="HU110" s="104" t="str">
        <f>IF(AND(Include_study?="Yes",Sufficient_data="Yes"),COUNTIFS(HR$2:HR109,"&lt;"&amp;HR110,HS$2:HS109,"&gt;"&amp;HS110)+COUNTIFS(HR111:HR$201,"&lt;"&amp;HR110,HS111:HS$201,"&gt;"&amp;HS110)+COUNTIFS(HR$2:HR109,"&gt;"&amp;HR110,HS$2:HS109,"&lt;"&amp;HS110)+COUNTIFS(HR111:HR$201,"&gt;"&amp;HR110,HS111:HS$201,"&lt;"&amp;HS110),"")</f>
        <v/>
      </c>
      <c r="HW110" s="176"/>
      <c r="IB110" s="176"/>
      <c r="IC110" s="146" t="e">
        <f t="shared" si="414"/>
        <v>#N/A</v>
      </c>
      <c r="ID110" s="137" t="e">
        <f t="shared" si="415"/>
        <v>#N/A</v>
      </c>
      <c r="IE110" s="137" t="str">
        <f t="shared" si="416"/>
        <v/>
      </c>
      <c r="IF110" s="95" t="str">
        <f t="shared" si="417"/>
        <v/>
      </c>
      <c r="IK110" s="176"/>
      <c r="IL110" s="69" t="e">
        <f>IF(AND(Include_study?="Yes",Sufficient_data="Yes"),'Publication Bias Analysis'!AV:AV,NA())</f>
        <v>#N/A</v>
      </c>
      <c r="IM110" s="158" t="e">
        <f>IF(AND(Sufficient_data="Yes",Include_study?="Yes"),'Publication Bias Analysis'!AU:AU,NA())</f>
        <v>#N/A</v>
      </c>
      <c r="IN110" s="69" t="str">
        <f t="shared" si="418"/>
        <v/>
      </c>
      <c r="IO110" s="74" t="str">
        <f>IF(AND(Include_study?="Yes",Sufficient_data="Yes"),Z_score-('Publication Bias Analysis'!AY$30+'Publication Bias Analysis'!AY$31*Inverse_standard_error),"")</f>
        <v/>
      </c>
      <c r="IU110" s="176"/>
      <c r="IV110" s="7" t="str">
        <f>IF('Publication Bias Analysis'!BG:BG&lt;&gt;"",RANK('Publication Bias Analysis'!BG:BG,'Publication Bias Analysis'!BG:BG,1)+COUNTIF('Publication Bias Analysis'!BG$2:BG109,'Publication Bias Analysis'!BG110),"")</f>
        <v/>
      </c>
      <c r="IW110" s="124" t="str">
        <f t="shared" si="419"/>
        <v/>
      </c>
      <c r="IX110" s="125" t="e">
        <f>IF('Publication Bias Analysis'!BF110&lt;&gt;"",'Publication Bias Analysis'!BF110,NA())</f>
        <v>#N/A</v>
      </c>
      <c r="IY110" s="125" t="e">
        <f>IF('Publication Bias Analysis'!BG110&lt;&gt;"",'Publication Bias Analysis'!BG110,NA())</f>
        <v>#N/A</v>
      </c>
      <c r="IZ110" s="69" t="str">
        <f>IF(AND(Include_study?="Yes",Sufficient_data="Yes"),'Publication Bias Analysis'!BF:BF-AVERAGE('Publication Bias Analysis'!BF:BF),"")</f>
        <v/>
      </c>
      <c r="JA110" s="74" t="str">
        <f>IF(AND(Include_study?="Yes",Sufficient_data="Yes"),'Publication Bias Analysis'!BG:BG-('Publication Bias Analysis'!BJ$30+'Publication Bias Analysis'!BJ$31*'Publication Bias Analysis'!BF:BF),"")</f>
        <v/>
      </c>
      <c r="JG110" s="176"/>
      <c r="JH110" s="39" t="str">
        <f t="shared" si="420"/>
        <v/>
      </c>
      <c r="JI110" s="148" t="str">
        <f t="shared" si="332"/>
        <v/>
      </c>
      <c r="JJ110" s="74" t="str">
        <f t="shared" si="333"/>
        <v/>
      </c>
    </row>
    <row r="111" spans="1:270" x14ac:dyDescent="0.2">
      <c r="A111" s="56" t="str">
        <f t="shared" si="334"/>
        <v/>
      </c>
      <c r="B111" s="7" t="str">
        <f>IF(AND(Include_study?="Yes",Sufficient_data="Yes"),IF(Input!a_&lt;&gt;"",Input!a_,Input!n1_-Input!b_),"")</f>
        <v/>
      </c>
      <c r="C111" s="7" t="str">
        <f>IF(AND(Include_study?="Yes",Sufficient_data="Yes"),IF(Input!b_&lt;&gt;"",Input!b_,Input!n1_-Input!a_),"")</f>
        <v/>
      </c>
      <c r="D111" s="7" t="str">
        <f>IF(AND(Include_study?="Yes",Sufficient_data="Yes"),IF(Input!c_&lt;&gt;"",Input!c_,Input!n2_-Input!d_),"")</f>
        <v/>
      </c>
      <c r="E111" s="7" t="str">
        <f>IF(AND(Include_study?="Yes",Sufficient_data="Yes"),IF(Input!d_&lt;&gt;"",Input!d_,Input!n2_-Input!c_),"")</f>
        <v/>
      </c>
      <c r="F111" s="74" t="str">
        <f t="shared" si="335"/>
        <v/>
      </c>
      <c r="H111" s="196"/>
      <c r="I111" s="182"/>
      <c r="J111" s="146" t="str">
        <f t="shared" si="245"/>
        <v/>
      </c>
      <c r="K111" s="39" t="str">
        <f t="shared" si="336"/>
        <v/>
      </c>
      <c r="L111" s="39" t="str">
        <f t="shared" si="337"/>
        <v/>
      </c>
      <c r="M111" s="39" t="str">
        <f t="shared" si="338"/>
        <v/>
      </c>
      <c r="N111" s="74" t="str">
        <f t="shared" si="339"/>
        <v/>
      </c>
      <c r="P111" s="176"/>
      <c r="Q111" s="130" t="str">
        <f t="shared" si="340"/>
        <v/>
      </c>
      <c r="R111" s="39" t="str">
        <f t="shared" si="341"/>
        <v/>
      </c>
      <c r="S111" s="39" t="str">
        <f t="shared" si="342"/>
        <v/>
      </c>
      <c r="T111" s="74" t="str">
        <f t="shared" si="343"/>
        <v/>
      </c>
      <c r="V111" s="176"/>
      <c r="W111" s="130" t="str">
        <f t="shared" si="344"/>
        <v/>
      </c>
      <c r="X111" s="39" t="str">
        <f t="shared" si="345"/>
        <v/>
      </c>
      <c r="Y111" s="39" t="str">
        <f t="shared" si="346"/>
        <v/>
      </c>
      <c r="Z111" s="74" t="str">
        <f t="shared" si="347"/>
        <v/>
      </c>
      <c r="AB111" s="176"/>
      <c r="AC111" s="130" t="str">
        <f t="shared" si="348"/>
        <v/>
      </c>
      <c r="AD111" s="39" t="str">
        <f t="shared" si="349"/>
        <v/>
      </c>
      <c r="AE111" s="39" t="str">
        <f t="shared" si="350"/>
        <v/>
      </c>
      <c r="AF111" s="39" t="str">
        <f t="shared" si="351"/>
        <v/>
      </c>
      <c r="AG111" s="74" t="str">
        <f t="shared" si="352"/>
        <v/>
      </c>
      <c r="AI111" s="196"/>
      <c r="AJ11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1" s="136" t="str">
        <f>IF(AJ111&lt;&gt;"",IF(AJ111=0,COUNTIF(AJ$2:AJ110,0)+1,COUNTIF(AJ$2:AJ110,AJ111)+AJ111+COUNTIF(AJ:AJ,0)),"")</f>
        <v/>
      </c>
      <c r="AL111" s="136" t="str">
        <f t="shared" si="263"/>
        <v/>
      </c>
      <c r="AM111" s="155" t="str">
        <f>IF(AND(Include_study?="Yes",Sufficient_data="Yes",Input!Study_name&lt;&gt;""),Input!Study_name,"")</f>
        <v/>
      </c>
      <c r="AN111" s="136" t="str">
        <f t="shared" si="264"/>
        <v/>
      </c>
      <c r="AO111" s="19" t="str">
        <f t="shared" si="353"/>
        <v/>
      </c>
      <c r="AP111" s="158" t="str">
        <f t="shared" si="354"/>
        <v/>
      </c>
      <c r="AQ111" s="158" t="str">
        <f t="shared" si="355"/>
        <v/>
      </c>
      <c r="AR111" s="39" t="str">
        <f t="shared" si="356"/>
        <v/>
      </c>
      <c r="AS111" s="158" t="str">
        <f t="shared" si="357"/>
        <v/>
      </c>
      <c r="AT111" s="39" t="str">
        <f t="shared" si="358"/>
        <v/>
      </c>
      <c r="AU111" s="172" t="str">
        <f t="shared" si="359"/>
        <v/>
      </c>
      <c r="AV111" s="45"/>
      <c r="AW111" s="84" t="e">
        <f t="shared" si="360"/>
        <v>#N/A</v>
      </c>
      <c r="AX111" s="69" t="e">
        <f t="shared" si="361"/>
        <v>#N/A</v>
      </c>
      <c r="AY111" s="74" t="e">
        <f t="shared" si="362"/>
        <v>#N/A</v>
      </c>
      <c r="AZ111" s="45"/>
      <c r="BA111" s="45"/>
      <c r="BB111" s="45"/>
      <c r="BC111" s="45"/>
      <c r="BD111" s="196"/>
      <c r="BE111" s="182"/>
      <c r="BF111" s="69" t="str">
        <f t="shared" si="363"/>
        <v/>
      </c>
      <c r="BG111" s="69" t="str">
        <f t="shared" si="364"/>
        <v/>
      </c>
      <c r="BH111" s="69" t="str">
        <f t="shared" si="365"/>
        <v/>
      </c>
      <c r="BI111" s="39" t="str">
        <f t="shared" si="366"/>
        <v/>
      </c>
      <c r="BJ111" s="95" t="str">
        <f t="shared" si="367"/>
        <v/>
      </c>
      <c r="BO111" s="176"/>
      <c r="BP111" s="158" t="str">
        <f t="shared" si="368"/>
        <v/>
      </c>
      <c r="BQ111" s="158" t="str">
        <f t="shared" si="369"/>
        <v/>
      </c>
      <c r="BR111" s="158" t="str">
        <f t="shared" si="370"/>
        <v/>
      </c>
      <c r="BS111" s="158" t="str">
        <f>IF(AND(Sufficient_data="Yes",Include_study?="Yes"),IF(Add_0_5="Yes",(a_+d_+1)*(ab_+0.5)*(c_+0.5)/(Number_of_subjects+2)^2,(a_+d_)*b_*c_/Number_of_subjects^2),"")</f>
        <v/>
      </c>
      <c r="BT111" s="158" t="str">
        <f t="shared" si="371"/>
        <v/>
      </c>
      <c r="BU111" s="158" t="str">
        <f t="shared" si="372"/>
        <v/>
      </c>
      <c r="BV111" s="158" t="str">
        <f t="shared" si="373"/>
        <v/>
      </c>
      <c r="BW111" s="69" t="str">
        <f t="shared" si="374"/>
        <v/>
      </c>
      <c r="BX111" s="137" t="str">
        <f t="shared" si="375"/>
        <v/>
      </c>
      <c r="BY111" s="95" t="str">
        <f t="shared" si="376"/>
        <v/>
      </c>
      <c r="CD111" s="176"/>
      <c r="CE111" s="130" t="str">
        <f t="shared" si="377"/>
        <v/>
      </c>
      <c r="CF111" s="39" t="str">
        <f t="shared" si="378"/>
        <v/>
      </c>
      <c r="CG111" s="39" t="str">
        <f t="shared" si="379"/>
        <v/>
      </c>
      <c r="CH111" s="39" t="str">
        <f t="shared" si="380"/>
        <v/>
      </c>
      <c r="CI111" s="39" t="str">
        <f t="shared" si="381"/>
        <v/>
      </c>
      <c r="CJ111" s="39" t="str">
        <f t="shared" si="287"/>
        <v/>
      </c>
      <c r="CK111" s="95" t="str">
        <f t="shared" si="382"/>
        <v/>
      </c>
      <c r="CP111" s="176"/>
      <c r="CQ111" s="99" t="str">
        <f t="shared" si="383"/>
        <v/>
      </c>
      <c r="CX111" s="196"/>
      <c r="CY111" s="89" t="e">
        <f t="shared" si="384"/>
        <v>#N/A</v>
      </c>
      <c r="CZ111" s="136" t="str">
        <f t="shared" si="385"/>
        <v/>
      </c>
      <c r="DA111" s="140" t="str">
        <f t="shared" si="386"/>
        <v/>
      </c>
      <c r="DB111" s="39" t="str">
        <f t="shared" si="387"/>
        <v/>
      </c>
      <c r="DC111" s="39" t="str">
        <f t="shared" si="388"/>
        <v/>
      </c>
      <c r="DD111" s="39" t="str">
        <f t="shared" si="389"/>
        <v/>
      </c>
      <c r="DE111" s="39" t="str">
        <f t="shared" si="390"/>
        <v/>
      </c>
      <c r="DF111" s="141" t="str">
        <f t="shared" si="391"/>
        <v/>
      </c>
      <c r="DG111" s="39" t="str">
        <f t="shared" si="392"/>
        <v/>
      </c>
      <c r="DH111" s="39" t="str">
        <f t="shared" si="393"/>
        <v/>
      </c>
      <c r="DI111" s="39" t="str">
        <f t="shared" si="394"/>
        <v/>
      </c>
      <c r="DJ111" s="74" t="str">
        <f t="shared" si="395"/>
        <v/>
      </c>
      <c r="DK111" s="45"/>
      <c r="DL111" s="84" t="e">
        <f t="shared" si="222"/>
        <v>#N/A</v>
      </c>
      <c r="DM111" s="39" t="e">
        <f t="shared" si="396"/>
        <v>#N/A</v>
      </c>
      <c r="DN111" s="74" t="e">
        <f t="shared" si="397"/>
        <v>#N/A</v>
      </c>
      <c r="DO111" s="45"/>
      <c r="DP111" s="89" t="str">
        <f t="shared" si="326"/>
        <v/>
      </c>
      <c r="DQ111" s="26" t="str">
        <f>IF(AND(Sufficient_data="Yes",Subgroup&lt;&gt;""),IF(COUNTIFS(Input!J$2:J110,"="&amp;"Yes",Input!C$2:C110,"="&amp;"Yes",Input!K$2:K110,"="&amp;Subgroup)&gt;0,"",Subgroup),"")</f>
        <v/>
      </c>
      <c r="DR111" s="7" t="str">
        <f t="shared" si="327"/>
        <v/>
      </c>
      <c r="DS111" s="7" t="str">
        <f t="shared" si="398"/>
        <v/>
      </c>
      <c r="DT111" s="19" t="str">
        <f t="shared" si="399"/>
        <v/>
      </c>
      <c r="DU111" s="12" t="str">
        <f t="shared" si="223"/>
        <v/>
      </c>
      <c r="DV111" s="11" t="str">
        <f t="shared" si="224"/>
        <v/>
      </c>
      <c r="DW111" s="12" t="str">
        <f t="shared" si="225"/>
        <v/>
      </c>
      <c r="DX111" s="12" t="str">
        <f t="shared" si="400"/>
        <v/>
      </c>
      <c r="DY111" s="19" t="str">
        <f t="shared" si="226"/>
        <v/>
      </c>
      <c r="DZ111" s="12" t="str">
        <f t="shared" si="227"/>
        <v/>
      </c>
      <c r="EA111" s="19" t="str">
        <f t="shared" si="401"/>
        <v/>
      </c>
      <c r="EB111" s="7" t="str">
        <f t="shared" si="402"/>
        <v/>
      </c>
      <c r="EC111" s="19" t="str">
        <f t="shared" si="403"/>
        <v/>
      </c>
      <c r="ED111" s="19" t="str">
        <f t="shared" si="404"/>
        <v/>
      </c>
      <c r="EE111" s="19" t="str">
        <f t="shared" si="228"/>
        <v/>
      </c>
      <c r="EF111" s="19" t="str">
        <f t="shared" si="229"/>
        <v/>
      </c>
      <c r="EG111" s="19" t="str">
        <f t="shared" si="230"/>
        <v/>
      </c>
      <c r="EH111" s="19" t="str">
        <f t="shared" si="231"/>
        <v/>
      </c>
      <c r="EI111" s="19" t="str">
        <f t="shared" si="232"/>
        <v/>
      </c>
      <c r="EJ111" s="19" t="str">
        <f t="shared" si="405"/>
        <v/>
      </c>
      <c r="EK111" s="19" t="str">
        <f t="shared" si="406"/>
        <v/>
      </c>
      <c r="EL111" s="19" t="str">
        <f t="shared" si="233"/>
        <v/>
      </c>
      <c r="EM111" s="19" t="str">
        <f t="shared" si="234"/>
        <v/>
      </c>
      <c r="EN111" s="19" t="str">
        <f t="shared" si="235"/>
        <v/>
      </c>
      <c r="EO111" s="19" t="str">
        <f t="shared" si="236"/>
        <v/>
      </c>
      <c r="EP111" s="19" t="str">
        <f t="shared" si="237"/>
        <v/>
      </c>
      <c r="EQ111" s="19" t="e">
        <f t="shared" si="238"/>
        <v>#N/A</v>
      </c>
      <c r="ER111" s="11" t="str">
        <f t="shared" si="328"/>
        <v/>
      </c>
      <c r="ES111" s="19" t="str">
        <f t="shared" si="329"/>
        <v/>
      </c>
      <c r="ET111" s="156" t="str">
        <f t="shared" si="407"/>
        <v/>
      </c>
      <c r="EU111" s="39" t="str">
        <f t="shared" si="239"/>
        <v/>
      </c>
      <c r="EV111" s="74" t="str">
        <f t="shared" si="408"/>
        <v/>
      </c>
      <c r="FA111" s="196"/>
      <c r="FB111" s="84" t="e">
        <f>IF(AND(Include_study?="Yes",Sufficient_data="Yes",Moderator&lt;&gt;""),'Moderator Analysis'!E111,NA())</f>
        <v>#N/A</v>
      </c>
      <c r="FC111" s="39" t="e">
        <f>IF(AND(Include_study?="Yes",Sufficient_data="Yes",Moderator&lt;&gt;""),'Moderator Analysis'!F111,NA())</f>
        <v>#N/A</v>
      </c>
      <c r="FD111" s="39" t="str">
        <f t="shared" si="409"/>
        <v/>
      </c>
      <c r="FE111" s="39" t="str">
        <f t="shared" si="410"/>
        <v/>
      </c>
      <c r="FF111" s="39" t="str">
        <f>IF(AND(Include_study?="Yes",Sufficient_data="Yes",Moderator&lt;&gt;""),'Moderator Analysis'!F:F-FP$2,"")</f>
        <v/>
      </c>
      <c r="FG111" s="39" t="str">
        <f>IF(AND(Include_study?="Yes",Sufficient_data="Yes",Moderator&lt;&gt;""),'Moderator Analysis'!E:E-FP$3,"")</f>
        <v/>
      </c>
      <c r="FH111" s="74" t="str">
        <f>IF(AND(Include_study?="Yes",Sufficient_data="Yes",Moderator&lt;&gt;""),FE:FE*('Moderator Analysis'!F:F-FP$5-FP$4*'Moderator Analysis'!E:E)^2,"")</f>
        <v/>
      </c>
      <c r="FI111" s="128"/>
      <c r="FJ111" s="92" t="str">
        <f t="shared" si="411"/>
        <v/>
      </c>
      <c r="FK111" s="137" t="str">
        <f>IF(AND(Include_study?="Yes",Sufficient_data="Yes",Moderator&lt;&gt;""),'Moderator Analysis'!F:F-'Moderator Analysis'!J$37,"")</f>
        <v/>
      </c>
      <c r="FL111" s="137" t="str">
        <f>IF(AND(Include_study?="Yes",Sufficient_data="Yes",Moderator&lt;&gt;""),'Moderator Analysis'!E:E-SUMPRODUCT('Moderator Analysis'!E:E,FJ:FJ)/SUM(FJ:FJ),"")</f>
        <v/>
      </c>
      <c r="FM111" s="95" t="str">
        <f>IF(AND(Include_study?="Yes",Sufficient_data="Yes",Moderator&lt;&gt;""),FJ:FJ*('Moderator Analysis'!F:F-'Moderator Analysis'!J$29-'Moderator Analysis'!J$30*'Moderator Analysis'!E:E)^2,"")</f>
        <v/>
      </c>
      <c r="FR111" s="196"/>
      <c r="FS111" s="182"/>
      <c r="FT11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1" s="39" t="str">
        <f>IF(AND(Include_study?="Yes",Sufficient_data="Yes"),1/('Publication Bias Analysis'!F:F^2+IF(Additional_model="Fixed effect",0,Calculations!GH$12)),"")</f>
        <v/>
      </c>
      <c r="FV111" s="39" t="str">
        <f>IF(AND(Include_study?="Yes",Sufficient_data="Yes"),1/('Publication Bias Analysis'!F:F^2+IF(Additional_model="Fixed effect",0,'Publication Bias Analysis'!L$32)),"")</f>
        <v/>
      </c>
      <c r="FW111" s="39" t="str">
        <f>IF(AND(Include_study?="Yes",Sufficient_data="Yes"),'Publication Bias Analysis'!E:E-'Publication Bias Analysis'!I$37,"")</f>
        <v/>
      </c>
      <c r="FX111" s="39" t="str">
        <f>IF(AND(Include_study?="Yes",Sufficient_data="Yes"),IF(Additional_model="Fixed effect",1/'Publication Bias Analysis'!F:F,1/SQRT('Publication Bias Analysis'!F:F^2+GH$12)),"")</f>
        <v/>
      </c>
      <c r="FY11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1" s="136" t="str">
        <f t="shared" si="412"/>
        <v/>
      </c>
      <c r="GA111" s="144" t="str">
        <f>IF(AND(Include_study?="Yes",Sufficient_data="Yes"),FZ:FZ+IF(GL:GL&lt;0,-1,1)*COUNTIF(FZ$2:FZ110,FZ:FZ),"")</f>
        <v/>
      </c>
      <c r="GB111" s="144" t="str">
        <f>IF(AND(Include_study?="Yes",Sufficient_data="Yes"),RANK(GP:GP,GP:GP,1)*IF(GO:GO&lt;0,-1,1)+IF(GO:GO&lt;0,-1,1)*COUNTIF(FZ$2:FZ110,FZ:FZ),"")</f>
        <v/>
      </c>
      <c r="GC111" s="144" t="str">
        <f>IF(AND(Include_study?="Yes",Sufficient_data="Yes"),RANK(GS:GS,GS:GS,1)*IF(GR:GR&lt;0,-1,1)+IF(GR:GR&lt;0,-1,1)*COUNTIF(FZ$2:FZ110,FZ:FZ),"")</f>
        <v/>
      </c>
      <c r="GD111" s="39" t="e">
        <f>IF(AND(Include_study?="Yes",Sufficient_data="Yes"),'Publication Bias Analysis'!E111,NA())</f>
        <v>#N/A</v>
      </c>
      <c r="GE111" s="74" t="e">
        <f>IF(AND(Include_study?="Yes",Sufficient_data="Yes"),'Publication Bias Analysis'!F111,NA())</f>
        <v>#N/A</v>
      </c>
      <c r="GK111" s="176"/>
      <c r="GL11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1" s="39" t="str">
        <f t="shared" si="413"/>
        <v/>
      </c>
      <c r="GN11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1" s="39" t="str">
        <f>IF(AND(Include_study?="Yes",Sufficient_data="Yes"),IF('Publication Bias Analysis'!L$38="Left",'Publication Bias Analysis'!E:E-GW$3,GW$3-'Publication Bias Analysis'!E:E),"")</f>
        <v/>
      </c>
      <c r="GP111" s="39" t="str">
        <f t="shared" si="421"/>
        <v/>
      </c>
      <c r="GQ11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1" s="39" t="str">
        <f>IF(AND(Include_study?="Yes",Sufficient_data="Yes"),IF('Publication Bias Analysis'!L$38="Left",'Publication Bias Analysis'!E:E-GW$10,GW$10-'Publication Bias Analysis'!E:E),"")</f>
        <v/>
      </c>
      <c r="GS111" s="39" t="str">
        <f t="shared" si="422"/>
        <v/>
      </c>
      <c r="GT11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1" s="176"/>
      <c r="HL111" s="69" t="str">
        <f t="shared" si="319"/>
        <v/>
      </c>
      <c r="HM111" s="74" t="str">
        <f>IF(AND(Include_study?="Yes",Sufficient_data="Yes"),Z_score-('Publication Bias Analysis'!P$3+'Publication Bias Analysis'!P$4*Inverse_standard_error),"")</f>
        <v/>
      </c>
      <c r="HO111" s="176"/>
      <c r="HP111" s="69" t="str">
        <f>IF(AND(Include_study?="Yes",Sufficient_data="Yes"),(GD:GD-SUMPRODUCT(Calculations!FT:FT,'Publication Bias Analysis'!E:E)/SUM(Calculations!FT:FT))/SQRT(Calculations!HQ:HQ),"")</f>
        <v/>
      </c>
      <c r="HQ111" s="69" t="str">
        <f>IF(AND(Include_study?="Yes",Sufficient_data="Yes"),GE:GE^2-1/SUM(Calculations!FT:FT),"")</f>
        <v/>
      </c>
      <c r="HR111" s="7" t="str">
        <f t="shared" si="240"/>
        <v/>
      </c>
      <c r="HS111" s="7" t="str">
        <f t="shared" si="241"/>
        <v/>
      </c>
      <c r="HT111" s="7" t="str">
        <f>IF(AND(Include_study?="Yes",Sufficient_data="Yes"),COUNTIFS(HR$2:HR110,"&lt;"&amp;HR111,HS$2:HS110,"&lt;"&amp;HS111)+COUNTIFS(HR112:HR$201,"&lt;"&amp;HR111,HS112:HS$201,"&lt;"&amp;HS111)+COUNTIFS(HR$2:HR110,"&gt;"&amp;HR111,HS$2:HS110,"&gt;"&amp;HS111)+COUNTIFS(HR112:HR$201,"&gt;"&amp;HR111,HS112:HS$201,"&gt;"&amp;HS111),"")</f>
        <v/>
      </c>
      <c r="HU111" s="104" t="str">
        <f>IF(AND(Include_study?="Yes",Sufficient_data="Yes"),COUNTIFS(HR$2:HR110,"&lt;"&amp;HR111,HS$2:HS110,"&gt;"&amp;HS111)+COUNTIFS(HR112:HR$201,"&lt;"&amp;HR111,HS112:HS$201,"&gt;"&amp;HS111)+COUNTIFS(HR$2:HR110,"&gt;"&amp;HR111,HS$2:HS110,"&lt;"&amp;HS111)+COUNTIFS(HR112:HR$201,"&gt;"&amp;HR111,HS112:HS$201,"&lt;"&amp;HS111),"")</f>
        <v/>
      </c>
      <c r="HW111" s="176"/>
      <c r="IB111" s="176"/>
      <c r="IC111" s="146" t="e">
        <f t="shared" si="414"/>
        <v>#N/A</v>
      </c>
      <c r="ID111" s="137" t="e">
        <f t="shared" si="415"/>
        <v>#N/A</v>
      </c>
      <c r="IE111" s="137" t="str">
        <f t="shared" si="416"/>
        <v/>
      </c>
      <c r="IF111" s="95" t="str">
        <f t="shared" si="417"/>
        <v/>
      </c>
      <c r="IK111" s="176"/>
      <c r="IL111" s="69" t="e">
        <f>IF(AND(Include_study?="Yes",Sufficient_data="Yes"),'Publication Bias Analysis'!AV:AV,NA())</f>
        <v>#N/A</v>
      </c>
      <c r="IM111" s="158" t="e">
        <f>IF(AND(Sufficient_data="Yes",Include_study?="Yes"),'Publication Bias Analysis'!AU:AU,NA())</f>
        <v>#N/A</v>
      </c>
      <c r="IN111" s="69" t="str">
        <f t="shared" si="418"/>
        <v/>
      </c>
      <c r="IO111" s="74" t="str">
        <f>IF(AND(Include_study?="Yes",Sufficient_data="Yes"),Z_score-('Publication Bias Analysis'!AY$30+'Publication Bias Analysis'!AY$31*Inverse_standard_error),"")</f>
        <v/>
      </c>
      <c r="IU111" s="176"/>
      <c r="IV111" s="7" t="str">
        <f>IF('Publication Bias Analysis'!BG:BG&lt;&gt;"",RANK('Publication Bias Analysis'!BG:BG,'Publication Bias Analysis'!BG:BG,1)+COUNTIF('Publication Bias Analysis'!BG$2:BG110,'Publication Bias Analysis'!BG111),"")</f>
        <v/>
      </c>
      <c r="IW111" s="124" t="str">
        <f t="shared" si="419"/>
        <v/>
      </c>
      <c r="IX111" s="125" t="e">
        <f>IF('Publication Bias Analysis'!BF111&lt;&gt;"",'Publication Bias Analysis'!BF111,NA())</f>
        <v>#N/A</v>
      </c>
      <c r="IY111" s="125" t="e">
        <f>IF('Publication Bias Analysis'!BG111&lt;&gt;"",'Publication Bias Analysis'!BG111,NA())</f>
        <v>#N/A</v>
      </c>
      <c r="IZ111" s="69" t="str">
        <f>IF(AND(Include_study?="Yes",Sufficient_data="Yes"),'Publication Bias Analysis'!BF:BF-AVERAGE('Publication Bias Analysis'!BF:BF),"")</f>
        <v/>
      </c>
      <c r="JA111" s="74" t="str">
        <f>IF(AND(Include_study?="Yes",Sufficient_data="Yes"),'Publication Bias Analysis'!BG:BG-('Publication Bias Analysis'!BJ$30+'Publication Bias Analysis'!BJ$31*'Publication Bias Analysis'!BF:BF),"")</f>
        <v/>
      </c>
      <c r="JG111" s="176"/>
      <c r="JH111" s="39" t="str">
        <f t="shared" si="420"/>
        <v/>
      </c>
      <c r="JI111" s="148" t="str">
        <f t="shared" si="332"/>
        <v/>
      </c>
      <c r="JJ111" s="74" t="str">
        <f t="shared" si="333"/>
        <v/>
      </c>
    </row>
    <row r="112" spans="1:270" x14ac:dyDescent="0.2">
      <c r="A112" s="56" t="str">
        <f t="shared" si="334"/>
        <v/>
      </c>
      <c r="B112" s="7" t="str">
        <f>IF(AND(Include_study?="Yes",Sufficient_data="Yes"),IF(Input!a_&lt;&gt;"",Input!a_,Input!n1_-Input!b_),"")</f>
        <v/>
      </c>
      <c r="C112" s="7" t="str">
        <f>IF(AND(Include_study?="Yes",Sufficient_data="Yes"),IF(Input!b_&lt;&gt;"",Input!b_,Input!n1_-Input!a_),"")</f>
        <v/>
      </c>
      <c r="D112" s="7" t="str">
        <f>IF(AND(Include_study?="Yes",Sufficient_data="Yes"),IF(Input!c_&lt;&gt;"",Input!c_,Input!n2_-Input!d_),"")</f>
        <v/>
      </c>
      <c r="E112" s="7" t="str">
        <f>IF(AND(Include_study?="Yes",Sufficient_data="Yes"),IF(Input!d_&lt;&gt;"",Input!d_,Input!n2_-Input!c_),"")</f>
        <v/>
      </c>
      <c r="F112" s="74" t="str">
        <f t="shared" si="335"/>
        <v/>
      </c>
      <c r="H112" s="196"/>
      <c r="I112" s="182"/>
      <c r="J112" s="146" t="str">
        <f t="shared" si="245"/>
        <v/>
      </c>
      <c r="K112" s="39" t="str">
        <f t="shared" si="336"/>
        <v/>
      </c>
      <c r="L112" s="39" t="str">
        <f t="shared" si="337"/>
        <v/>
      </c>
      <c r="M112" s="39" t="str">
        <f t="shared" si="338"/>
        <v/>
      </c>
      <c r="N112" s="74" t="str">
        <f t="shared" si="339"/>
        <v/>
      </c>
      <c r="P112" s="176"/>
      <c r="Q112" s="130" t="str">
        <f t="shared" si="340"/>
        <v/>
      </c>
      <c r="R112" s="39" t="str">
        <f t="shared" si="341"/>
        <v/>
      </c>
      <c r="S112" s="39" t="str">
        <f t="shared" si="342"/>
        <v/>
      </c>
      <c r="T112" s="74" t="str">
        <f t="shared" si="343"/>
        <v/>
      </c>
      <c r="V112" s="176"/>
      <c r="W112" s="130" t="str">
        <f t="shared" si="344"/>
        <v/>
      </c>
      <c r="X112" s="39" t="str">
        <f t="shared" si="345"/>
        <v/>
      </c>
      <c r="Y112" s="39" t="str">
        <f t="shared" si="346"/>
        <v/>
      </c>
      <c r="Z112" s="74" t="str">
        <f t="shared" si="347"/>
        <v/>
      </c>
      <c r="AB112" s="176"/>
      <c r="AC112" s="130" t="str">
        <f t="shared" si="348"/>
        <v/>
      </c>
      <c r="AD112" s="39" t="str">
        <f t="shared" si="349"/>
        <v/>
      </c>
      <c r="AE112" s="39" t="str">
        <f t="shared" si="350"/>
        <v/>
      </c>
      <c r="AF112" s="39" t="str">
        <f t="shared" si="351"/>
        <v/>
      </c>
      <c r="AG112" s="74" t="str">
        <f t="shared" si="352"/>
        <v/>
      </c>
      <c r="AI112" s="196"/>
      <c r="AJ11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2" s="136" t="str">
        <f>IF(AJ112&lt;&gt;"",IF(AJ112=0,COUNTIF(AJ$2:AJ111,0)+1,COUNTIF(AJ$2:AJ111,AJ112)+AJ112+COUNTIF(AJ:AJ,0)),"")</f>
        <v/>
      </c>
      <c r="AL112" s="136" t="str">
        <f t="shared" si="263"/>
        <v/>
      </c>
      <c r="AM112" s="155" t="str">
        <f>IF(AND(Include_study?="Yes",Sufficient_data="Yes",Input!Study_name&lt;&gt;""),Input!Study_name,"")</f>
        <v/>
      </c>
      <c r="AN112" s="136" t="str">
        <f t="shared" si="264"/>
        <v/>
      </c>
      <c r="AO112" s="19" t="str">
        <f t="shared" si="353"/>
        <v/>
      </c>
      <c r="AP112" s="158" t="str">
        <f t="shared" si="354"/>
        <v/>
      </c>
      <c r="AQ112" s="158" t="str">
        <f t="shared" si="355"/>
        <v/>
      </c>
      <c r="AR112" s="39" t="str">
        <f t="shared" si="356"/>
        <v/>
      </c>
      <c r="AS112" s="158" t="str">
        <f t="shared" si="357"/>
        <v/>
      </c>
      <c r="AT112" s="39" t="str">
        <f t="shared" si="358"/>
        <v/>
      </c>
      <c r="AU112" s="172" t="str">
        <f t="shared" si="359"/>
        <v/>
      </c>
      <c r="AV112" s="45"/>
      <c r="AW112" s="84" t="e">
        <f t="shared" si="360"/>
        <v>#N/A</v>
      </c>
      <c r="AX112" s="69" t="e">
        <f t="shared" si="361"/>
        <v>#N/A</v>
      </c>
      <c r="AY112" s="74" t="e">
        <f t="shared" si="362"/>
        <v>#N/A</v>
      </c>
      <c r="AZ112" s="45"/>
      <c r="BA112" s="45"/>
      <c r="BB112" s="45"/>
      <c r="BC112" s="45"/>
      <c r="BD112" s="196"/>
      <c r="BE112" s="182"/>
      <c r="BF112" s="69" t="str">
        <f t="shared" si="363"/>
        <v/>
      </c>
      <c r="BG112" s="69" t="str">
        <f t="shared" si="364"/>
        <v/>
      </c>
      <c r="BH112" s="69" t="str">
        <f t="shared" si="365"/>
        <v/>
      </c>
      <c r="BI112" s="39" t="str">
        <f t="shared" si="366"/>
        <v/>
      </c>
      <c r="BJ112" s="95" t="str">
        <f t="shared" si="367"/>
        <v/>
      </c>
      <c r="BO112" s="176"/>
      <c r="BP112" s="158" t="str">
        <f t="shared" si="368"/>
        <v/>
      </c>
      <c r="BQ112" s="158" t="str">
        <f t="shared" si="369"/>
        <v/>
      </c>
      <c r="BR112" s="158" t="str">
        <f t="shared" si="370"/>
        <v/>
      </c>
      <c r="BS112" s="158" t="str">
        <f>IF(AND(Sufficient_data="Yes",Include_study?="Yes"),IF(Add_0_5="Yes",(a_+d_+1)*(ab_+0.5)*(c_+0.5)/(Number_of_subjects+2)^2,(a_+d_)*b_*c_/Number_of_subjects^2),"")</f>
        <v/>
      </c>
      <c r="BT112" s="158" t="str">
        <f t="shared" si="371"/>
        <v/>
      </c>
      <c r="BU112" s="158" t="str">
        <f t="shared" si="372"/>
        <v/>
      </c>
      <c r="BV112" s="158" t="str">
        <f t="shared" si="373"/>
        <v/>
      </c>
      <c r="BW112" s="69" t="str">
        <f t="shared" si="374"/>
        <v/>
      </c>
      <c r="BX112" s="137" t="str">
        <f t="shared" si="375"/>
        <v/>
      </c>
      <c r="BY112" s="95" t="str">
        <f t="shared" si="376"/>
        <v/>
      </c>
      <c r="CD112" s="176"/>
      <c r="CE112" s="130" t="str">
        <f t="shared" si="377"/>
        <v/>
      </c>
      <c r="CF112" s="39" t="str">
        <f t="shared" si="378"/>
        <v/>
      </c>
      <c r="CG112" s="39" t="str">
        <f t="shared" si="379"/>
        <v/>
      </c>
      <c r="CH112" s="39" t="str">
        <f t="shared" si="380"/>
        <v/>
      </c>
      <c r="CI112" s="39" t="str">
        <f t="shared" si="381"/>
        <v/>
      </c>
      <c r="CJ112" s="39" t="str">
        <f t="shared" si="287"/>
        <v/>
      </c>
      <c r="CK112" s="95" t="str">
        <f t="shared" si="382"/>
        <v/>
      </c>
      <c r="CP112" s="176"/>
      <c r="CQ112" s="99" t="str">
        <f t="shared" si="383"/>
        <v/>
      </c>
      <c r="CX112" s="196"/>
      <c r="CY112" s="89" t="e">
        <f t="shared" si="384"/>
        <v>#N/A</v>
      </c>
      <c r="CZ112" s="136" t="str">
        <f t="shared" si="385"/>
        <v/>
      </c>
      <c r="DA112" s="140" t="str">
        <f t="shared" si="386"/>
        <v/>
      </c>
      <c r="DB112" s="39" t="str">
        <f t="shared" si="387"/>
        <v/>
      </c>
      <c r="DC112" s="39" t="str">
        <f t="shared" si="388"/>
        <v/>
      </c>
      <c r="DD112" s="39" t="str">
        <f t="shared" si="389"/>
        <v/>
      </c>
      <c r="DE112" s="39" t="str">
        <f t="shared" si="390"/>
        <v/>
      </c>
      <c r="DF112" s="141" t="str">
        <f t="shared" si="391"/>
        <v/>
      </c>
      <c r="DG112" s="39" t="str">
        <f t="shared" si="392"/>
        <v/>
      </c>
      <c r="DH112" s="39" t="str">
        <f t="shared" si="393"/>
        <v/>
      </c>
      <c r="DI112" s="39" t="str">
        <f t="shared" si="394"/>
        <v/>
      </c>
      <c r="DJ112" s="74" t="str">
        <f t="shared" si="395"/>
        <v/>
      </c>
      <c r="DK112" s="45"/>
      <c r="DL112" s="84" t="e">
        <f t="shared" si="222"/>
        <v>#N/A</v>
      </c>
      <c r="DM112" s="39" t="e">
        <f t="shared" si="396"/>
        <v>#N/A</v>
      </c>
      <c r="DN112" s="74" t="e">
        <f t="shared" si="397"/>
        <v>#N/A</v>
      </c>
      <c r="DO112" s="45"/>
      <c r="DP112" s="89" t="str">
        <f t="shared" si="326"/>
        <v/>
      </c>
      <c r="DQ112" s="26" t="str">
        <f>IF(AND(Sufficient_data="Yes",Subgroup&lt;&gt;""),IF(COUNTIFS(Input!J$2:J111,"="&amp;"Yes",Input!C$2:C111,"="&amp;"Yes",Input!K$2:K111,"="&amp;Subgroup)&gt;0,"",Subgroup),"")</f>
        <v/>
      </c>
      <c r="DR112" s="7" t="str">
        <f t="shared" si="327"/>
        <v/>
      </c>
      <c r="DS112" s="7" t="str">
        <f t="shared" si="398"/>
        <v/>
      </c>
      <c r="DT112" s="19" t="str">
        <f t="shared" si="399"/>
        <v/>
      </c>
      <c r="DU112" s="12" t="str">
        <f t="shared" si="223"/>
        <v/>
      </c>
      <c r="DV112" s="11" t="str">
        <f t="shared" si="224"/>
        <v/>
      </c>
      <c r="DW112" s="12" t="str">
        <f t="shared" si="225"/>
        <v/>
      </c>
      <c r="DX112" s="12" t="str">
        <f t="shared" si="400"/>
        <v/>
      </c>
      <c r="DY112" s="19" t="str">
        <f t="shared" si="226"/>
        <v/>
      </c>
      <c r="DZ112" s="12" t="str">
        <f t="shared" si="227"/>
        <v/>
      </c>
      <c r="EA112" s="19" t="str">
        <f t="shared" si="401"/>
        <v/>
      </c>
      <c r="EB112" s="7" t="str">
        <f t="shared" si="402"/>
        <v/>
      </c>
      <c r="EC112" s="19" t="str">
        <f t="shared" si="403"/>
        <v/>
      </c>
      <c r="ED112" s="19" t="str">
        <f t="shared" si="404"/>
        <v/>
      </c>
      <c r="EE112" s="19" t="str">
        <f t="shared" si="228"/>
        <v/>
      </c>
      <c r="EF112" s="19" t="str">
        <f t="shared" si="229"/>
        <v/>
      </c>
      <c r="EG112" s="19" t="str">
        <f t="shared" si="230"/>
        <v/>
      </c>
      <c r="EH112" s="19" t="str">
        <f t="shared" si="231"/>
        <v/>
      </c>
      <c r="EI112" s="19" t="str">
        <f t="shared" si="232"/>
        <v/>
      </c>
      <c r="EJ112" s="19" t="str">
        <f t="shared" si="405"/>
        <v/>
      </c>
      <c r="EK112" s="19" t="str">
        <f t="shared" si="406"/>
        <v/>
      </c>
      <c r="EL112" s="19" t="str">
        <f t="shared" si="233"/>
        <v/>
      </c>
      <c r="EM112" s="19" t="str">
        <f t="shared" si="234"/>
        <v/>
      </c>
      <c r="EN112" s="19" t="str">
        <f t="shared" si="235"/>
        <v/>
      </c>
      <c r="EO112" s="19" t="str">
        <f t="shared" si="236"/>
        <v/>
      </c>
      <c r="EP112" s="19" t="str">
        <f t="shared" si="237"/>
        <v/>
      </c>
      <c r="EQ112" s="19" t="e">
        <f t="shared" si="238"/>
        <v>#N/A</v>
      </c>
      <c r="ER112" s="11" t="str">
        <f t="shared" si="328"/>
        <v/>
      </c>
      <c r="ES112" s="19" t="str">
        <f t="shared" si="329"/>
        <v/>
      </c>
      <c r="ET112" s="156" t="str">
        <f t="shared" si="407"/>
        <v/>
      </c>
      <c r="EU112" s="39" t="str">
        <f t="shared" si="239"/>
        <v/>
      </c>
      <c r="EV112" s="74" t="str">
        <f t="shared" si="408"/>
        <v/>
      </c>
      <c r="FA112" s="196"/>
      <c r="FB112" s="84" t="e">
        <f>IF(AND(Include_study?="Yes",Sufficient_data="Yes",Moderator&lt;&gt;""),'Moderator Analysis'!E112,NA())</f>
        <v>#N/A</v>
      </c>
      <c r="FC112" s="39" t="e">
        <f>IF(AND(Include_study?="Yes",Sufficient_data="Yes",Moderator&lt;&gt;""),'Moderator Analysis'!F112,NA())</f>
        <v>#N/A</v>
      </c>
      <c r="FD112" s="39" t="str">
        <f t="shared" si="409"/>
        <v/>
      </c>
      <c r="FE112" s="39" t="str">
        <f t="shared" si="410"/>
        <v/>
      </c>
      <c r="FF112" s="39" t="str">
        <f>IF(AND(Include_study?="Yes",Sufficient_data="Yes",Moderator&lt;&gt;""),'Moderator Analysis'!F:F-FP$2,"")</f>
        <v/>
      </c>
      <c r="FG112" s="39" t="str">
        <f>IF(AND(Include_study?="Yes",Sufficient_data="Yes",Moderator&lt;&gt;""),'Moderator Analysis'!E:E-FP$3,"")</f>
        <v/>
      </c>
      <c r="FH112" s="74" t="str">
        <f>IF(AND(Include_study?="Yes",Sufficient_data="Yes",Moderator&lt;&gt;""),FE:FE*('Moderator Analysis'!F:F-FP$5-FP$4*'Moderator Analysis'!E:E)^2,"")</f>
        <v/>
      </c>
      <c r="FI112" s="128"/>
      <c r="FJ112" s="92" t="str">
        <f t="shared" si="411"/>
        <v/>
      </c>
      <c r="FK112" s="137" t="str">
        <f>IF(AND(Include_study?="Yes",Sufficient_data="Yes",Moderator&lt;&gt;""),'Moderator Analysis'!F:F-'Moderator Analysis'!J$37,"")</f>
        <v/>
      </c>
      <c r="FL112" s="137" t="str">
        <f>IF(AND(Include_study?="Yes",Sufficient_data="Yes",Moderator&lt;&gt;""),'Moderator Analysis'!E:E-SUMPRODUCT('Moderator Analysis'!E:E,FJ:FJ)/SUM(FJ:FJ),"")</f>
        <v/>
      </c>
      <c r="FM112" s="95" t="str">
        <f>IF(AND(Include_study?="Yes",Sufficient_data="Yes",Moderator&lt;&gt;""),FJ:FJ*('Moderator Analysis'!F:F-'Moderator Analysis'!J$29-'Moderator Analysis'!J$30*'Moderator Analysis'!E:E)^2,"")</f>
        <v/>
      </c>
      <c r="FR112" s="196"/>
      <c r="FS112" s="182"/>
      <c r="FT11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2" s="39" t="str">
        <f>IF(AND(Include_study?="Yes",Sufficient_data="Yes"),1/('Publication Bias Analysis'!F:F^2+IF(Additional_model="Fixed effect",0,Calculations!GH$12)),"")</f>
        <v/>
      </c>
      <c r="FV112" s="39" t="str">
        <f>IF(AND(Include_study?="Yes",Sufficient_data="Yes"),1/('Publication Bias Analysis'!F:F^2+IF(Additional_model="Fixed effect",0,'Publication Bias Analysis'!L$32)),"")</f>
        <v/>
      </c>
      <c r="FW112" s="39" t="str">
        <f>IF(AND(Include_study?="Yes",Sufficient_data="Yes"),'Publication Bias Analysis'!E:E-'Publication Bias Analysis'!I$37,"")</f>
        <v/>
      </c>
      <c r="FX112" s="39" t="str">
        <f>IF(AND(Include_study?="Yes",Sufficient_data="Yes"),IF(Additional_model="Fixed effect",1/'Publication Bias Analysis'!F:F,1/SQRT('Publication Bias Analysis'!F:F^2+GH$12)),"")</f>
        <v/>
      </c>
      <c r="FY11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2" s="136" t="str">
        <f t="shared" si="412"/>
        <v/>
      </c>
      <c r="GA112" s="144" t="str">
        <f>IF(AND(Include_study?="Yes",Sufficient_data="Yes"),FZ:FZ+IF(GL:GL&lt;0,-1,1)*COUNTIF(FZ$2:FZ111,FZ:FZ),"")</f>
        <v/>
      </c>
      <c r="GB112" s="144" t="str">
        <f>IF(AND(Include_study?="Yes",Sufficient_data="Yes"),RANK(GP:GP,GP:GP,1)*IF(GO:GO&lt;0,-1,1)+IF(GO:GO&lt;0,-1,1)*COUNTIF(FZ$2:FZ111,FZ:FZ),"")</f>
        <v/>
      </c>
      <c r="GC112" s="144" t="str">
        <f>IF(AND(Include_study?="Yes",Sufficient_data="Yes"),RANK(GS:GS,GS:GS,1)*IF(GR:GR&lt;0,-1,1)+IF(GR:GR&lt;0,-1,1)*COUNTIF(FZ$2:FZ111,FZ:FZ),"")</f>
        <v/>
      </c>
      <c r="GD112" s="39" t="e">
        <f>IF(AND(Include_study?="Yes",Sufficient_data="Yes"),'Publication Bias Analysis'!E112,NA())</f>
        <v>#N/A</v>
      </c>
      <c r="GE112" s="74" t="e">
        <f>IF(AND(Include_study?="Yes",Sufficient_data="Yes"),'Publication Bias Analysis'!F112,NA())</f>
        <v>#N/A</v>
      </c>
      <c r="GK112" s="176"/>
      <c r="GL11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2" s="39" t="str">
        <f t="shared" si="413"/>
        <v/>
      </c>
      <c r="GN11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2" s="39" t="str">
        <f>IF(AND(Include_study?="Yes",Sufficient_data="Yes"),IF('Publication Bias Analysis'!L$38="Left",'Publication Bias Analysis'!E:E-GW$3,GW$3-'Publication Bias Analysis'!E:E),"")</f>
        <v/>
      </c>
      <c r="GP112" s="39" t="str">
        <f t="shared" si="421"/>
        <v/>
      </c>
      <c r="GQ11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2" s="39" t="str">
        <f>IF(AND(Include_study?="Yes",Sufficient_data="Yes"),IF('Publication Bias Analysis'!L$38="Left",'Publication Bias Analysis'!E:E-GW$10,GW$10-'Publication Bias Analysis'!E:E),"")</f>
        <v/>
      </c>
      <c r="GS112" s="39" t="str">
        <f t="shared" si="422"/>
        <v/>
      </c>
      <c r="GT11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2" s="176"/>
      <c r="HL112" s="69" t="str">
        <f t="shared" si="319"/>
        <v/>
      </c>
      <c r="HM112" s="74" t="str">
        <f>IF(AND(Include_study?="Yes",Sufficient_data="Yes"),Z_score-('Publication Bias Analysis'!P$3+'Publication Bias Analysis'!P$4*Inverse_standard_error),"")</f>
        <v/>
      </c>
      <c r="HO112" s="176"/>
      <c r="HP112" s="69" t="str">
        <f>IF(AND(Include_study?="Yes",Sufficient_data="Yes"),(GD:GD-SUMPRODUCT(Calculations!FT:FT,'Publication Bias Analysis'!E:E)/SUM(Calculations!FT:FT))/SQRT(Calculations!HQ:HQ),"")</f>
        <v/>
      </c>
      <c r="HQ112" s="69" t="str">
        <f>IF(AND(Include_study?="Yes",Sufficient_data="Yes"),GE:GE^2-1/SUM(Calculations!FT:FT),"")</f>
        <v/>
      </c>
      <c r="HR112" s="7" t="str">
        <f t="shared" si="240"/>
        <v/>
      </c>
      <c r="HS112" s="7" t="str">
        <f t="shared" si="241"/>
        <v/>
      </c>
      <c r="HT112" s="7" t="str">
        <f>IF(AND(Include_study?="Yes",Sufficient_data="Yes"),COUNTIFS(HR$2:HR111,"&lt;"&amp;HR112,HS$2:HS111,"&lt;"&amp;HS112)+COUNTIFS(HR113:HR$201,"&lt;"&amp;HR112,HS113:HS$201,"&lt;"&amp;HS112)+COUNTIFS(HR$2:HR111,"&gt;"&amp;HR112,HS$2:HS111,"&gt;"&amp;HS112)+COUNTIFS(HR113:HR$201,"&gt;"&amp;HR112,HS113:HS$201,"&gt;"&amp;HS112),"")</f>
        <v/>
      </c>
      <c r="HU112" s="104" t="str">
        <f>IF(AND(Include_study?="Yes",Sufficient_data="Yes"),COUNTIFS(HR$2:HR111,"&lt;"&amp;HR112,HS$2:HS111,"&gt;"&amp;HS112)+COUNTIFS(HR113:HR$201,"&lt;"&amp;HR112,HS113:HS$201,"&gt;"&amp;HS112)+COUNTIFS(HR$2:HR111,"&gt;"&amp;HR112,HS$2:HS111,"&lt;"&amp;HS112)+COUNTIFS(HR113:HR$201,"&gt;"&amp;HR112,HS113:HS$201,"&lt;"&amp;HS112),"")</f>
        <v/>
      </c>
      <c r="HW112" s="176"/>
      <c r="IB112" s="176"/>
      <c r="IC112" s="146" t="e">
        <f t="shared" si="414"/>
        <v>#N/A</v>
      </c>
      <c r="ID112" s="137" t="e">
        <f t="shared" si="415"/>
        <v>#N/A</v>
      </c>
      <c r="IE112" s="137" t="str">
        <f t="shared" si="416"/>
        <v/>
      </c>
      <c r="IF112" s="95" t="str">
        <f t="shared" si="417"/>
        <v/>
      </c>
      <c r="IK112" s="176"/>
      <c r="IL112" s="69" t="e">
        <f>IF(AND(Include_study?="Yes",Sufficient_data="Yes"),'Publication Bias Analysis'!AV:AV,NA())</f>
        <v>#N/A</v>
      </c>
      <c r="IM112" s="158" t="e">
        <f>IF(AND(Sufficient_data="Yes",Include_study?="Yes"),'Publication Bias Analysis'!AU:AU,NA())</f>
        <v>#N/A</v>
      </c>
      <c r="IN112" s="69" t="str">
        <f t="shared" si="418"/>
        <v/>
      </c>
      <c r="IO112" s="74" t="str">
        <f>IF(AND(Include_study?="Yes",Sufficient_data="Yes"),Z_score-('Publication Bias Analysis'!AY$30+'Publication Bias Analysis'!AY$31*Inverse_standard_error),"")</f>
        <v/>
      </c>
      <c r="IU112" s="176"/>
      <c r="IV112" s="7" t="str">
        <f>IF('Publication Bias Analysis'!BG:BG&lt;&gt;"",RANK('Publication Bias Analysis'!BG:BG,'Publication Bias Analysis'!BG:BG,1)+COUNTIF('Publication Bias Analysis'!BG$2:BG111,'Publication Bias Analysis'!BG112),"")</f>
        <v/>
      </c>
      <c r="IW112" s="124" t="str">
        <f t="shared" si="419"/>
        <v/>
      </c>
      <c r="IX112" s="125" t="e">
        <f>IF('Publication Bias Analysis'!BF112&lt;&gt;"",'Publication Bias Analysis'!BF112,NA())</f>
        <v>#N/A</v>
      </c>
      <c r="IY112" s="125" t="e">
        <f>IF('Publication Bias Analysis'!BG112&lt;&gt;"",'Publication Bias Analysis'!BG112,NA())</f>
        <v>#N/A</v>
      </c>
      <c r="IZ112" s="69" t="str">
        <f>IF(AND(Include_study?="Yes",Sufficient_data="Yes"),'Publication Bias Analysis'!BF:BF-AVERAGE('Publication Bias Analysis'!BF:BF),"")</f>
        <v/>
      </c>
      <c r="JA112" s="74" t="str">
        <f>IF(AND(Include_study?="Yes",Sufficient_data="Yes"),'Publication Bias Analysis'!BG:BG-('Publication Bias Analysis'!BJ$30+'Publication Bias Analysis'!BJ$31*'Publication Bias Analysis'!BF:BF),"")</f>
        <v/>
      </c>
      <c r="JG112" s="176"/>
      <c r="JH112" s="39" t="str">
        <f t="shared" si="420"/>
        <v/>
      </c>
      <c r="JI112" s="148" t="str">
        <f t="shared" si="332"/>
        <v/>
      </c>
      <c r="JJ112" s="74" t="str">
        <f t="shared" si="333"/>
        <v/>
      </c>
    </row>
    <row r="113" spans="1:270" x14ac:dyDescent="0.2">
      <c r="A113" s="56" t="str">
        <f t="shared" si="334"/>
        <v/>
      </c>
      <c r="B113" s="7" t="str">
        <f>IF(AND(Include_study?="Yes",Sufficient_data="Yes"),IF(Input!a_&lt;&gt;"",Input!a_,Input!n1_-Input!b_),"")</f>
        <v/>
      </c>
      <c r="C113" s="7" t="str">
        <f>IF(AND(Include_study?="Yes",Sufficient_data="Yes"),IF(Input!b_&lt;&gt;"",Input!b_,Input!n1_-Input!a_),"")</f>
        <v/>
      </c>
      <c r="D113" s="7" t="str">
        <f>IF(AND(Include_study?="Yes",Sufficient_data="Yes"),IF(Input!c_&lt;&gt;"",Input!c_,Input!n2_-Input!d_),"")</f>
        <v/>
      </c>
      <c r="E113" s="7" t="str">
        <f>IF(AND(Include_study?="Yes",Sufficient_data="Yes"),IF(Input!d_&lt;&gt;"",Input!d_,Input!n2_-Input!c_),"")</f>
        <v/>
      </c>
      <c r="F113" s="74" t="str">
        <f t="shared" si="335"/>
        <v/>
      </c>
      <c r="H113" s="196"/>
      <c r="I113" s="182"/>
      <c r="J113" s="146" t="str">
        <f t="shared" si="245"/>
        <v/>
      </c>
      <c r="K113" s="39" t="str">
        <f t="shared" si="336"/>
        <v/>
      </c>
      <c r="L113" s="39" t="str">
        <f t="shared" si="337"/>
        <v/>
      </c>
      <c r="M113" s="39" t="str">
        <f t="shared" si="338"/>
        <v/>
      </c>
      <c r="N113" s="74" t="str">
        <f t="shared" si="339"/>
        <v/>
      </c>
      <c r="P113" s="176"/>
      <c r="Q113" s="130" t="str">
        <f t="shared" si="340"/>
        <v/>
      </c>
      <c r="R113" s="39" t="str">
        <f t="shared" si="341"/>
        <v/>
      </c>
      <c r="S113" s="39" t="str">
        <f t="shared" si="342"/>
        <v/>
      </c>
      <c r="T113" s="74" t="str">
        <f t="shared" si="343"/>
        <v/>
      </c>
      <c r="V113" s="176"/>
      <c r="W113" s="130" t="str">
        <f t="shared" si="344"/>
        <v/>
      </c>
      <c r="X113" s="39" t="str">
        <f t="shared" si="345"/>
        <v/>
      </c>
      <c r="Y113" s="39" t="str">
        <f t="shared" si="346"/>
        <v/>
      </c>
      <c r="Z113" s="74" t="str">
        <f t="shared" si="347"/>
        <v/>
      </c>
      <c r="AB113" s="176"/>
      <c r="AC113" s="130" t="str">
        <f t="shared" si="348"/>
        <v/>
      </c>
      <c r="AD113" s="39" t="str">
        <f t="shared" si="349"/>
        <v/>
      </c>
      <c r="AE113" s="39" t="str">
        <f t="shared" si="350"/>
        <v/>
      </c>
      <c r="AF113" s="39" t="str">
        <f t="shared" si="351"/>
        <v/>
      </c>
      <c r="AG113" s="74" t="str">
        <f t="shared" si="352"/>
        <v/>
      </c>
      <c r="AI113" s="196"/>
      <c r="AJ11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3" s="136" t="str">
        <f>IF(AJ113&lt;&gt;"",IF(AJ113=0,COUNTIF(AJ$2:AJ112,0)+1,COUNTIF(AJ$2:AJ112,AJ113)+AJ113+COUNTIF(AJ:AJ,0)),"")</f>
        <v/>
      </c>
      <c r="AL113" s="136" t="str">
        <f t="shared" si="263"/>
        <v/>
      </c>
      <c r="AM113" s="155" t="str">
        <f>IF(AND(Include_study?="Yes",Sufficient_data="Yes",Input!Study_name&lt;&gt;""),Input!Study_name,"")</f>
        <v/>
      </c>
      <c r="AN113" s="136" t="str">
        <f t="shared" si="264"/>
        <v/>
      </c>
      <c r="AO113" s="19" t="str">
        <f t="shared" si="353"/>
        <v/>
      </c>
      <c r="AP113" s="158" t="str">
        <f t="shared" si="354"/>
        <v/>
      </c>
      <c r="AQ113" s="158" t="str">
        <f t="shared" si="355"/>
        <v/>
      </c>
      <c r="AR113" s="39" t="str">
        <f t="shared" si="356"/>
        <v/>
      </c>
      <c r="AS113" s="158" t="str">
        <f t="shared" si="357"/>
        <v/>
      </c>
      <c r="AT113" s="39" t="str">
        <f t="shared" si="358"/>
        <v/>
      </c>
      <c r="AU113" s="172" t="str">
        <f t="shared" si="359"/>
        <v/>
      </c>
      <c r="AV113" s="45"/>
      <c r="AW113" s="84" t="e">
        <f t="shared" si="360"/>
        <v>#N/A</v>
      </c>
      <c r="AX113" s="69" t="e">
        <f t="shared" si="361"/>
        <v>#N/A</v>
      </c>
      <c r="AY113" s="74" t="e">
        <f t="shared" si="362"/>
        <v>#N/A</v>
      </c>
      <c r="AZ113" s="45"/>
      <c r="BA113" s="45"/>
      <c r="BB113" s="45"/>
      <c r="BC113" s="45"/>
      <c r="BD113" s="196"/>
      <c r="BE113" s="182"/>
      <c r="BF113" s="69" t="str">
        <f t="shared" si="363"/>
        <v/>
      </c>
      <c r="BG113" s="69" t="str">
        <f t="shared" si="364"/>
        <v/>
      </c>
      <c r="BH113" s="69" t="str">
        <f t="shared" si="365"/>
        <v/>
      </c>
      <c r="BI113" s="39" t="str">
        <f t="shared" si="366"/>
        <v/>
      </c>
      <c r="BJ113" s="95" t="str">
        <f t="shared" si="367"/>
        <v/>
      </c>
      <c r="BO113" s="176"/>
      <c r="BP113" s="158" t="str">
        <f t="shared" si="368"/>
        <v/>
      </c>
      <c r="BQ113" s="158" t="str">
        <f t="shared" si="369"/>
        <v/>
      </c>
      <c r="BR113" s="158" t="str">
        <f t="shared" si="370"/>
        <v/>
      </c>
      <c r="BS113" s="158" t="str">
        <f>IF(AND(Sufficient_data="Yes",Include_study?="Yes"),IF(Add_0_5="Yes",(a_+d_+1)*(ab_+0.5)*(c_+0.5)/(Number_of_subjects+2)^2,(a_+d_)*b_*c_/Number_of_subjects^2),"")</f>
        <v/>
      </c>
      <c r="BT113" s="158" t="str">
        <f t="shared" si="371"/>
        <v/>
      </c>
      <c r="BU113" s="158" t="str">
        <f t="shared" si="372"/>
        <v/>
      </c>
      <c r="BV113" s="158" t="str">
        <f t="shared" si="373"/>
        <v/>
      </c>
      <c r="BW113" s="69" t="str">
        <f t="shared" si="374"/>
        <v/>
      </c>
      <c r="BX113" s="137" t="str">
        <f t="shared" si="375"/>
        <v/>
      </c>
      <c r="BY113" s="95" t="str">
        <f t="shared" si="376"/>
        <v/>
      </c>
      <c r="CD113" s="176"/>
      <c r="CE113" s="130" t="str">
        <f t="shared" si="377"/>
        <v/>
      </c>
      <c r="CF113" s="39" t="str">
        <f t="shared" si="378"/>
        <v/>
      </c>
      <c r="CG113" s="39" t="str">
        <f t="shared" si="379"/>
        <v/>
      </c>
      <c r="CH113" s="39" t="str">
        <f t="shared" si="380"/>
        <v/>
      </c>
      <c r="CI113" s="39" t="str">
        <f t="shared" si="381"/>
        <v/>
      </c>
      <c r="CJ113" s="39" t="str">
        <f t="shared" si="287"/>
        <v/>
      </c>
      <c r="CK113" s="95" t="str">
        <f t="shared" si="382"/>
        <v/>
      </c>
      <c r="CP113" s="176"/>
      <c r="CQ113" s="99" t="str">
        <f t="shared" si="383"/>
        <v/>
      </c>
      <c r="CX113" s="196"/>
      <c r="CY113" s="89" t="e">
        <f t="shared" si="384"/>
        <v>#N/A</v>
      </c>
      <c r="CZ113" s="136" t="str">
        <f t="shared" si="385"/>
        <v/>
      </c>
      <c r="DA113" s="140" t="str">
        <f t="shared" si="386"/>
        <v/>
      </c>
      <c r="DB113" s="39" t="str">
        <f t="shared" si="387"/>
        <v/>
      </c>
      <c r="DC113" s="39" t="str">
        <f t="shared" si="388"/>
        <v/>
      </c>
      <c r="DD113" s="39" t="str">
        <f t="shared" si="389"/>
        <v/>
      </c>
      <c r="DE113" s="39" t="str">
        <f t="shared" si="390"/>
        <v/>
      </c>
      <c r="DF113" s="141" t="str">
        <f t="shared" si="391"/>
        <v/>
      </c>
      <c r="DG113" s="39" t="str">
        <f t="shared" si="392"/>
        <v/>
      </c>
      <c r="DH113" s="39" t="str">
        <f t="shared" si="393"/>
        <v/>
      </c>
      <c r="DI113" s="39" t="str">
        <f t="shared" si="394"/>
        <v/>
      </c>
      <c r="DJ113" s="74" t="str">
        <f t="shared" si="395"/>
        <v/>
      </c>
      <c r="DK113" s="45"/>
      <c r="DL113" s="84" t="e">
        <f t="shared" si="222"/>
        <v>#N/A</v>
      </c>
      <c r="DM113" s="39" t="e">
        <f t="shared" si="396"/>
        <v>#N/A</v>
      </c>
      <c r="DN113" s="74" t="e">
        <f t="shared" si="397"/>
        <v>#N/A</v>
      </c>
      <c r="DO113" s="45"/>
      <c r="DP113" s="89" t="str">
        <f t="shared" si="326"/>
        <v/>
      </c>
      <c r="DQ113" s="26" t="str">
        <f>IF(AND(Sufficient_data="Yes",Subgroup&lt;&gt;""),IF(COUNTIFS(Input!J$2:J112,"="&amp;"Yes",Input!C$2:C112,"="&amp;"Yes",Input!K$2:K112,"="&amp;Subgroup)&gt;0,"",Subgroup),"")</f>
        <v/>
      </c>
      <c r="DR113" s="7" t="str">
        <f t="shared" si="327"/>
        <v/>
      </c>
      <c r="DS113" s="7" t="str">
        <f t="shared" si="398"/>
        <v/>
      </c>
      <c r="DT113" s="19" t="str">
        <f t="shared" si="399"/>
        <v/>
      </c>
      <c r="DU113" s="12" t="str">
        <f t="shared" si="223"/>
        <v/>
      </c>
      <c r="DV113" s="11" t="str">
        <f t="shared" si="224"/>
        <v/>
      </c>
      <c r="DW113" s="12" t="str">
        <f t="shared" si="225"/>
        <v/>
      </c>
      <c r="DX113" s="12" t="str">
        <f t="shared" si="400"/>
        <v/>
      </c>
      <c r="DY113" s="19" t="str">
        <f t="shared" si="226"/>
        <v/>
      </c>
      <c r="DZ113" s="12" t="str">
        <f t="shared" si="227"/>
        <v/>
      </c>
      <c r="EA113" s="19" t="str">
        <f t="shared" si="401"/>
        <v/>
      </c>
      <c r="EB113" s="7" t="str">
        <f t="shared" si="402"/>
        <v/>
      </c>
      <c r="EC113" s="19" t="str">
        <f t="shared" si="403"/>
        <v/>
      </c>
      <c r="ED113" s="19" t="str">
        <f t="shared" si="404"/>
        <v/>
      </c>
      <c r="EE113" s="19" t="str">
        <f t="shared" si="228"/>
        <v/>
      </c>
      <c r="EF113" s="19" t="str">
        <f t="shared" si="229"/>
        <v/>
      </c>
      <c r="EG113" s="19" t="str">
        <f t="shared" si="230"/>
        <v/>
      </c>
      <c r="EH113" s="19" t="str">
        <f t="shared" si="231"/>
        <v/>
      </c>
      <c r="EI113" s="19" t="str">
        <f t="shared" si="232"/>
        <v/>
      </c>
      <c r="EJ113" s="19" t="str">
        <f t="shared" si="405"/>
        <v/>
      </c>
      <c r="EK113" s="19" t="str">
        <f t="shared" si="406"/>
        <v/>
      </c>
      <c r="EL113" s="19" t="str">
        <f t="shared" si="233"/>
        <v/>
      </c>
      <c r="EM113" s="19" t="str">
        <f t="shared" si="234"/>
        <v/>
      </c>
      <c r="EN113" s="19" t="str">
        <f t="shared" si="235"/>
        <v/>
      </c>
      <c r="EO113" s="19" t="str">
        <f t="shared" si="236"/>
        <v/>
      </c>
      <c r="EP113" s="19" t="str">
        <f t="shared" si="237"/>
        <v/>
      </c>
      <c r="EQ113" s="19" t="e">
        <f t="shared" si="238"/>
        <v>#N/A</v>
      </c>
      <c r="ER113" s="11" t="str">
        <f t="shared" si="328"/>
        <v/>
      </c>
      <c r="ES113" s="19" t="str">
        <f t="shared" si="329"/>
        <v/>
      </c>
      <c r="ET113" s="156" t="str">
        <f t="shared" si="407"/>
        <v/>
      </c>
      <c r="EU113" s="39" t="str">
        <f t="shared" si="239"/>
        <v/>
      </c>
      <c r="EV113" s="74" t="str">
        <f t="shared" si="408"/>
        <v/>
      </c>
      <c r="FA113" s="196"/>
      <c r="FB113" s="84" t="e">
        <f>IF(AND(Include_study?="Yes",Sufficient_data="Yes",Moderator&lt;&gt;""),'Moderator Analysis'!E113,NA())</f>
        <v>#N/A</v>
      </c>
      <c r="FC113" s="39" t="e">
        <f>IF(AND(Include_study?="Yes",Sufficient_data="Yes",Moderator&lt;&gt;""),'Moderator Analysis'!F113,NA())</f>
        <v>#N/A</v>
      </c>
      <c r="FD113" s="39" t="str">
        <f t="shared" si="409"/>
        <v/>
      </c>
      <c r="FE113" s="39" t="str">
        <f t="shared" si="410"/>
        <v/>
      </c>
      <c r="FF113" s="39" t="str">
        <f>IF(AND(Include_study?="Yes",Sufficient_data="Yes",Moderator&lt;&gt;""),'Moderator Analysis'!F:F-FP$2,"")</f>
        <v/>
      </c>
      <c r="FG113" s="39" t="str">
        <f>IF(AND(Include_study?="Yes",Sufficient_data="Yes",Moderator&lt;&gt;""),'Moderator Analysis'!E:E-FP$3,"")</f>
        <v/>
      </c>
      <c r="FH113" s="74" t="str">
        <f>IF(AND(Include_study?="Yes",Sufficient_data="Yes",Moderator&lt;&gt;""),FE:FE*('Moderator Analysis'!F:F-FP$5-FP$4*'Moderator Analysis'!E:E)^2,"")</f>
        <v/>
      </c>
      <c r="FI113" s="128"/>
      <c r="FJ113" s="92" t="str">
        <f t="shared" si="411"/>
        <v/>
      </c>
      <c r="FK113" s="137" t="str">
        <f>IF(AND(Include_study?="Yes",Sufficient_data="Yes",Moderator&lt;&gt;""),'Moderator Analysis'!F:F-'Moderator Analysis'!J$37,"")</f>
        <v/>
      </c>
      <c r="FL113" s="137" t="str">
        <f>IF(AND(Include_study?="Yes",Sufficient_data="Yes",Moderator&lt;&gt;""),'Moderator Analysis'!E:E-SUMPRODUCT('Moderator Analysis'!E:E,FJ:FJ)/SUM(FJ:FJ),"")</f>
        <v/>
      </c>
      <c r="FM113" s="95" t="str">
        <f>IF(AND(Include_study?="Yes",Sufficient_data="Yes",Moderator&lt;&gt;""),FJ:FJ*('Moderator Analysis'!F:F-'Moderator Analysis'!J$29-'Moderator Analysis'!J$30*'Moderator Analysis'!E:E)^2,"")</f>
        <v/>
      </c>
      <c r="FR113" s="196"/>
      <c r="FS113" s="182"/>
      <c r="FT11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3" s="39" t="str">
        <f>IF(AND(Include_study?="Yes",Sufficient_data="Yes"),1/('Publication Bias Analysis'!F:F^2+IF(Additional_model="Fixed effect",0,Calculations!GH$12)),"")</f>
        <v/>
      </c>
      <c r="FV113" s="39" t="str">
        <f>IF(AND(Include_study?="Yes",Sufficient_data="Yes"),1/('Publication Bias Analysis'!F:F^2+IF(Additional_model="Fixed effect",0,'Publication Bias Analysis'!L$32)),"")</f>
        <v/>
      </c>
      <c r="FW113" s="39" t="str">
        <f>IF(AND(Include_study?="Yes",Sufficient_data="Yes"),'Publication Bias Analysis'!E:E-'Publication Bias Analysis'!I$37,"")</f>
        <v/>
      </c>
      <c r="FX113" s="39" t="str">
        <f>IF(AND(Include_study?="Yes",Sufficient_data="Yes"),IF(Additional_model="Fixed effect",1/'Publication Bias Analysis'!F:F,1/SQRT('Publication Bias Analysis'!F:F^2+GH$12)),"")</f>
        <v/>
      </c>
      <c r="FY11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3" s="136" t="str">
        <f t="shared" si="412"/>
        <v/>
      </c>
      <c r="GA113" s="144" t="str">
        <f>IF(AND(Include_study?="Yes",Sufficient_data="Yes"),FZ:FZ+IF(GL:GL&lt;0,-1,1)*COUNTIF(FZ$2:FZ112,FZ:FZ),"")</f>
        <v/>
      </c>
      <c r="GB113" s="144" t="str">
        <f>IF(AND(Include_study?="Yes",Sufficient_data="Yes"),RANK(GP:GP,GP:GP,1)*IF(GO:GO&lt;0,-1,1)+IF(GO:GO&lt;0,-1,1)*COUNTIF(FZ$2:FZ112,FZ:FZ),"")</f>
        <v/>
      </c>
      <c r="GC113" s="144" t="str">
        <f>IF(AND(Include_study?="Yes",Sufficient_data="Yes"),RANK(GS:GS,GS:GS,1)*IF(GR:GR&lt;0,-1,1)+IF(GR:GR&lt;0,-1,1)*COUNTIF(FZ$2:FZ112,FZ:FZ),"")</f>
        <v/>
      </c>
      <c r="GD113" s="39" t="e">
        <f>IF(AND(Include_study?="Yes",Sufficient_data="Yes"),'Publication Bias Analysis'!E113,NA())</f>
        <v>#N/A</v>
      </c>
      <c r="GE113" s="74" t="e">
        <f>IF(AND(Include_study?="Yes",Sufficient_data="Yes"),'Publication Bias Analysis'!F113,NA())</f>
        <v>#N/A</v>
      </c>
      <c r="GK113" s="176"/>
      <c r="GL11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3" s="39" t="str">
        <f t="shared" si="413"/>
        <v/>
      </c>
      <c r="GN11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3" s="39" t="str">
        <f>IF(AND(Include_study?="Yes",Sufficient_data="Yes"),IF('Publication Bias Analysis'!L$38="Left",'Publication Bias Analysis'!E:E-GW$3,GW$3-'Publication Bias Analysis'!E:E),"")</f>
        <v/>
      </c>
      <c r="GP113" s="39" t="str">
        <f t="shared" si="421"/>
        <v/>
      </c>
      <c r="GQ11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3" s="39" t="str">
        <f>IF(AND(Include_study?="Yes",Sufficient_data="Yes"),IF('Publication Bias Analysis'!L$38="Left",'Publication Bias Analysis'!E:E-GW$10,GW$10-'Publication Bias Analysis'!E:E),"")</f>
        <v/>
      </c>
      <c r="GS113" s="39" t="str">
        <f t="shared" si="422"/>
        <v/>
      </c>
      <c r="GT11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3" s="176"/>
      <c r="HL113" s="69" t="str">
        <f t="shared" si="319"/>
        <v/>
      </c>
      <c r="HM113" s="74" t="str">
        <f>IF(AND(Include_study?="Yes",Sufficient_data="Yes"),Z_score-('Publication Bias Analysis'!P$3+'Publication Bias Analysis'!P$4*Inverse_standard_error),"")</f>
        <v/>
      </c>
      <c r="HO113" s="176"/>
      <c r="HP113" s="69" t="str">
        <f>IF(AND(Include_study?="Yes",Sufficient_data="Yes"),(GD:GD-SUMPRODUCT(Calculations!FT:FT,'Publication Bias Analysis'!E:E)/SUM(Calculations!FT:FT))/SQRT(Calculations!HQ:HQ),"")</f>
        <v/>
      </c>
      <c r="HQ113" s="69" t="str">
        <f>IF(AND(Include_study?="Yes",Sufficient_data="Yes"),GE:GE^2-1/SUM(Calculations!FT:FT),"")</f>
        <v/>
      </c>
      <c r="HR113" s="7" t="str">
        <f t="shared" si="240"/>
        <v/>
      </c>
      <c r="HS113" s="7" t="str">
        <f t="shared" si="241"/>
        <v/>
      </c>
      <c r="HT113" s="7" t="str">
        <f>IF(AND(Include_study?="Yes",Sufficient_data="Yes"),COUNTIFS(HR$2:HR112,"&lt;"&amp;HR113,HS$2:HS112,"&lt;"&amp;HS113)+COUNTIFS(HR114:HR$201,"&lt;"&amp;HR113,HS114:HS$201,"&lt;"&amp;HS113)+COUNTIFS(HR$2:HR112,"&gt;"&amp;HR113,HS$2:HS112,"&gt;"&amp;HS113)+COUNTIFS(HR114:HR$201,"&gt;"&amp;HR113,HS114:HS$201,"&gt;"&amp;HS113),"")</f>
        <v/>
      </c>
      <c r="HU113" s="104" t="str">
        <f>IF(AND(Include_study?="Yes",Sufficient_data="Yes"),COUNTIFS(HR$2:HR112,"&lt;"&amp;HR113,HS$2:HS112,"&gt;"&amp;HS113)+COUNTIFS(HR114:HR$201,"&lt;"&amp;HR113,HS114:HS$201,"&gt;"&amp;HS113)+COUNTIFS(HR$2:HR112,"&gt;"&amp;HR113,HS$2:HS112,"&lt;"&amp;HS113)+COUNTIFS(HR114:HR$201,"&gt;"&amp;HR113,HS114:HS$201,"&lt;"&amp;HS113),"")</f>
        <v/>
      </c>
      <c r="HW113" s="176"/>
      <c r="IB113" s="176"/>
      <c r="IC113" s="146" t="e">
        <f t="shared" si="414"/>
        <v>#N/A</v>
      </c>
      <c r="ID113" s="137" t="e">
        <f t="shared" si="415"/>
        <v>#N/A</v>
      </c>
      <c r="IE113" s="137" t="str">
        <f t="shared" si="416"/>
        <v/>
      </c>
      <c r="IF113" s="95" t="str">
        <f t="shared" si="417"/>
        <v/>
      </c>
      <c r="IK113" s="176"/>
      <c r="IL113" s="69" t="e">
        <f>IF(AND(Include_study?="Yes",Sufficient_data="Yes"),'Publication Bias Analysis'!AV:AV,NA())</f>
        <v>#N/A</v>
      </c>
      <c r="IM113" s="158" t="e">
        <f>IF(AND(Sufficient_data="Yes",Include_study?="Yes"),'Publication Bias Analysis'!AU:AU,NA())</f>
        <v>#N/A</v>
      </c>
      <c r="IN113" s="69" t="str">
        <f t="shared" si="418"/>
        <v/>
      </c>
      <c r="IO113" s="74" t="str">
        <f>IF(AND(Include_study?="Yes",Sufficient_data="Yes"),Z_score-('Publication Bias Analysis'!AY$30+'Publication Bias Analysis'!AY$31*Inverse_standard_error),"")</f>
        <v/>
      </c>
      <c r="IU113" s="176"/>
      <c r="IV113" s="7" t="str">
        <f>IF('Publication Bias Analysis'!BG:BG&lt;&gt;"",RANK('Publication Bias Analysis'!BG:BG,'Publication Bias Analysis'!BG:BG,1)+COUNTIF('Publication Bias Analysis'!BG$2:BG112,'Publication Bias Analysis'!BG113),"")</f>
        <v/>
      </c>
      <c r="IW113" s="124" t="str">
        <f t="shared" si="419"/>
        <v/>
      </c>
      <c r="IX113" s="125" t="e">
        <f>IF('Publication Bias Analysis'!BF113&lt;&gt;"",'Publication Bias Analysis'!BF113,NA())</f>
        <v>#N/A</v>
      </c>
      <c r="IY113" s="125" t="e">
        <f>IF('Publication Bias Analysis'!BG113&lt;&gt;"",'Publication Bias Analysis'!BG113,NA())</f>
        <v>#N/A</v>
      </c>
      <c r="IZ113" s="69" t="str">
        <f>IF(AND(Include_study?="Yes",Sufficient_data="Yes"),'Publication Bias Analysis'!BF:BF-AVERAGE('Publication Bias Analysis'!BF:BF),"")</f>
        <v/>
      </c>
      <c r="JA113" s="74" t="str">
        <f>IF(AND(Include_study?="Yes",Sufficient_data="Yes"),'Publication Bias Analysis'!BG:BG-('Publication Bias Analysis'!BJ$30+'Publication Bias Analysis'!BJ$31*'Publication Bias Analysis'!BF:BF),"")</f>
        <v/>
      </c>
      <c r="JG113" s="176"/>
      <c r="JH113" s="39" t="str">
        <f t="shared" si="420"/>
        <v/>
      </c>
      <c r="JI113" s="148" t="str">
        <f t="shared" si="332"/>
        <v/>
      </c>
      <c r="JJ113" s="74" t="str">
        <f t="shared" si="333"/>
        <v/>
      </c>
    </row>
    <row r="114" spans="1:270" x14ac:dyDescent="0.2">
      <c r="A114" s="56" t="str">
        <f t="shared" si="334"/>
        <v/>
      </c>
      <c r="B114" s="7" t="str">
        <f>IF(AND(Include_study?="Yes",Sufficient_data="Yes"),IF(Input!a_&lt;&gt;"",Input!a_,Input!n1_-Input!b_),"")</f>
        <v/>
      </c>
      <c r="C114" s="7" t="str">
        <f>IF(AND(Include_study?="Yes",Sufficient_data="Yes"),IF(Input!b_&lt;&gt;"",Input!b_,Input!n1_-Input!a_),"")</f>
        <v/>
      </c>
      <c r="D114" s="7" t="str">
        <f>IF(AND(Include_study?="Yes",Sufficient_data="Yes"),IF(Input!c_&lt;&gt;"",Input!c_,Input!n2_-Input!d_),"")</f>
        <v/>
      </c>
      <c r="E114" s="7" t="str">
        <f>IF(AND(Include_study?="Yes",Sufficient_data="Yes"),IF(Input!d_&lt;&gt;"",Input!d_,Input!n2_-Input!c_),"")</f>
        <v/>
      </c>
      <c r="F114" s="74" t="str">
        <f t="shared" si="335"/>
        <v/>
      </c>
      <c r="H114" s="196"/>
      <c r="I114" s="182"/>
      <c r="J114" s="146" t="str">
        <f t="shared" si="245"/>
        <v/>
      </c>
      <c r="K114" s="39" t="str">
        <f t="shared" si="336"/>
        <v/>
      </c>
      <c r="L114" s="39" t="str">
        <f t="shared" si="337"/>
        <v/>
      </c>
      <c r="M114" s="39" t="str">
        <f t="shared" si="338"/>
        <v/>
      </c>
      <c r="N114" s="74" t="str">
        <f t="shared" si="339"/>
        <v/>
      </c>
      <c r="P114" s="176"/>
      <c r="Q114" s="130" t="str">
        <f t="shared" si="340"/>
        <v/>
      </c>
      <c r="R114" s="39" t="str">
        <f t="shared" si="341"/>
        <v/>
      </c>
      <c r="S114" s="39" t="str">
        <f t="shared" si="342"/>
        <v/>
      </c>
      <c r="T114" s="74" t="str">
        <f t="shared" si="343"/>
        <v/>
      </c>
      <c r="V114" s="176"/>
      <c r="W114" s="130" t="str">
        <f t="shared" si="344"/>
        <v/>
      </c>
      <c r="X114" s="39" t="str">
        <f t="shared" si="345"/>
        <v/>
      </c>
      <c r="Y114" s="39" t="str">
        <f t="shared" si="346"/>
        <v/>
      </c>
      <c r="Z114" s="74" t="str">
        <f t="shared" si="347"/>
        <v/>
      </c>
      <c r="AB114" s="176"/>
      <c r="AC114" s="130" t="str">
        <f t="shared" si="348"/>
        <v/>
      </c>
      <c r="AD114" s="39" t="str">
        <f t="shared" si="349"/>
        <v/>
      </c>
      <c r="AE114" s="39" t="str">
        <f t="shared" si="350"/>
        <v/>
      </c>
      <c r="AF114" s="39" t="str">
        <f t="shared" si="351"/>
        <v/>
      </c>
      <c r="AG114" s="74" t="str">
        <f t="shared" si="352"/>
        <v/>
      </c>
      <c r="AI114" s="196"/>
      <c r="AJ11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4" s="136" t="str">
        <f>IF(AJ114&lt;&gt;"",IF(AJ114=0,COUNTIF(AJ$2:AJ113,0)+1,COUNTIF(AJ$2:AJ113,AJ114)+AJ114+COUNTIF(AJ:AJ,0)),"")</f>
        <v/>
      </c>
      <c r="AL114" s="136" t="str">
        <f t="shared" si="263"/>
        <v/>
      </c>
      <c r="AM114" s="155" t="str">
        <f>IF(AND(Include_study?="Yes",Sufficient_data="Yes",Input!Study_name&lt;&gt;""),Input!Study_name,"")</f>
        <v/>
      </c>
      <c r="AN114" s="136" t="str">
        <f t="shared" si="264"/>
        <v/>
      </c>
      <c r="AO114" s="19" t="str">
        <f t="shared" si="353"/>
        <v/>
      </c>
      <c r="AP114" s="158" t="str">
        <f t="shared" si="354"/>
        <v/>
      </c>
      <c r="AQ114" s="158" t="str">
        <f t="shared" si="355"/>
        <v/>
      </c>
      <c r="AR114" s="39" t="str">
        <f t="shared" si="356"/>
        <v/>
      </c>
      <c r="AS114" s="158" t="str">
        <f t="shared" si="357"/>
        <v/>
      </c>
      <c r="AT114" s="39" t="str">
        <f t="shared" si="358"/>
        <v/>
      </c>
      <c r="AU114" s="172" t="str">
        <f t="shared" si="359"/>
        <v/>
      </c>
      <c r="AV114" s="45"/>
      <c r="AW114" s="84" t="e">
        <f t="shared" si="360"/>
        <v>#N/A</v>
      </c>
      <c r="AX114" s="69" t="e">
        <f t="shared" si="361"/>
        <v>#N/A</v>
      </c>
      <c r="AY114" s="74" t="e">
        <f t="shared" si="362"/>
        <v>#N/A</v>
      </c>
      <c r="AZ114" s="45"/>
      <c r="BA114" s="45"/>
      <c r="BB114" s="45"/>
      <c r="BC114" s="45"/>
      <c r="BD114" s="196"/>
      <c r="BE114" s="182"/>
      <c r="BF114" s="69" t="str">
        <f t="shared" si="363"/>
        <v/>
      </c>
      <c r="BG114" s="69" t="str">
        <f t="shared" si="364"/>
        <v/>
      </c>
      <c r="BH114" s="69" t="str">
        <f t="shared" si="365"/>
        <v/>
      </c>
      <c r="BI114" s="39" t="str">
        <f t="shared" si="366"/>
        <v/>
      </c>
      <c r="BJ114" s="95" t="str">
        <f t="shared" si="367"/>
        <v/>
      </c>
      <c r="BO114" s="176"/>
      <c r="BP114" s="158" t="str">
        <f t="shared" si="368"/>
        <v/>
      </c>
      <c r="BQ114" s="158" t="str">
        <f t="shared" si="369"/>
        <v/>
      </c>
      <c r="BR114" s="158" t="str">
        <f t="shared" si="370"/>
        <v/>
      </c>
      <c r="BS114" s="158" t="str">
        <f>IF(AND(Sufficient_data="Yes",Include_study?="Yes"),IF(Add_0_5="Yes",(a_+d_+1)*(ab_+0.5)*(c_+0.5)/(Number_of_subjects+2)^2,(a_+d_)*b_*c_/Number_of_subjects^2),"")</f>
        <v/>
      </c>
      <c r="BT114" s="158" t="str">
        <f t="shared" si="371"/>
        <v/>
      </c>
      <c r="BU114" s="158" t="str">
        <f t="shared" si="372"/>
        <v/>
      </c>
      <c r="BV114" s="158" t="str">
        <f t="shared" si="373"/>
        <v/>
      </c>
      <c r="BW114" s="69" t="str">
        <f t="shared" si="374"/>
        <v/>
      </c>
      <c r="BX114" s="137" t="str">
        <f t="shared" si="375"/>
        <v/>
      </c>
      <c r="BY114" s="95" t="str">
        <f t="shared" si="376"/>
        <v/>
      </c>
      <c r="CD114" s="176"/>
      <c r="CE114" s="130" t="str">
        <f t="shared" si="377"/>
        <v/>
      </c>
      <c r="CF114" s="39" t="str">
        <f t="shared" si="378"/>
        <v/>
      </c>
      <c r="CG114" s="39" t="str">
        <f t="shared" si="379"/>
        <v/>
      </c>
      <c r="CH114" s="39" t="str">
        <f t="shared" si="380"/>
        <v/>
      </c>
      <c r="CI114" s="39" t="str">
        <f t="shared" si="381"/>
        <v/>
      </c>
      <c r="CJ114" s="39" t="str">
        <f t="shared" si="287"/>
        <v/>
      </c>
      <c r="CK114" s="95" t="str">
        <f t="shared" si="382"/>
        <v/>
      </c>
      <c r="CP114" s="176"/>
      <c r="CQ114" s="99" t="str">
        <f t="shared" si="383"/>
        <v/>
      </c>
      <c r="CX114" s="196"/>
      <c r="CY114" s="89" t="e">
        <f t="shared" si="384"/>
        <v>#N/A</v>
      </c>
      <c r="CZ114" s="136" t="str">
        <f t="shared" si="385"/>
        <v/>
      </c>
      <c r="DA114" s="140" t="str">
        <f t="shared" si="386"/>
        <v/>
      </c>
      <c r="DB114" s="39" t="str">
        <f t="shared" si="387"/>
        <v/>
      </c>
      <c r="DC114" s="39" t="str">
        <f t="shared" si="388"/>
        <v/>
      </c>
      <c r="DD114" s="39" t="str">
        <f t="shared" si="389"/>
        <v/>
      </c>
      <c r="DE114" s="39" t="str">
        <f t="shared" si="390"/>
        <v/>
      </c>
      <c r="DF114" s="141" t="str">
        <f t="shared" si="391"/>
        <v/>
      </c>
      <c r="DG114" s="39" t="str">
        <f t="shared" si="392"/>
        <v/>
      </c>
      <c r="DH114" s="39" t="str">
        <f t="shared" si="393"/>
        <v/>
      </c>
      <c r="DI114" s="39" t="str">
        <f t="shared" si="394"/>
        <v/>
      </c>
      <c r="DJ114" s="74" t="str">
        <f t="shared" si="395"/>
        <v/>
      </c>
      <c r="DK114" s="45"/>
      <c r="DL114" s="84" t="e">
        <f t="shared" si="222"/>
        <v>#N/A</v>
      </c>
      <c r="DM114" s="39" t="e">
        <f t="shared" si="396"/>
        <v>#N/A</v>
      </c>
      <c r="DN114" s="74" t="e">
        <f t="shared" si="397"/>
        <v>#N/A</v>
      </c>
      <c r="DO114" s="45"/>
      <c r="DP114" s="89" t="str">
        <f t="shared" si="326"/>
        <v/>
      </c>
      <c r="DQ114" s="26" t="str">
        <f>IF(AND(Sufficient_data="Yes",Subgroup&lt;&gt;""),IF(COUNTIFS(Input!J$2:J113,"="&amp;"Yes",Input!C$2:C113,"="&amp;"Yes",Input!K$2:K113,"="&amp;Subgroup)&gt;0,"",Subgroup),"")</f>
        <v/>
      </c>
      <c r="DR114" s="7" t="str">
        <f t="shared" si="327"/>
        <v/>
      </c>
      <c r="DS114" s="7" t="str">
        <f t="shared" si="398"/>
        <v/>
      </c>
      <c r="DT114" s="19" t="str">
        <f t="shared" si="399"/>
        <v/>
      </c>
      <c r="DU114" s="12" t="str">
        <f t="shared" si="223"/>
        <v/>
      </c>
      <c r="DV114" s="11" t="str">
        <f t="shared" si="224"/>
        <v/>
      </c>
      <c r="DW114" s="12" t="str">
        <f t="shared" si="225"/>
        <v/>
      </c>
      <c r="DX114" s="12" t="str">
        <f t="shared" si="400"/>
        <v/>
      </c>
      <c r="DY114" s="19" t="str">
        <f t="shared" si="226"/>
        <v/>
      </c>
      <c r="DZ114" s="12" t="str">
        <f t="shared" si="227"/>
        <v/>
      </c>
      <c r="EA114" s="19" t="str">
        <f t="shared" si="401"/>
        <v/>
      </c>
      <c r="EB114" s="7" t="str">
        <f t="shared" si="402"/>
        <v/>
      </c>
      <c r="EC114" s="19" t="str">
        <f t="shared" si="403"/>
        <v/>
      </c>
      <c r="ED114" s="19" t="str">
        <f t="shared" si="404"/>
        <v/>
      </c>
      <c r="EE114" s="19" t="str">
        <f t="shared" si="228"/>
        <v/>
      </c>
      <c r="EF114" s="19" t="str">
        <f t="shared" si="229"/>
        <v/>
      </c>
      <c r="EG114" s="19" t="str">
        <f t="shared" si="230"/>
        <v/>
      </c>
      <c r="EH114" s="19" t="str">
        <f t="shared" si="231"/>
        <v/>
      </c>
      <c r="EI114" s="19" t="str">
        <f t="shared" si="232"/>
        <v/>
      </c>
      <c r="EJ114" s="19" t="str">
        <f t="shared" si="405"/>
        <v/>
      </c>
      <c r="EK114" s="19" t="str">
        <f t="shared" si="406"/>
        <v/>
      </c>
      <c r="EL114" s="19" t="str">
        <f t="shared" si="233"/>
        <v/>
      </c>
      <c r="EM114" s="19" t="str">
        <f t="shared" si="234"/>
        <v/>
      </c>
      <c r="EN114" s="19" t="str">
        <f t="shared" si="235"/>
        <v/>
      </c>
      <c r="EO114" s="19" t="str">
        <f t="shared" si="236"/>
        <v/>
      </c>
      <c r="EP114" s="19" t="str">
        <f t="shared" si="237"/>
        <v/>
      </c>
      <c r="EQ114" s="19" t="e">
        <f t="shared" si="238"/>
        <v>#N/A</v>
      </c>
      <c r="ER114" s="11" t="str">
        <f t="shared" si="328"/>
        <v/>
      </c>
      <c r="ES114" s="19" t="str">
        <f t="shared" si="329"/>
        <v/>
      </c>
      <c r="ET114" s="156" t="str">
        <f t="shared" si="407"/>
        <v/>
      </c>
      <c r="EU114" s="39" t="str">
        <f t="shared" si="239"/>
        <v/>
      </c>
      <c r="EV114" s="74" t="str">
        <f t="shared" si="408"/>
        <v/>
      </c>
      <c r="FA114" s="196"/>
      <c r="FB114" s="84" t="e">
        <f>IF(AND(Include_study?="Yes",Sufficient_data="Yes",Moderator&lt;&gt;""),'Moderator Analysis'!E114,NA())</f>
        <v>#N/A</v>
      </c>
      <c r="FC114" s="39" t="e">
        <f>IF(AND(Include_study?="Yes",Sufficient_data="Yes",Moderator&lt;&gt;""),'Moderator Analysis'!F114,NA())</f>
        <v>#N/A</v>
      </c>
      <c r="FD114" s="39" t="str">
        <f t="shared" si="409"/>
        <v/>
      </c>
      <c r="FE114" s="39" t="str">
        <f t="shared" si="410"/>
        <v/>
      </c>
      <c r="FF114" s="39" t="str">
        <f>IF(AND(Include_study?="Yes",Sufficient_data="Yes",Moderator&lt;&gt;""),'Moderator Analysis'!F:F-FP$2,"")</f>
        <v/>
      </c>
      <c r="FG114" s="39" t="str">
        <f>IF(AND(Include_study?="Yes",Sufficient_data="Yes",Moderator&lt;&gt;""),'Moderator Analysis'!E:E-FP$3,"")</f>
        <v/>
      </c>
      <c r="FH114" s="74" t="str">
        <f>IF(AND(Include_study?="Yes",Sufficient_data="Yes",Moderator&lt;&gt;""),FE:FE*('Moderator Analysis'!F:F-FP$5-FP$4*'Moderator Analysis'!E:E)^2,"")</f>
        <v/>
      </c>
      <c r="FI114" s="128"/>
      <c r="FJ114" s="92" t="str">
        <f t="shared" si="411"/>
        <v/>
      </c>
      <c r="FK114" s="137" t="str">
        <f>IF(AND(Include_study?="Yes",Sufficient_data="Yes",Moderator&lt;&gt;""),'Moderator Analysis'!F:F-'Moderator Analysis'!J$37,"")</f>
        <v/>
      </c>
      <c r="FL114" s="137" t="str">
        <f>IF(AND(Include_study?="Yes",Sufficient_data="Yes",Moderator&lt;&gt;""),'Moderator Analysis'!E:E-SUMPRODUCT('Moderator Analysis'!E:E,FJ:FJ)/SUM(FJ:FJ),"")</f>
        <v/>
      </c>
      <c r="FM114" s="95" t="str">
        <f>IF(AND(Include_study?="Yes",Sufficient_data="Yes",Moderator&lt;&gt;""),FJ:FJ*('Moderator Analysis'!F:F-'Moderator Analysis'!J$29-'Moderator Analysis'!J$30*'Moderator Analysis'!E:E)^2,"")</f>
        <v/>
      </c>
      <c r="FR114" s="196"/>
      <c r="FS114" s="182"/>
      <c r="FT11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4" s="39" t="str">
        <f>IF(AND(Include_study?="Yes",Sufficient_data="Yes"),1/('Publication Bias Analysis'!F:F^2+IF(Additional_model="Fixed effect",0,Calculations!GH$12)),"")</f>
        <v/>
      </c>
      <c r="FV114" s="39" t="str">
        <f>IF(AND(Include_study?="Yes",Sufficient_data="Yes"),1/('Publication Bias Analysis'!F:F^2+IF(Additional_model="Fixed effect",0,'Publication Bias Analysis'!L$32)),"")</f>
        <v/>
      </c>
      <c r="FW114" s="39" t="str">
        <f>IF(AND(Include_study?="Yes",Sufficient_data="Yes"),'Publication Bias Analysis'!E:E-'Publication Bias Analysis'!I$37,"")</f>
        <v/>
      </c>
      <c r="FX114" s="39" t="str">
        <f>IF(AND(Include_study?="Yes",Sufficient_data="Yes"),IF(Additional_model="Fixed effect",1/'Publication Bias Analysis'!F:F,1/SQRT('Publication Bias Analysis'!F:F^2+GH$12)),"")</f>
        <v/>
      </c>
      <c r="FY11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4" s="136" t="str">
        <f t="shared" si="412"/>
        <v/>
      </c>
      <c r="GA114" s="144" t="str">
        <f>IF(AND(Include_study?="Yes",Sufficient_data="Yes"),FZ:FZ+IF(GL:GL&lt;0,-1,1)*COUNTIF(FZ$2:FZ113,FZ:FZ),"")</f>
        <v/>
      </c>
      <c r="GB114" s="144" t="str">
        <f>IF(AND(Include_study?="Yes",Sufficient_data="Yes"),RANK(GP:GP,GP:GP,1)*IF(GO:GO&lt;0,-1,1)+IF(GO:GO&lt;0,-1,1)*COUNTIF(FZ$2:FZ113,FZ:FZ),"")</f>
        <v/>
      </c>
      <c r="GC114" s="144" t="str">
        <f>IF(AND(Include_study?="Yes",Sufficient_data="Yes"),RANK(GS:GS,GS:GS,1)*IF(GR:GR&lt;0,-1,1)+IF(GR:GR&lt;0,-1,1)*COUNTIF(FZ$2:FZ113,FZ:FZ),"")</f>
        <v/>
      </c>
      <c r="GD114" s="39" t="e">
        <f>IF(AND(Include_study?="Yes",Sufficient_data="Yes"),'Publication Bias Analysis'!E114,NA())</f>
        <v>#N/A</v>
      </c>
      <c r="GE114" s="74" t="e">
        <f>IF(AND(Include_study?="Yes",Sufficient_data="Yes"),'Publication Bias Analysis'!F114,NA())</f>
        <v>#N/A</v>
      </c>
      <c r="GK114" s="176"/>
      <c r="GL11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4" s="39" t="str">
        <f t="shared" si="413"/>
        <v/>
      </c>
      <c r="GN11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4" s="39" t="str">
        <f>IF(AND(Include_study?="Yes",Sufficient_data="Yes"),IF('Publication Bias Analysis'!L$38="Left",'Publication Bias Analysis'!E:E-GW$3,GW$3-'Publication Bias Analysis'!E:E),"")</f>
        <v/>
      </c>
      <c r="GP114" s="39" t="str">
        <f t="shared" si="421"/>
        <v/>
      </c>
      <c r="GQ11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4" s="39" t="str">
        <f>IF(AND(Include_study?="Yes",Sufficient_data="Yes"),IF('Publication Bias Analysis'!L$38="Left",'Publication Bias Analysis'!E:E-GW$10,GW$10-'Publication Bias Analysis'!E:E),"")</f>
        <v/>
      </c>
      <c r="GS114" s="39" t="str">
        <f t="shared" si="422"/>
        <v/>
      </c>
      <c r="GT11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4" s="176"/>
      <c r="HL114" s="69" t="str">
        <f t="shared" si="319"/>
        <v/>
      </c>
      <c r="HM114" s="74" t="str">
        <f>IF(AND(Include_study?="Yes",Sufficient_data="Yes"),Z_score-('Publication Bias Analysis'!P$3+'Publication Bias Analysis'!P$4*Inverse_standard_error),"")</f>
        <v/>
      </c>
      <c r="HO114" s="176"/>
      <c r="HP114" s="69" t="str">
        <f>IF(AND(Include_study?="Yes",Sufficient_data="Yes"),(GD:GD-SUMPRODUCT(Calculations!FT:FT,'Publication Bias Analysis'!E:E)/SUM(Calculations!FT:FT))/SQRT(Calculations!HQ:HQ),"")</f>
        <v/>
      </c>
      <c r="HQ114" s="69" t="str">
        <f>IF(AND(Include_study?="Yes",Sufficient_data="Yes"),GE:GE^2-1/SUM(Calculations!FT:FT),"")</f>
        <v/>
      </c>
      <c r="HR114" s="7" t="str">
        <f t="shared" si="240"/>
        <v/>
      </c>
      <c r="HS114" s="7" t="str">
        <f t="shared" si="241"/>
        <v/>
      </c>
      <c r="HT114" s="7" t="str">
        <f>IF(AND(Include_study?="Yes",Sufficient_data="Yes"),COUNTIFS(HR$2:HR113,"&lt;"&amp;HR114,HS$2:HS113,"&lt;"&amp;HS114)+COUNTIFS(HR115:HR$201,"&lt;"&amp;HR114,HS115:HS$201,"&lt;"&amp;HS114)+COUNTIFS(HR$2:HR113,"&gt;"&amp;HR114,HS$2:HS113,"&gt;"&amp;HS114)+COUNTIFS(HR115:HR$201,"&gt;"&amp;HR114,HS115:HS$201,"&gt;"&amp;HS114),"")</f>
        <v/>
      </c>
      <c r="HU114" s="104" t="str">
        <f>IF(AND(Include_study?="Yes",Sufficient_data="Yes"),COUNTIFS(HR$2:HR113,"&lt;"&amp;HR114,HS$2:HS113,"&gt;"&amp;HS114)+COUNTIFS(HR115:HR$201,"&lt;"&amp;HR114,HS115:HS$201,"&gt;"&amp;HS114)+COUNTIFS(HR$2:HR113,"&gt;"&amp;HR114,HS$2:HS113,"&lt;"&amp;HS114)+COUNTIFS(HR115:HR$201,"&gt;"&amp;HR114,HS115:HS$201,"&lt;"&amp;HS114),"")</f>
        <v/>
      </c>
      <c r="HW114" s="176"/>
      <c r="IB114" s="176"/>
      <c r="IC114" s="146" t="e">
        <f t="shared" si="414"/>
        <v>#N/A</v>
      </c>
      <c r="ID114" s="137" t="e">
        <f t="shared" si="415"/>
        <v>#N/A</v>
      </c>
      <c r="IE114" s="137" t="str">
        <f t="shared" si="416"/>
        <v/>
      </c>
      <c r="IF114" s="95" t="str">
        <f t="shared" si="417"/>
        <v/>
      </c>
      <c r="IK114" s="176"/>
      <c r="IL114" s="69" t="e">
        <f>IF(AND(Include_study?="Yes",Sufficient_data="Yes"),'Publication Bias Analysis'!AV:AV,NA())</f>
        <v>#N/A</v>
      </c>
      <c r="IM114" s="158" t="e">
        <f>IF(AND(Sufficient_data="Yes",Include_study?="Yes"),'Publication Bias Analysis'!AU:AU,NA())</f>
        <v>#N/A</v>
      </c>
      <c r="IN114" s="69" t="str">
        <f t="shared" si="418"/>
        <v/>
      </c>
      <c r="IO114" s="74" t="str">
        <f>IF(AND(Include_study?="Yes",Sufficient_data="Yes"),Z_score-('Publication Bias Analysis'!AY$30+'Publication Bias Analysis'!AY$31*Inverse_standard_error),"")</f>
        <v/>
      </c>
      <c r="IU114" s="176"/>
      <c r="IV114" s="7" t="str">
        <f>IF('Publication Bias Analysis'!BG:BG&lt;&gt;"",RANK('Publication Bias Analysis'!BG:BG,'Publication Bias Analysis'!BG:BG,1)+COUNTIF('Publication Bias Analysis'!BG$2:BG113,'Publication Bias Analysis'!BG114),"")</f>
        <v/>
      </c>
      <c r="IW114" s="124" t="str">
        <f t="shared" si="419"/>
        <v/>
      </c>
      <c r="IX114" s="125" t="e">
        <f>IF('Publication Bias Analysis'!BF114&lt;&gt;"",'Publication Bias Analysis'!BF114,NA())</f>
        <v>#N/A</v>
      </c>
      <c r="IY114" s="125" t="e">
        <f>IF('Publication Bias Analysis'!BG114&lt;&gt;"",'Publication Bias Analysis'!BG114,NA())</f>
        <v>#N/A</v>
      </c>
      <c r="IZ114" s="69" t="str">
        <f>IF(AND(Include_study?="Yes",Sufficient_data="Yes"),'Publication Bias Analysis'!BF:BF-AVERAGE('Publication Bias Analysis'!BF:BF),"")</f>
        <v/>
      </c>
      <c r="JA114" s="74" t="str">
        <f>IF(AND(Include_study?="Yes",Sufficient_data="Yes"),'Publication Bias Analysis'!BG:BG-('Publication Bias Analysis'!BJ$30+'Publication Bias Analysis'!BJ$31*'Publication Bias Analysis'!BF:BF),"")</f>
        <v/>
      </c>
      <c r="JG114" s="176"/>
      <c r="JH114" s="39" t="str">
        <f t="shared" si="420"/>
        <v/>
      </c>
      <c r="JI114" s="148" t="str">
        <f t="shared" si="332"/>
        <v/>
      </c>
      <c r="JJ114" s="74" t="str">
        <f t="shared" si="333"/>
        <v/>
      </c>
    </row>
    <row r="115" spans="1:270" x14ac:dyDescent="0.2">
      <c r="A115" s="56" t="str">
        <f t="shared" si="334"/>
        <v/>
      </c>
      <c r="B115" s="7" t="str">
        <f>IF(AND(Include_study?="Yes",Sufficient_data="Yes"),IF(Input!a_&lt;&gt;"",Input!a_,Input!n1_-Input!b_),"")</f>
        <v/>
      </c>
      <c r="C115" s="7" t="str">
        <f>IF(AND(Include_study?="Yes",Sufficient_data="Yes"),IF(Input!b_&lt;&gt;"",Input!b_,Input!n1_-Input!a_),"")</f>
        <v/>
      </c>
      <c r="D115" s="7" t="str">
        <f>IF(AND(Include_study?="Yes",Sufficient_data="Yes"),IF(Input!c_&lt;&gt;"",Input!c_,Input!n2_-Input!d_),"")</f>
        <v/>
      </c>
      <c r="E115" s="7" t="str">
        <f>IF(AND(Include_study?="Yes",Sufficient_data="Yes"),IF(Input!d_&lt;&gt;"",Input!d_,Input!n2_-Input!c_),"")</f>
        <v/>
      </c>
      <c r="F115" s="74" t="str">
        <f t="shared" si="335"/>
        <v/>
      </c>
      <c r="H115" s="196"/>
      <c r="I115" s="182"/>
      <c r="J115" s="146" t="str">
        <f t="shared" si="245"/>
        <v/>
      </c>
      <c r="K115" s="39" t="str">
        <f t="shared" si="336"/>
        <v/>
      </c>
      <c r="L115" s="39" t="str">
        <f t="shared" si="337"/>
        <v/>
      </c>
      <c r="M115" s="39" t="str">
        <f t="shared" si="338"/>
        <v/>
      </c>
      <c r="N115" s="74" t="str">
        <f t="shared" si="339"/>
        <v/>
      </c>
      <c r="P115" s="176"/>
      <c r="Q115" s="130" t="str">
        <f t="shared" si="340"/>
        <v/>
      </c>
      <c r="R115" s="39" t="str">
        <f t="shared" si="341"/>
        <v/>
      </c>
      <c r="S115" s="39" t="str">
        <f t="shared" si="342"/>
        <v/>
      </c>
      <c r="T115" s="74" t="str">
        <f t="shared" si="343"/>
        <v/>
      </c>
      <c r="V115" s="176"/>
      <c r="W115" s="130" t="str">
        <f t="shared" si="344"/>
        <v/>
      </c>
      <c r="X115" s="39" t="str">
        <f t="shared" si="345"/>
        <v/>
      </c>
      <c r="Y115" s="39" t="str">
        <f t="shared" si="346"/>
        <v/>
      </c>
      <c r="Z115" s="74" t="str">
        <f t="shared" si="347"/>
        <v/>
      </c>
      <c r="AB115" s="176"/>
      <c r="AC115" s="130" t="str">
        <f t="shared" si="348"/>
        <v/>
      </c>
      <c r="AD115" s="39" t="str">
        <f t="shared" si="349"/>
        <v/>
      </c>
      <c r="AE115" s="39" t="str">
        <f t="shared" si="350"/>
        <v/>
      </c>
      <c r="AF115" s="39" t="str">
        <f t="shared" si="351"/>
        <v/>
      </c>
      <c r="AG115" s="74" t="str">
        <f t="shared" si="352"/>
        <v/>
      </c>
      <c r="AI115" s="196"/>
      <c r="AJ11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5" s="136" t="str">
        <f>IF(AJ115&lt;&gt;"",IF(AJ115=0,COUNTIF(AJ$2:AJ114,0)+1,COUNTIF(AJ$2:AJ114,AJ115)+AJ115+COUNTIF(AJ:AJ,0)),"")</f>
        <v/>
      </c>
      <c r="AL115" s="136" t="str">
        <f t="shared" si="263"/>
        <v/>
      </c>
      <c r="AM115" s="155" t="str">
        <f>IF(AND(Include_study?="Yes",Sufficient_data="Yes",Input!Study_name&lt;&gt;""),Input!Study_name,"")</f>
        <v/>
      </c>
      <c r="AN115" s="136" t="str">
        <f t="shared" si="264"/>
        <v/>
      </c>
      <c r="AO115" s="19" t="str">
        <f t="shared" si="353"/>
        <v/>
      </c>
      <c r="AP115" s="158" t="str">
        <f t="shared" si="354"/>
        <v/>
      </c>
      <c r="AQ115" s="158" t="str">
        <f t="shared" si="355"/>
        <v/>
      </c>
      <c r="AR115" s="39" t="str">
        <f t="shared" si="356"/>
        <v/>
      </c>
      <c r="AS115" s="158" t="str">
        <f t="shared" si="357"/>
        <v/>
      </c>
      <c r="AT115" s="39" t="str">
        <f t="shared" si="358"/>
        <v/>
      </c>
      <c r="AU115" s="172" t="str">
        <f t="shared" si="359"/>
        <v/>
      </c>
      <c r="AV115" s="45"/>
      <c r="AW115" s="84" t="e">
        <f t="shared" si="360"/>
        <v>#N/A</v>
      </c>
      <c r="AX115" s="69" t="e">
        <f t="shared" si="361"/>
        <v>#N/A</v>
      </c>
      <c r="AY115" s="74" t="e">
        <f t="shared" si="362"/>
        <v>#N/A</v>
      </c>
      <c r="AZ115" s="45"/>
      <c r="BA115" s="45"/>
      <c r="BB115" s="45"/>
      <c r="BC115" s="45"/>
      <c r="BD115" s="196"/>
      <c r="BE115" s="182"/>
      <c r="BF115" s="69" t="str">
        <f t="shared" si="363"/>
        <v/>
      </c>
      <c r="BG115" s="69" t="str">
        <f t="shared" si="364"/>
        <v/>
      </c>
      <c r="BH115" s="69" t="str">
        <f t="shared" si="365"/>
        <v/>
      </c>
      <c r="BI115" s="39" t="str">
        <f t="shared" si="366"/>
        <v/>
      </c>
      <c r="BJ115" s="95" t="str">
        <f t="shared" si="367"/>
        <v/>
      </c>
      <c r="BO115" s="176"/>
      <c r="BP115" s="158" t="str">
        <f t="shared" si="368"/>
        <v/>
      </c>
      <c r="BQ115" s="158" t="str">
        <f t="shared" si="369"/>
        <v/>
      </c>
      <c r="BR115" s="158" t="str">
        <f t="shared" si="370"/>
        <v/>
      </c>
      <c r="BS115" s="158" t="str">
        <f>IF(AND(Sufficient_data="Yes",Include_study?="Yes"),IF(Add_0_5="Yes",(a_+d_+1)*(ab_+0.5)*(c_+0.5)/(Number_of_subjects+2)^2,(a_+d_)*b_*c_/Number_of_subjects^2),"")</f>
        <v/>
      </c>
      <c r="BT115" s="158" t="str">
        <f t="shared" si="371"/>
        <v/>
      </c>
      <c r="BU115" s="158" t="str">
        <f t="shared" si="372"/>
        <v/>
      </c>
      <c r="BV115" s="158" t="str">
        <f t="shared" si="373"/>
        <v/>
      </c>
      <c r="BW115" s="69" t="str">
        <f t="shared" si="374"/>
        <v/>
      </c>
      <c r="BX115" s="137" t="str">
        <f t="shared" si="375"/>
        <v/>
      </c>
      <c r="BY115" s="95" t="str">
        <f t="shared" si="376"/>
        <v/>
      </c>
      <c r="CD115" s="176"/>
      <c r="CE115" s="130" t="str">
        <f t="shared" si="377"/>
        <v/>
      </c>
      <c r="CF115" s="39" t="str">
        <f t="shared" si="378"/>
        <v/>
      </c>
      <c r="CG115" s="39" t="str">
        <f t="shared" si="379"/>
        <v/>
      </c>
      <c r="CH115" s="39" t="str">
        <f t="shared" si="380"/>
        <v/>
      </c>
      <c r="CI115" s="39" t="str">
        <f t="shared" si="381"/>
        <v/>
      </c>
      <c r="CJ115" s="39" t="str">
        <f t="shared" si="287"/>
        <v/>
      </c>
      <c r="CK115" s="95" t="str">
        <f t="shared" si="382"/>
        <v/>
      </c>
      <c r="CP115" s="176"/>
      <c r="CQ115" s="99" t="str">
        <f t="shared" si="383"/>
        <v/>
      </c>
      <c r="CX115" s="196"/>
      <c r="CY115" s="89" t="e">
        <f t="shared" si="384"/>
        <v>#N/A</v>
      </c>
      <c r="CZ115" s="136" t="str">
        <f t="shared" si="385"/>
        <v/>
      </c>
      <c r="DA115" s="140" t="str">
        <f t="shared" si="386"/>
        <v/>
      </c>
      <c r="DB115" s="39" t="str">
        <f t="shared" si="387"/>
        <v/>
      </c>
      <c r="DC115" s="39" t="str">
        <f t="shared" si="388"/>
        <v/>
      </c>
      <c r="DD115" s="39" t="str">
        <f t="shared" si="389"/>
        <v/>
      </c>
      <c r="DE115" s="39" t="str">
        <f t="shared" si="390"/>
        <v/>
      </c>
      <c r="DF115" s="141" t="str">
        <f t="shared" si="391"/>
        <v/>
      </c>
      <c r="DG115" s="39" t="str">
        <f t="shared" si="392"/>
        <v/>
      </c>
      <c r="DH115" s="39" t="str">
        <f t="shared" si="393"/>
        <v/>
      </c>
      <c r="DI115" s="39" t="str">
        <f t="shared" si="394"/>
        <v/>
      </c>
      <c r="DJ115" s="74" t="str">
        <f t="shared" si="395"/>
        <v/>
      </c>
      <c r="DK115" s="45"/>
      <c r="DL115" s="84" t="e">
        <f t="shared" si="222"/>
        <v>#N/A</v>
      </c>
      <c r="DM115" s="39" t="e">
        <f t="shared" si="396"/>
        <v>#N/A</v>
      </c>
      <c r="DN115" s="74" t="e">
        <f t="shared" si="397"/>
        <v>#N/A</v>
      </c>
      <c r="DO115" s="45"/>
      <c r="DP115" s="89" t="str">
        <f t="shared" si="326"/>
        <v/>
      </c>
      <c r="DQ115" s="26" t="str">
        <f>IF(AND(Sufficient_data="Yes",Subgroup&lt;&gt;""),IF(COUNTIFS(Input!J$2:J114,"="&amp;"Yes",Input!C$2:C114,"="&amp;"Yes",Input!K$2:K114,"="&amp;Subgroup)&gt;0,"",Subgroup),"")</f>
        <v/>
      </c>
      <c r="DR115" s="7" t="str">
        <f t="shared" si="327"/>
        <v/>
      </c>
      <c r="DS115" s="7" t="str">
        <f t="shared" si="398"/>
        <v/>
      </c>
      <c r="DT115" s="19" t="str">
        <f t="shared" si="399"/>
        <v/>
      </c>
      <c r="DU115" s="12" t="str">
        <f t="shared" si="223"/>
        <v/>
      </c>
      <c r="DV115" s="11" t="str">
        <f t="shared" si="224"/>
        <v/>
      </c>
      <c r="DW115" s="12" t="str">
        <f t="shared" si="225"/>
        <v/>
      </c>
      <c r="DX115" s="12" t="str">
        <f t="shared" si="400"/>
        <v/>
      </c>
      <c r="DY115" s="19" t="str">
        <f t="shared" si="226"/>
        <v/>
      </c>
      <c r="DZ115" s="12" t="str">
        <f t="shared" si="227"/>
        <v/>
      </c>
      <c r="EA115" s="19" t="str">
        <f t="shared" si="401"/>
        <v/>
      </c>
      <c r="EB115" s="7" t="str">
        <f t="shared" si="402"/>
        <v/>
      </c>
      <c r="EC115" s="19" t="str">
        <f t="shared" si="403"/>
        <v/>
      </c>
      <c r="ED115" s="19" t="str">
        <f t="shared" si="404"/>
        <v/>
      </c>
      <c r="EE115" s="19" t="str">
        <f t="shared" si="228"/>
        <v/>
      </c>
      <c r="EF115" s="19" t="str">
        <f t="shared" si="229"/>
        <v/>
      </c>
      <c r="EG115" s="19" t="str">
        <f t="shared" si="230"/>
        <v/>
      </c>
      <c r="EH115" s="19" t="str">
        <f t="shared" si="231"/>
        <v/>
      </c>
      <c r="EI115" s="19" t="str">
        <f t="shared" si="232"/>
        <v/>
      </c>
      <c r="EJ115" s="19" t="str">
        <f t="shared" si="405"/>
        <v/>
      </c>
      <c r="EK115" s="19" t="str">
        <f t="shared" si="406"/>
        <v/>
      </c>
      <c r="EL115" s="19" t="str">
        <f t="shared" si="233"/>
        <v/>
      </c>
      <c r="EM115" s="19" t="str">
        <f t="shared" si="234"/>
        <v/>
      </c>
      <c r="EN115" s="19" t="str">
        <f t="shared" si="235"/>
        <v/>
      </c>
      <c r="EO115" s="19" t="str">
        <f t="shared" si="236"/>
        <v/>
      </c>
      <c r="EP115" s="19" t="str">
        <f t="shared" si="237"/>
        <v/>
      </c>
      <c r="EQ115" s="19" t="e">
        <f t="shared" si="238"/>
        <v>#N/A</v>
      </c>
      <c r="ER115" s="11" t="str">
        <f t="shared" si="328"/>
        <v/>
      </c>
      <c r="ES115" s="19" t="str">
        <f t="shared" si="329"/>
        <v/>
      </c>
      <c r="ET115" s="156" t="str">
        <f t="shared" si="407"/>
        <v/>
      </c>
      <c r="EU115" s="39" t="str">
        <f t="shared" si="239"/>
        <v/>
      </c>
      <c r="EV115" s="74" t="str">
        <f t="shared" si="408"/>
        <v/>
      </c>
      <c r="FA115" s="196"/>
      <c r="FB115" s="84" t="e">
        <f>IF(AND(Include_study?="Yes",Sufficient_data="Yes",Moderator&lt;&gt;""),'Moderator Analysis'!E115,NA())</f>
        <v>#N/A</v>
      </c>
      <c r="FC115" s="39" t="e">
        <f>IF(AND(Include_study?="Yes",Sufficient_data="Yes",Moderator&lt;&gt;""),'Moderator Analysis'!F115,NA())</f>
        <v>#N/A</v>
      </c>
      <c r="FD115" s="39" t="str">
        <f t="shared" si="409"/>
        <v/>
      </c>
      <c r="FE115" s="39" t="str">
        <f t="shared" si="410"/>
        <v/>
      </c>
      <c r="FF115" s="39" t="str">
        <f>IF(AND(Include_study?="Yes",Sufficient_data="Yes",Moderator&lt;&gt;""),'Moderator Analysis'!F:F-FP$2,"")</f>
        <v/>
      </c>
      <c r="FG115" s="39" t="str">
        <f>IF(AND(Include_study?="Yes",Sufficient_data="Yes",Moderator&lt;&gt;""),'Moderator Analysis'!E:E-FP$3,"")</f>
        <v/>
      </c>
      <c r="FH115" s="74" t="str">
        <f>IF(AND(Include_study?="Yes",Sufficient_data="Yes",Moderator&lt;&gt;""),FE:FE*('Moderator Analysis'!F:F-FP$5-FP$4*'Moderator Analysis'!E:E)^2,"")</f>
        <v/>
      </c>
      <c r="FI115" s="128"/>
      <c r="FJ115" s="92" t="str">
        <f t="shared" si="411"/>
        <v/>
      </c>
      <c r="FK115" s="137" t="str">
        <f>IF(AND(Include_study?="Yes",Sufficient_data="Yes",Moderator&lt;&gt;""),'Moderator Analysis'!F:F-'Moderator Analysis'!J$37,"")</f>
        <v/>
      </c>
      <c r="FL115" s="137" t="str">
        <f>IF(AND(Include_study?="Yes",Sufficient_data="Yes",Moderator&lt;&gt;""),'Moderator Analysis'!E:E-SUMPRODUCT('Moderator Analysis'!E:E,FJ:FJ)/SUM(FJ:FJ),"")</f>
        <v/>
      </c>
      <c r="FM115" s="95" t="str">
        <f>IF(AND(Include_study?="Yes",Sufficient_data="Yes",Moderator&lt;&gt;""),FJ:FJ*('Moderator Analysis'!F:F-'Moderator Analysis'!J$29-'Moderator Analysis'!J$30*'Moderator Analysis'!E:E)^2,"")</f>
        <v/>
      </c>
      <c r="FR115" s="196"/>
      <c r="FS115" s="182"/>
      <c r="FT11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5" s="39" t="str">
        <f>IF(AND(Include_study?="Yes",Sufficient_data="Yes"),1/('Publication Bias Analysis'!F:F^2+IF(Additional_model="Fixed effect",0,Calculations!GH$12)),"")</f>
        <v/>
      </c>
      <c r="FV115" s="39" t="str">
        <f>IF(AND(Include_study?="Yes",Sufficient_data="Yes"),1/('Publication Bias Analysis'!F:F^2+IF(Additional_model="Fixed effect",0,'Publication Bias Analysis'!L$32)),"")</f>
        <v/>
      </c>
      <c r="FW115" s="39" t="str">
        <f>IF(AND(Include_study?="Yes",Sufficient_data="Yes"),'Publication Bias Analysis'!E:E-'Publication Bias Analysis'!I$37,"")</f>
        <v/>
      </c>
      <c r="FX115" s="39" t="str">
        <f>IF(AND(Include_study?="Yes",Sufficient_data="Yes"),IF(Additional_model="Fixed effect",1/'Publication Bias Analysis'!F:F,1/SQRT('Publication Bias Analysis'!F:F^2+GH$12)),"")</f>
        <v/>
      </c>
      <c r="FY11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5" s="136" t="str">
        <f t="shared" si="412"/>
        <v/>
      </c>
      <c r="GA115" s="144" t="str">
        <f>IF(AND(Include_study?="Yes",Sufficient_data="Yes"),FZ:FZ+IF(GL:GL&lt;0,-1,1)*COUNTIF(FZ$2:FZ114,FZ:FZ),"")</f>
        <v/>
      </c>
      <c r="GB115" s="144" t="str">
        <f>IF(AND(Include_study?="Yes",Sufficient_data="Yes"),RANK(GP:GP,GP:GP,1)*IF(GO:GO&lt;0,-1,1)+IF(GO:GO&lt;0,-1,1)*COUNTIF(FZ$2:FZ114,FZ:FZ),"")</f>
        <v/>
      </c>
      <c r="GC115" s="144" t="str">
        <f>IF(AND(Include_study?="Yes",Sufficient_data="Yes"),RANK(GS:GS,GS:GS,1)*IF(GR:GR&lt;0,-1,1)+IF(GR:GR&lt;0,-1,1)*COUNTIF(FZ$2:FZ114,FZ:FZ),"")</f>
        <v/>
      </c>
      <c r="GD115" s="39" t="e">
        <f>IF(AND(Include_study?="Yes",Sufficient_data="Yes"),'Publication Bias Analysis'!E115,NA())</f>
        <v>#N/A</v>
      </c>
      <c r="GE115" s="74" t="e">
        <f>IF(AND(Include_study?="Yes",Sufficient_data="Yes"),'Publication Bias Analysis'!F115,NA())</f>
        <v>#N/A</v>
      </c>
      <c r="GK115" s="176"/>
      <c r="GL11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5" s="39" t="str">
        <f t="shared" si="413"/>
        <v/>
      </c>
      <c r="GN11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5" s="39" t="str">
        <f>IF(AND(Include_study?="Yes",Sufficient_data="Yes"),IF('Publication Bias Analysis'!L$38="Left",'Publication Bias Analysis'!E:E-GW$3,GW$3-'Publication Bias Analysis'!E:E),"")</f>
        <v/>
      </c>
      <c r="GP115" s="39" t="str">
        <f t="shared" si="421"/>
        <v/>
      </c>
      <c r="GQ11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5" s="39" t="str">
        <f>IF(AND(Include_study?="Yes",Sufficient_data="Yes"),IF('Publication Bias Analysis'!L$38="Left",'Publication Bias Analysis'!E:E-GW$10,GW$10-'Publication Bias Analysis'!E:E),"")</f>
        <v/>
      </c>
      <c r="GS115" s="39" t="str">
        <f t="shared" si="422"/>
        <v/>
      </c>
      <c r="GT11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5" s="176"/>
      <c r="HL115" s="69" t="str">
        <f t="shared" si="319"/>
        <v/>
      </c>
      <c r="HM115" s="74" t="str">
        <f>IF(AND(Include_study?="Yes",Sufficient_data="Yes"),Z_score-('Publication Bias Analysis'!P$3+'Publication Bias Analysis'!P$4*Inverse_standard_error),"")</f>
        <v/>
      </c>
      <c r="HO115" s="176"/>
      <c r="HP115" s="69" t="str">
        <f>IF(AND(Include_study?="Yes",Sufficient_data="Yes"),(GD:GD-SUMPRODUCT(Calculations!FT:FT,'Publication Bias Analysis'!E:E)/SUM(Calculations!FT:FT))/SQRT(Calculations!HQ:HQ),"")</f>
        <v/>
      </c>
      <c r="HQ115" s="69" t="str">
        <f>IF(AND(Include_study?="Yes",Sufficient_data="Yes"),GE:GE^2-1/SUM(Calculations!FT:FT),"")</f>
        <v/>
      </c>
      <c r="HR115" s="7" t="str">
        <f t="shared" si="240"/>
        <v/>
      </c>
      <c r="HS115" s="7" t="str">
        <f t="shared" si="241"/>
        <v/>
      </c>
      <c r="HT115" s="7" t="str">
        <f>IF(AND(Include_study?="Yes",Sufficient_data="Yes"),COUNTIFS(HR$2:HR114,"&lt;"&amp;HR115,HS$2:HS114,"&lt;"&amp;HS115)+COUNTIFS(HR116:HR$201,"&lt;"&amp;HR115,HS116:HS$201,"&lt;"&amp;HS115)+COUNTIFS(HR$2:HR114,"&gt;"&amp;HR115,HS$2:HS114,"&gt;"&amp;HS115)+COUNTIFS(HR116:HR$201,"&gt;"&amp;HR115,HS116:HS$201,"&gt;"&amp;HS115),"")</f>
        <v/>
      </c>
      <c r="HU115" s="104" t="str">
        <f>IF(AND(Include_study?="Yes",Sufficient_data="Yes"),COUNTIFS(HR$2:HR114,"&lt;"&amp;HR115,HS$2:HS114,"&gt;"&amp;HS115)+COUNTIFS(HR116:HR$201,"&lt;"&amp;HR115,HS116:HS$201,"&gt;"&amp;HS115)+COUNTIFS(HR$2:HR114,"&gt;"&amp;HR115,HS$2:HS114,"&lt;"&amp;HS115)+COUNTIFS(HR116:HR$201,"&gt;"&amp;HR115,HS116:HS$201,"&lt;"&amp;HS115),"")</f>
        <v/>
      </c>
      <c r="HW115" s="176"/>
      <c r="IB115" s="176"/>
      <c r="IC115" s="146" t="e">
        <f t="shared" si="414"/>
        <v>#N/A</v>
      </c>
      <c r="ID115" s="137" t="e">
        <f t="shared" si="415"/>
        <v>#N/A</v>
      </c>
      <c r="IE115" s="137" t="str">
        <f t="shared" si="416"/>
        <v/>
      </c>
      <c r="IF115" s="95" t="str">
        <f t="shared" si="417"/>
        <v/>
      </c>
      <c r="IK115" s="176"/>
      <c r="IL115" s="69" t="e">
        <f>IF(AND(Include_study?="Yes",Sufficient_data="Yes"),'Publication Bias Analysis'!AV:AV,NA())</f>
        <v>#N/A</v>
      </c>
      <c r="IM115" s="158" t="e">
        <f>IF(AND(Sufficient_data="Yes",Include_study?="Yes"),'Publication Bias Analysis'!AU:AU,NA())</f>
        <v>#N/A</v>
      </c>
      <c r="IN115" s="69" t="str">
        <f t="shared" si="418"/>
        <v/>
      </c>
      <c r="IO115" s="74" t="str">
        <f>IF(AND(Include_study?="Yes",Sufficient_data="Yes"),Z_score-('Publication Bias Analysis'!AY$30+'Publication Bias Analysis'!AY$31*Inverse_standard_error),"")</f>
        <v/>
      </c>
      <c r="IU115" s="176"/>
      <c r="IV115" s="7" t="str">
        <f>IF('Publication Bias Analysis'!BG:BG&lt;&gt;"",RANK('Publication Bias Analysis'!BG:BG,'Publication Bias Analysis'!BG:BG,1)+COUNTIF('Publication Bias Analysis'!BG$2:BG114,'Publication Bias Analysis'!BG115),"")</f>
        <v/>
      </c>
      <c r="IW115" s="124" t="str">
        <f t="shared" si="419"/>
        <v/>
      </c>
      <c r="IX115" s="125" t="e">
        <f>IF('Publication Bias Analysis'!BF115&lt;&gt;"",'Publication Bias Analysis'!BF115,NA())</f>
        <v>#N/A</v>
      </c>
      <c r="IY115" s="125" t="e">
        <f>IF('Publication Bias Analysis'!BG115&lt;&gt;"",'Publication Bias Analysis'!BG115,NA())</f>
        <v>#N/A</v>
      </c>
      <c r="IZ115" s="69" t="str">
        <f>IF(AND(Include_study?="Yes",Sufficient_data="Yes"),'Publication Bias Analysis'!BF:BF-AVERAGE('Publication Bias Analysis'!BF:BF),"")</f>
        <v/>
      </c>
      <c r="JA115" s="74" t="str">
        <f>IF(AND(Include_study?="Yes",Sufficient_data="Yes"),'Publication Bias Analysis'!BG:BG-('Publication Bias Analysis'!BJ$30+'Publication Bias Analysis'!BJ$31*'Publication Bias Analysis'!BF:BF),"")</f>
        <v/>
      </c>
      <c r="JG115" s="176"/>
      <c r="JH115" s="39" t="str">
        <f t="shared" si="420"/>
        <v/>
      </c>
      <c r="JI115" s="148" t="str">
        <f t="shared" si="332"/>
        <v/>
      </c>
      <c r="JJ115" s="74" t="str">
        <f t="shared" si="333"/>
        <v/>
      </c>
    </row>
    <row r="116" spans="1:270" x14ac:dyDescent="0.2">
      <c r="A116" s="56" t="str">
        <f t="shared" si="334"/>
        <v/>
      </c>
      <c r="B116" s="7" t="str">
        <f>IF(AND(Include_study?="Yes",Sufficient_data="Yes"),IF(Input!a_&lt;&gt;"",Input!a_,Input!n1_-Input!b_),"")</f>
        <v/>
      </c>
      <c r="C116" s="7" t="str">
        <f>IF(AND(Include_study?="Yes",Sufficient_data="Yes"),IF(Input!b_&lt;&gt;"",Input!b_,Input!n1_-Input!a_),"")</f>
        <v/>
      </c>
      <c r="D116" s="7" t="str">
        <f>IF(AND(Include_study?="Yes",Sufficient_data="Yes"),IF(Input!c_&lt;&gt;"",Input!c_,Input!n2_-Input!d_),"")</f>
        <v/>
      </c>
      <c r="E116" s="7" t="str">
        <f>IF(AND(Include_study?="Yes",Sufficient_data="Yes"),IF(Input!d_&lt;&gt;"",Input!d_,Input!n2_-Input!c_),"")</f>
        <v/>
      </c>
      <c r="F116" s="74" t="str">
        <f t="shared" si="335"/>
        <v/>
      </c>
      <c r="H116" s="196"/>
      <c r="I116" s="182"/>
      <c r="J116" s="146" t="str">
        <f t="shared" si="245"/>
        <v/>
      </c>
      <c r="K116" s="39" t="str">
        <f t="shared" si="336"/>
        <v/>
      </c>
      <c r="L116" s="39" t="str">
        <f t="shared" si="337"/>
        <v/>
      </c>
      <c r="M116" s="39" t="str">
        <f t="shared" si="338"/>
        <v/>
      </c>
      <c r="N116" s="74" t="str">
        <f t="shared" si="339"/>
        <v/>
      </c>
      <c r="P116" s="176"/>
      <c r="Q116" s="130" t="str">
        <f t="shared" si="340"/>
        <v/>
      </c>
      <c r="R116" s="39" t="str">
        <f t="shared" si="341"/>
        <v/>
      </c>
      <c r="S116" s="39" t="str">
        <f t="shared" si="342"/>
        <v/>
      </c>
      <c r="T116" s="74" t="str">
        <f t="shared" si="343"/>
        <v/>
      </c>
      <c r="V116" s="176"/>
      <c r="W116" s="130" t="str">
        <f t="shared" si="344"/>
        <v/>
      </c>
      <c r="X116" s="39" t="str">
        <f t="shared" si="345"/>
        <v/>
      </c>
      <c r="Y116" s="39" t="str">
        <f t="shared" si="346"/>
        <v/>
      </c>
      <c r="Z116" s="74" t="str">
        <f t="shared" si="347"/>
        <v/>
      </c>
      <c r="AB116" s="176"/>
      <c r="AC116" s="130" t="str">
        <f t="shared" si="348"/>
        <v/>
      </c>
      <c r="AD116" s="39" t="str">
        <f t="shared" si="349"/>
        <v/>
      </c>
      <c r="AE116" s="39" t="str">
        <f t="shared" si="350"/>
        <v/>
      </c>
      <c r="AF116" s="39" t="str">
        <f t="shared" si="351"/>
        <v/>
      </c>
      <c r="AG116" s="74" t="str">
        <f t="shared" si="352"/>
        <v/>
      </c>
      <c r="AI116" s="196"/>
      <c r="AJ11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6" s="136" t="str">
        <f>IF(AJ116&lt;&gt;"",IF(AJ116=0,COUNTIF(AJ$2:AJ115,0)+1,COUNTIF(AJ$2:AJ115,AJ116)+AJ116+COUNTIF(AJ:AJ,0)),"")</f>
        <v/>
      </c>
      <c r="AL116" s="136" t="str">
        <f t="shared" si="263"/>
        <v/>
      </c>
      <c r="AM116" s="155" t="str">
        <f>IF(AND(Include_study?="Yes",Sufficient_data="Yes",Input!Study_name&lt;&gt;""),Input!Study_name,"")</f>
        <v/>
      </c>
      <c r="AN116" s="136" t="str">
        <f t="shared" si="264"/>
        <v/>
      </c>
      <c r="AO116" s="19" t="str">
        <f t="shared" si="353"/>
        <v/>
      </c>
      <c r="AP116" s="158" t="str">
        <f t="shared" si="354"/>
        <v/>
      </c>
      <c r="AQ116" s="158" t="str">
        <f t="shared" si="355"/>
        <v/>
      </c>
      <c r="AR116" s="39" t="str">
        <f t="shared" si="356"/>
        <v/>
      </c>
      <c r="AS116" s="158" t="str">
        <f t="shared" si="357"/>
        <v/>
      </c>
      <c r="AT116" s="39" t="str">
        <f t="shared" si="358"/>
        <v/>
      </c>
      <c r="AU116" s="172" t="str">
        <f t="shared" si="359"/>
        <v/>
      </c>
      <c r="AV116" s="45"/>
      <c r="AW116" s="84" t="e">
        <f t="shared" si="360"/>
        <v>#N/A</v>
      </c>
      <c r="AX116" s="69" t="e">
        <f t="shared" si="361"/>
        <v>#N/A</v>
      </c>
      <c r="AY116" s="74" t="e">
        <f t="shared" si="362"/>
        <v>#N/A</v>
      </c>
      <c r="AZ116" s="45"/>
      <c r="BA116" s="45"/>
      <c r="BB116" s="45"/>
      <c r="BC116" s="45"/>
      <c r="BD116" s="196"/>
      <c r="BE116" s="182"/>
      <c r="BF116" s="69" t="str">
        <f t="shared" si="363"/>
        <v/>
      </c>
      <c r="BG116" s="69" t="str">
        <f t="shared" si="364"/>
        <v/>
      </c>
      <c r="BH116" s="69" t="str">
        <f t="shared" si="365"/>
        <v/>
      </c>
      <c r="BI116" s="39" t="str">
        <f t="shared" si="366"/>
        <v/>
      </c>
      <c r="BJ116" s="95" t="str">
        <f t="shared" si="367"/>
        <v/>
      </c>
      <c r="BO116" s="176"/>
      <c r="BP116" s="158" t="str">
        <f t="shared" si="368"/>
        <v/>
      </c>
      <c r="BQ116" s="158" t="str">
        <f t="shared" si="369"/>
        <v/>
      </c>
      <c r="BR116" s="158" t="str">
        <f t="shared" si="370"/>
        <v/>
      </c>
      <c r="BS116" s="158" t="str">
        <f>IF(AND(Sufficient_data="Yes",Include_study?="Yes"),IF(Add_0_5="Yes",(a_+d_+1)*(ab_+0.5)*(c_+0.5)/(Number_of_subjects+2)^2,(a_+d_)*b_*c_/Number_of_subjects^2),"")</f>
        <v/>
      </c>
      <c r="BT116" s="158" t="str">
        <f t="shared" si="371"/>
        <v/>
      </c>
      <c r="BU116" s="158" t="str">
        <f t="shared" si="372"/>
        <v/>
      </c>
      <c r="BV116" s="158" t="str">
        <f t="shared" si="373"/>
        <v/>
      </c>
      <c r="BW116" s="69" t="str">
        <f t="shared" si="374"/>
        <v/>
      </c>
      <c r="BX116" s="137" t="str">
        <f t="shared" si="375"/>
        <v/>
      </c>
      <c r="BY116" s="95" t="str">
        <f t="shared" si="376"/>
        <v/>
      </c>
      <c r="CD116" s="176"/>
      <c r="CE116" s="130" t="str">
        <f t="shared" si="377"/>
        <v/>
      </c>
      <c r="CF116" s="39" t="str">
        <f t="shared" si="378"/>
        <v/>
      </c>
      <c r="CG116" s="39" t="str">
        <f t="shared" si="379"/>
        <v/>
      </c>
      <c r="CH116" s="39" t="str">
        <f t="shared" si="380"/>
        <v/>
      </c>
      <c r="CI116" s="39" t="str">
        <f t="shared" si="381"/>
        <v/>
      </c>
      <c r="CJ116" s="39" t="str">
        <f t="shared" si="287"/>
        <v/>
      </c>
      <c r="CK116" s="95" t="str">
        <f t="shared" si="382"/>
        <v/>
      </c>
      <c r="CP116" s="176"/>
      <c r="CQ116" s="99" t="str">
        <f t="shared" si="383"/>
        <v/>
      </c>
      <c r="CX116" s="196"/>
      <c r="CY116" s="89" t="e">
        <f t="shared" si="384"/>
        <v>#N/A</v>
      </c>
      <c r="CZ116" s="136" t="str">
        <f t="shared" si="385"/>
        <v/>
      </c>
      <c r="DA116" s="140" t="str">
        <f t="shared" si="386"/>
        <v/>
      </c>
      <c r="DB116" s="39" t="str">
        <f t="shared" si="387"/>
        <v/>
      </c>
      <c r="DC116" s="39" t="str">
        <f t="shared" si="388"/>
        <v/>
      </c>
      <c r="DD116" s="39" t="str">
        <f t="shared" si="389"/>
        <v/>
      </c>
      <c r="DE116" s="39" t="str">
        <f t="shared" si="390"/>
        <v/>
      </c>
      <c r="DF116" s="141" t="str">
        <f t="shared" si="391"/>
        <v/>
      </c>
      <c r="DG116" s="39" t="str">
        <f t="shared" si="392"/>
        <v/>
      </c>
      <c r="DH116" s="39" t="str">
        <f t="shared" si="393"/>
        <v/>
      </c>
      <c r="DI116" s="39" t="str">
        <f t="shared" si="394"/>
        <v/>
      </c>
      <c r="DJ116" s="74" t="str">
        <f t="shared" si="395"/>
        <v/>
      </c>
      <c r="DK116" s="45"/>
      <c r="DL116" s="84" t="e">
        <f t="shared" ref="DL116:DL179" si="423">IF(Subgroup_effect_size&lt;&gt;"",IF(Subgroup_effect_size_measure="Risk Difference",Subgroup_effect_size,DG:DG),NA())</f>
        <v>#N/A</v>
      </c>
      <c r="DM116" s="39" t="e">
        <f t="shared" si="396"/>
        <v>#N/A</v>
      </c>
      <c r="DN116" s="74" t="e">
        <f t="shared" si="397"/>
        <v>#N/A</v>
      </c>
      <c r="DO116" s="45"/>
      <c r="DP116" s="89" t="str">
        <f t="shared" si="326"/>
        <v/>
      </c>
      <c r="DQ116" s="26" t="str">
        <f>IF(AND(Sufficient_data="Yes",Subgroup&lt;&gt;""),IF(COUNTIFS(Input!J$2:J115,"="&amp;"Yes",Input!C$2:C115,"="&amp;"Yes",Input!K$2:K115,"="&amp;Subgroup)&gt;0,"",Subgroup),"")</f>
        <v/>
      </c>
      <c r="DR116" s="7" t="str">
        <f t="shared" si="327"/>
        <v/>
      </c>
      <c r="DS116" s="7" t="str">
        <f t="shared" si="398"/>
        <v/>
      </c>
      <c r="DT116" s="19" t="str">
        <f t="shared" si="399"/>
        <v/>
      </c>
      <c r="DU116" s="12" t="str">
        <f t="shared" ref="DU116:DU179" si="424">IF(DT116&lt;&gt;"",CHIDIST(DT116,DS116-1),"")</f>
        <v/>
      </c>
      <c r="DV116" s="11" t="str">
        <f t="shared" ref="DV116:DV179" si="425">IF(DT116&lt;&gt;"",IF((DT116-(DS116-1))&lt;=0,0,(DT116-(DS116-1))/DT116),"")</f>
        <v/>
      </c>
      <c r="DW116" s="12" t="str">
        <f t="shared" ref="DW116:DW179" si="426">IF(DT116&lt;&gt;"",SUMIF(Subgroup,DQ116,Subgroup_weightf)-SUMPRODUCT(--(Subgroup=DQ116),Subgroup_weightf,Subgroup_weightf)/SUMIF(Subgroup,DQ116,Subgroup_weightf),"")</f>
        <v/>
      </c>
      <c r="DX116" s="12" t="str">
        <f t="shared" si="400"/>
        <v/>
      </c>
      <c r="DY116" s="19" t="str">
        <f t="shared" ref="DY116:DY179" si="427">IF(DX116&lt;&gt;"",SQRT(DX116),"")</f>
        <v/>
      </c>
      <c r="DZ116" s="12" t="str">
        <f t="shared" ref="DZ116:DZ179" si="428">IF(DT116&lt;&gt;"",SUMPRODUCT(--(Subgroup=DQ116),DE:DE,Subgroup_effect_size)/SUMIF(Subgroup,DQ116,DE:DE),"")</f>
        <v/>
      </c>
      <c r="EA116" s="19" t="str">
        <f t="shared" si="401"/>
        <v/>
      </c>
      <c r="EB116" s="7" t="str">
        <f t="shared" si="402"/>
        <v/>
      </c>
      <c r="EC116" s="19" t="str">
        <f t="shared" si="403"/>
        <v/>
      </c>
      <c r="ED116" s="19" t="str">
        <f t="shared" si="404"/>
        <v/>
      </c>
      <c r="EE116" s="19" t="str">
        <f t="shared" ref="EE116:EE179" si="429">IF(AND(EE$1&lt;&gt;"",DT116&lt;&gt;""),EXP(DZ116),"")</f>
        <v/>
      </c>
      <c r="EF116" s="19" t="str">
        <f t="shared" ref="EF116:EF179" si="430">IF(AND(EF$1&lt;&gt;"",DT116&lt;&gt;""),EXP(EC116),"")</f>
        <v/>
      </c>
      <c r="EG116" s="19" t="str">
        <f t="shared" ref="EG116:EG179" si="431">IF(AND(EG$1&lt;&gt;"",DT116&lt;&gt;""),EXP(ED116),"")</f>
        <v/>
      </c>
      <c r="EH116" s="19" t="str">
        <f t="shared" ref="EH116:EH179" si="432">IF(AND(EE$1&lt;&gt;"",DT116&lt;&gt;""),EE116-EF116,IF(DT116&lt;&gt;"",DZ116-EC116,""))</f>
        <v/>
      </c>
      <c r="EI116" s="19" t="str">
        <f t="shared" ref="EI116:EI179" si="433">IF(AND(EE$1&lt;&gt;"",DT116&lt;&gt;""),EG116-EE116,IF(DT116&lt;&gt;"",ED116-DZ116,""))</f>
        <v/>
      </c>
      <c r="EJ116" s="19" t="str">
        <f t="shared" si="405"/>
        <v/>
      </c>
      <c r="EK116" s="19" t="str">
        <f t="shared" si="406"/>
        <v/>
      </c>
      <c r="EL116" s="19" t="str">
        <f t="shared" ref="EL116:EL179" si="434">IF(AND(EL$1&lt;&gt;"",DT116&lt;&gt;""),EXP(EJ116),"")</f>
        <v/>
      </c>
      <c r="EM116" s="19" t="str">
        <f t="shared" ref="EM116:EM179" si="435">IF(AND(EM$1&lt;&gt;"",DT116&lt;&gt;""),EXP(EK116),"")</f>
        <v/>
      </c>
      <c r="EN116" s="19" t="str">
        <f t="shared" ref="EN116:EN179" si="436">IF(AND(EE$1&lt;&gt;"",DT116&lt;&gt;""),EE116-EL116,IF(DT116&lt;&gt;"",DZ116-EJ116,""))</f>
        <v/>
      </c>
      <c r="EO116" s="19" t="str">
        <f t="shared" ref="EO116:EO179" si="437">IF(AND(EE$1&lt;&gt;"",DT116&lt;&gt;""),EM116-EE116,IF(DT116&lt;&gt;"",EK116-DZ116,""))</f>
        <v/>
      </c>
      <c r="EP116" s="19" t="str">
        <f t="shared" ref="EP116:EP179" si="438">IF(DT116&lt;&gt;"",SUMPRODUCT(--(Subgroup=DQ116),DE:DE,Subgroup_effect_size,Subgroup_effect_size)-(SUMPRODUCT(--(Subgroup=DQ116),DE:DE,Subgroup_effect_size)^2/SUMIF(Subgroup,DQ116,DE:DE)),"")</f>
        <v/>
      </c>
      <c r="EQ116" s="19" t="e">
        <f t="shared" ref="EQ116:EQ179" si="439">IF(DT116&lt;&gt;"",IF(EE116&lt;&gt;"",EE116,DZ116),NA())</f>
        <v>#N/A</v>
      </c>
      <c r="ER116" s="11" t="str">
        <f t="shared" si="328"/>
        <v/>
      </c>
      <c r="ES116" s="19" t="str">
        <f t="shared" si="329"/>
        <v/>
      </c>
      <c r="ET116" s="156" t="str">
        <f t="shared" si="407"/>
        <v/>
      </c>
      <c r="EU116" s="39" t="str">
        <f t="shared" ref="EU116:EU179" si="440">IF(ES116&lt;&gt;"",IF(Subgroup_effect_size_measure="Risk Difference",(EY$9-DZ116)^2*ET116,(EY$2-DZ116)^2*ET116),"")</f>
        <v/>
      </c>
      <c r="EV116" s="74" t="str">
        <f t="shared" si="408"/>
        <v/>
      </c>
      <c r="FA116" s="196"/>
      <c r="FB116" s="84" t="e">
        <f>IF(AND(Include_study?="Yes",Sufficient_data="Yes",Moderator&lt;&gt;""),'Moderator Analysis'!E116,NA())</f>
        <v>#N/A</v>
      </c>
      <c r="FC116" s="39" t="e">
        <f>IF(AND(Include_study?="Yes",Sufficient_data="Yes",Moderator&lt;&gt;""),'Moderator Analysis'!F116,NA())</f>
        <v>#N/A</v>
      </c>
      <c r="FD116" s="39" t="str">
        <f t="shared" si="409"/>
        <v/>
      </c>
      <c r="FE116" s="39" t="str">
        <f t="shared" si="410"/>
        <v/>
      </c>
      <c r="FF116" s="39" t="str">
        <f>IF(AND(Include_study?="Yes",Sufficient_data="Yes",Moderator&lt;&gt;""),'Moderator Analysis'!F:F-FP$2,"")</f>
        <v/>
      </c>
      <c r="FG116" s="39" t="str">
        <f>IF(AND(Include_study?="Yes",Sufficient_data="Yes",Moderator&lt;&gt;""),'Moderator Analysis'!E:E-FP$3,"")</f>
        <v/>
      </c>
      <c r="FH116" s="74" t="str">
        <f>IF(AND(Include_study?="Yes",Sufficient_data="Yes",Moderator&lt;&gt;""),FE:FE*('Moderator Analysis'!F:F-FP$5-FP$4*'Moderator Analysis'!E:E)^2,"")</f>
        <v/>
      </c>
      <c r="FI116" s="128"/>
      <c r="FJ116" s="92" t="str">
        <f t="shared" si="411"/>
        <v/>
      </c>
      <c r="FK116" s="137" t="str">
        <f>IF(AND(Include_study?="Yes",Sufficient_data="Yes",Moderator&lt;&gt;""),'Moderator Analysis'!F:F-'Moderator Analysis'!J$37,"")</f>
        <v/>
      </c>
      <c r="FL116" s="137" t="str">
        <f>IF(AND(Include_study?="Yes",Sufficient_data="Yes",Moderator&lt;&gt;""),'Moderator Analysis'!E:E-SUMPRODUCT('Moderator Analysis'!E:E,FJ:FJ)/SUM(FJ:FJ),"")</f>
        <v/>
      </c>
      <c r="FM116" s="95" t="str">
        <f>IF(AND(Include_study?="Yes",Sufficient_data="Yes",Moderator&lt;&gt;""),FJ:FJ*('Moderator Analysis'!F:F-'Moderator Analysis'!J$29-'Moderator Analysis'!J$30*'Moderator Analysis'!E:E)^2,"")</f>
        <v/>
      </c>
      <c r="FR116" s="196"/>
      <c r="FS116" s="182"/>
      <c r="FT11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6" s="39" t="str">
        <f>IF(AND(Include_study?="Yes",Sufficient_data="Yes"),1/('Publication Bias Analysis'!F:F^2+IF(Additional_model="Fixed effect",0,Calculations!GH$12)),"")</f>
        <v/>
      </c>
      <c r="FV116" s="39" t="str">
        <f>IF(AND(Include_study?="Yes",Sufficient_data="Yes"),1/('Publication Bias Analysis'!F:F^2+IF(Additional_model="Fixed effect",0,'Publication Bias Analysis'!L$32)),"")</f>
        <v/>
      </c>
      <c r="FW116" s="39" t="str">
        <f>IF(AND(Include_study?="Yes",Sufficient_data="Yes"),'Publication Bias Analysis'!E:E-'Publication Bias Analysis'!I$37,"")</f>
        <v/>
      </c>
      <c r="FX116" s="39" t="str">
        <f>IF(AND(Include_study?="Yes",Sufficient_data="Yes"),IF(Additional_model="Fixed effect",1/'Publication Bias Analysis'!F:F,1/SQRT('Publication Bias Analysis'!F:F^2+GH$12)),"")</f>
        <v/>
      </c>
      <c r="FY11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6" s="136" t="str">
        <f t="shared" si="412"/>
        <v/>
      </c>
      <c r="GA116" s="144" t="str">
        <f>IF(AND(Include_study?="Yes",Sufficient_data="Yes"),FZ:FZ+IF(GL:GL&lt;0,-1,1)*COUNTIF(FZ$2:FZ115,FZ:FZ),"")</f>
        <v/>
      </c>
      <c r="GB116" s="144" t="str">
        <f>IF(AND(Include_study?="Yes",Sufficient_data="Yes"),RANK(GP:GP,GP:GP,1)*IF(GO:GO&lt;0,-1,1)+IF(GO:GO&lt;0,-1,1)*COUNTIF(FZ$2:FZ115,FZ:FZ),"")</f>
        <v/>
      </c>
      <c r="GC116" s="144" t="str">
        <f>IF(AND(Include_study?="Yes",Sufficient_data="Yes"),RANK(GS:GS,GS:GS,1)*IF(GR:GR&lt;0,-1,1)+IF(GR:GR&lt;0,-1,1)*COUNTIF(FZ$2:FZ115,FZ:FZ),"")</f>
        <v/>
      </c>
      <c r="GD116" s="39" t="e">
        <f>IF(AND(Include_study?="Yes",Sufficient_data="Yes"),'Publication Bias Analysis'!E116,NA())</f>
        <v>#N/A</v>
      </c>
      <c r="GE116" s="74" t="e">
        <f>IF(AND(Include_study?="Yes",Sufficient_data="Yes"),'Publication Bias Analysis'!F116,NA())</f>
        <v>#N/A</v>
      </c>
      <c r="GK116" s="176"/>
      <c r="GL11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6" s="39" t="str">
        <f t="shared" si="413"/>
        <v/>
      </c>
      <c r="GN11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6" s="39" t="str">
        <f>IF(AND(Include_study?="Yes",Sufficient_data="Yes"),IF('Publication Bias Analysis'!L$38="Left",'Publication Bias Analysis'!E:E-GW$3,GW$3-'Publication Bias Analysis'!E:E),"")</f>
        <v/>
      </c>
      <c r="GP116" s="39" t="str">
        <f t="shared" si="330"/>
        <v/>
      </c>
      <c r="GQ11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6" s="39" t="str">
        <f>IF(AND(Include_study?="Yes",Sufficient_data="Yes"),IF('Publication Bias Analysis'!L$38="Left",'Publication Bias Analysis'!E:E-GW$10,GW$10-'Publication Bias Analysis'!E:E),"")</f>
        <v/>
      </c>
      <c r="GS116" s="39" t="str">
        <f t="shared" si="331"/>
        <v/>
      </c>
      <c r="GT11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6" s="176"/>
      <c r="HL116" s="69" t="str">
        <f t="shared" si="319"/>
        <v/>
      </c>
      <c r="HM116" s="74" t="str">
        <f>IF(AND(Include_study?="Yes",Sufficient_data="Yes"),Z_score-('Publication Bias Analysis'!P$3+'Publication Bias Analysis'!P$4*Inverse_standard_error),"")</f>
        <v/>
      </c>
      <c r="HO116" s="176"/>
      <c r="HP116" s="69" t="str">
        <f>IF(AND(Include_study?="Yes",Sufficient_data="Yes"),(GD:GD-SUMPRODUCT(Calculations!FT:FT,'Publication Bias Analysis'!E:E)/SUM(Calculations!FT:FT))/SQRT(Calculations!HQ:HQ),"")</f>
        <v/>
      </c>
      <c r="HQ116" s="69" t="str">
        <f>IF(AND(Include_study?="Yes",Sufficient_data="Yes"),GE:GE^2-1/SUM(Calculations!FT:FT),"")</f>
        <v/>
      </c>
      <c r="HR116" s="7" t="str">
        <f t="shared" ref="HR116:HR179" si="441">IF(AND(Include_study?="Yes",Sufficient_data="Yes"),RANK(HP:HP,HP:HP,0),"")</f>
        <v/>
      </c>
      <c r="HS116" s="7" t="str">
        <f t="shared" ref="HS116:HS179" si="442">IF(AND(Include_study?="Yes",Sufficient_data="Yes"),RANK(HQ:HQ,HQ:HQ,0),"")</f>
        <v/>
      </c>
      <c r="HT116" s="7" t="str">
        <f>IF(AND(Include_study?="Yes",Sufficient_data="Yes"),COUNTIFS(HR$2:HR115,"&lt;"&amp;HR116,HS$2:HS115,"&lt;"&amp;HS116)+COUNTIFS(HR117:HR$201,"&lt;"&amp;HR116,HS117:HS$201,"&lt;"&amp;HS116)+COUNTIFS(HR$2:HR115,"&gt;"&amp;HR116,HS$2:HS115,"&gt;"&amp;HS116)+COUNTIFS(HR117:HR$201,"&gt;"&amp;HR116,HS117:HS$201,"&gt;"&amp;HS116),"")</f>
        <v/>
      </c>
      <c r="HU116" s="104" t="str">
        <f>IF(AND(Include_study?="Yes",Sufficient_data="Yes"),COUNTIFS(HR$2:HR115,"&lt;"&amp;HR116,HS$2:HS115,"&gt;"&amp;HS116)+COUNTIFS(HR117:HR$201,"&lt;"&amp;HR116,HS117:HS$201,"&gt;"&amp;HS116)+COUNTIFS(HR$2:HR115,"&gt;"&amp;HR116,HS$2:HS115,"&lt;"&amp;HS116)+COUNTIFS(HR117:HR$201,"&gt;"&amp;HR116,HS117:HS$201,"&lt;"&amp;HS116),"")</f>
        <v/>
      </c>
      <c r="HW116" s="176"/>
      <c r="IB116" s="176"/>
      <c r="IC116" s="146" t="e">
        <f t="shared" si="414"/>
        <v>#N/A</v>
      </c>
      <c r="ID116" s="137" t="e">
        <f t="shared" si="415"/>
        <v>#N/A</v>
      </c>
      <c r="IE116" s="137" t="str">
        <f t="shared" si="416"/>
        <v/>
      </c>
      <c r="IF116" s="95" t="str">
        <f t="shared" si="417"/>
        <v/>
      </c>
      <c r="IK116" s="176"/>
      <c r="IL116" s="69" t="e">
        <f>IF(AND(Include_study?="Yes",Sufficient_data="Yes"),'Publication Bias Analysis'!AV:AV,NA())</f>
        <v>#N/A</v>
      </c>
      <c r="IM116" s="158" t="e">
        <f>IF(AND(Sufficient_data="Yes",Include_study?="Yes"),'Publication Bias Analysis'!AU:AU,NA())</f>
        <v>#N/A</v>
      </c>
      <c r="IN116" s="69" t="str">
        <f t="shared" si="418"/>
        <v/>
      </c>
      <c r="IO116" s="74" t="str">
        <f>IF(AND(Include_study?="Yes",Sufficient_data="Yes"),Z_score-('Publication Bias Analysis'!AY$30+'Publication Bias Analysis'!AY$31*Inverse_standard_error),"")</f>
        <v/>
      </c>
      <c r="IU116" s="176"/>
      <c r="IV116" s="7" t="str">
        <f>IF('Publication Bias Analysis'!BG:BG&lt;&gt;"",RANK('Publication Bias Analysis'!BG:BG,'Publication Bias Analysis'!BG:BG,1)+COUNTIF('Publication Bias Analysis'!BG$2:BG115,'Publication Bias Analysis'!BG116),"")</f>
        <v/>
      </c>
      <c r="IW116" s="124" t="str">
        <f t="shared" si="419"/>
        <v/>
      </c>
      <c r="IX116" s="125" t="e">
        <f>IF('Publication Bias Analysis'!BF116&lt;&gt;"",'Publication Bias Analysis'!BF116,NA())</f>
        <v>#N/A</v>
      </c>
      <c r="IY116" s="125" t="e">
        <f>IF('Publication Bias Analysis'!BG116&lt;&gt;"",'Publication Bias Analysis'!BG116,NA())</f>
        <v>#N/A</v>
      </c>
      <c r="IZ116" s="69" t="str">
        <f>IF(AND(Include_study?="Yes",Sufficient_data="Yes"),'Publication Bias Analysis'!BF:BF-AVERAGE('Publication Bias Analysis'!BF:BF),"")</f>
        <v/>
      </c>
      <c r="JA116" s="74" t="str">
        <f>IF(AND(Include_study?="Yes",Sufficient_data="Yes"),'Publication Bias Analysis'!BG:BG-('Publication Bias Analysis'!BJ$30+'Publication Bias Analysis'!BJ$31*'Publication Bias Analysis'!BF:BF),"")</f>
        <v/>
      </c>
      <c r="JG116" s="176"/>
      <c r="JH116" s="39" t="str">
        <f t="shared" si="420"/>
        <v/>
      </c>
      <c r="JI116" s="148" t="str">
        <f t="shared" si="332"/>
        <v/>
      </c>
      <c r="JJ116" s="74" t="str">
        <f t="shared" si="333"/>
        <v/>
      </c>
    </row>
    <row r="117" spans="1:270" x14ac:dyDescent="0.2">
      <c r="A117" s="56" t="str">
        <f t="shared" si="334"/>
        <v/>
      </c>
      <c r="B117" s="7" t="str">
        <f>IF(AND(Include_study?="Yes",Sufficient_data="Yes"),IF(Input!a_&lt;&gt;"",Input!a_,Input!n1_-Input!b_),"")</f>
        <v/>
      </c>
      <c r="C117" s="7" t="str">
        <f>IF(AND(Include_study?="Yes",Sufficient_data="Yes"),IF(Input!b_&lt;&gt;"",Input!b_,Input!n1_-Input!a_),"")</f>
        <v/>
      </c>
      <c r="D117" s="7" t="str">
        <f>IF(AND(Include_study?="Yes",Sufficient_data="Yes"),IF(Input!c_&lt;&gt;"",Input!c_,Input!n2_-Input!d_),"")</f>
        <v/>
      </c>
      <c r="E117" s="7" t="str">
        <f>IF(AND(Include_study?="Yes",Sufficient_data="Yes"),IF(Input!d_&lt;&gt;"",Input!d_,Input!n2_-Input!c_),"")</f>
        <v/>
      </c>
      <c r="F117" s="74" t="str">
        <f t="shared" si="335"/>
        <v/>
      </c>
      <c r="H117" s="196"/>
      <c r="I117" s="182"/>
      <c r="J117" s="146" t="str">
        <f t="shared" si="245"/>
        <v/>
      </c>
      <c r="K117" s="39" t="str">
        <f t="shared" si="336"/>
        <v/>
      </c>
      <c r="L117" s="39" t="str">
        <f t="shared" si="337"/>
        <v/>
      </c>
      <c r="M117" s="39" t="str">
        <f t="shared" si="338"/>
        <v/>
      </c>
      <c r="N117" s="74" t="str">
        <f t="shared" si="339"/>
        <v/>
      </c>
      <c r="P117" s="176"/>
      <c r="Q117" s="130" t="str">
        <f t="shared" si="340"/>
        <v/>
      </c>
      <c r="R117" s="39" t="str">
        <f t="shared" si="341"/>
        <v/>
      </c>
      <c r="S117" s="39" t="str">
        <f t="shared" si="342"/>
        <v/>
      </c>
      <c r="T117" s="74" t="str">
        <f t="shared" si="343"/>
        <v/>
      </c>
      <c r="V117" s="176"/>
      <c r="W117" s="130" t="str">
        <f t="shared" si="344"/>
        <v/>
      </c>
      <c r="X117" s="39" t="str">
        <f t="shared" si="345"/>
        <v/>
      </c>
      <c r="Y117" s="39" t="str">
        <f t="shared" si="346"/>
        <v/>
      </c>
      <c r="Z117" s="74" t="str">
        <f t="shared" si="347"/>
        <v/>
      </c>
      <c r="AB117" s="176"/>
      <c r="AC117" s="130" t="str">
        <f t="shared" si="348"/>
        <v/>
      </c>
      <c r="AD117" s="39" t="str">
        <f t="shared" si="349"/>
        <v/>
      </c>
      <c r="AE117" s="39" t="str">
        <f t="shared" si="350"/>
        <v/>
      </c>
      <c r="AF117" s="39" t="str">
        <f t="shared" si="351"/>
        <v/>
      </c>
      <c r="AG117" s="74" t="str">
        <f t="shared" si="352"/>
        <v/>
      </c>
      <c r="AI117" s="196"/>
      <c r="AJ11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7" s="136" t="str">
        <f>IF(AJ117&lt;&gt;"",IF(AJ117=0,COUNTIF(AJ$2:AJ116,0)+1,COUNTIF(AJ$2:AJ116,AJ117)+AJ117+COUNTIF(AJ:AJ,0)),"")</f>
        <v/>
      </c>
      <c r="AL117" s="136" t="str">
        <f t="shared" si="263"/>
        <v/>
      </c>
      <c r="AM117" s="155" t="str">
        <f>IF(AND(Include_study?="Yes",Sufficient_data="Yes",Input!Study_name&lt;&gt;""),Input!Study_name,"")</f>
        <v/>
      </c>
      <c r="AN117" s="136" t="str">
        <f t="shared" si="264"/>
        <v/>
      </c>
      <c r="AO117" s="19" t="str">
        <f t="shared" si="353"/>
        <v/>
      </c>
      <c r="AP117" s="158" t="str">
        <f t="shared" si="354"/>
        <v/>
      </c>
      <c r="AQ117" s="158" t="str">
        <f t="shared" si="355"/>
        <v/>
      </c>
      <c r="AR117" s="39" t="str">
        <f t="shared" si="356"/>
        <v/>
      </c>
      <c r="AS117" s="158" t="str">
        <f t="shared" si="357"/>
        <v/>
      </c>
      <c r="AT117" s="39" t="str">
        <f t="shared" si="358"/>
        <v/>
      </c>
      <c r="AU117" s="172" t="str">
        <f t="shared" si="359"/>
        <v/>
      </c>
      <c r="AV117" s="45"/>
      <c r="AW117" s="84" t="e">
        <f t="shared" si="360"/>
        <v>#N/A</v>
      </c>
      <c r="AX117" s="69" t="e">
        <f t="shared" si="361"/>
        <v>#N/A</v>
      </c>
      <c r="AY117" s="74" t="e">
        <f t="shared" si="362"/>
        <v>#N/A</v>
      </c>
      <c r="AZ117" s="45"/>
      <c r="BA117" s="45"/>
      <c r="BB117" s="45"/>
      <c r="BC117" s="45"/>
      <c r="BD117" s="196"/>
      <c r="BE117" s="182"/>
      <c r="BF117" s="69" t="str">
        <f t="shared" si="363"/>
        <v/>
      </c>
      <c r="BG117" s="69" t="str">
        <f t="shared" si="364"/>
        <v/>
      </c>
      <c r="BH117" s="69" t="str">
        <f t="shared" si="365"/>
        <v/>
      </c>
      <c r="BI117" s="39" t="str">
        <f t="shared" si="366"/>
        <v/>
      </c>
      <c r="BJ117" s="95" t="str">
        <f t="shared" si="367"/>
        <v/>
      </c>
      <c r="BO117" s="176"/>
      <c r="BP117" s="158" t="str">
        <f t="shared" si="368"/>
        <v/>
      </c>
      <c r="BQ117" s="158" t="str">
        <f t="shared" si="369"/>
        <v/>
      </c>
      <c r="BR117" s="158" t="str">
        <f t="shared" si="370"/>
        <v/>
      </c>
      <c r="BS117" s="158" t="str">
        <f>IF(AND(Sufficient_data="Yes",Include_study?="Yes"),IF(Add_0_5="Yes",(a_+d_+1)*(ab_+0.5)*(c_+0.5)/(Number_of_subjects+2)^2,(a_+d_)*b_*c_/Number_of_subjects^2),"")</f>
        <v/>
      </c>
      <c r="BT117" s="158" t="str">
        <f t="shared" si="371"/>
        <v/>
      </c>
      <c r="BU117" s="158" t="str">
        <f t="shared" si="372"/>
        <v/>
      </c>
      <c r="BV117" s="158" t="str">
        <f t="shared" si="373"/>
        <v/>
      </c>
      <c r="BW117" s="69" t="str">
        <f t="shared" si="374"/>
        <v/>
      </c>
      <c r="BX117" s="137" t="str">
        <f t="shared" si="375"/>
        <v/>
      </c>
      <c r="BY117" s="95" t="str">
        <f t="shared" si="376"/>
        <v/>
      </c>
      <c r="CD117" s="176"/>
      <c r="CE117" s="130" t="str">
        <f t="shared" si="377"/>
        <v/>
      </c>
      <c r="CF117" s="39" t="str">
        <f t="shared" si="378"/>
        <v/>
      </c>
      <c r="CG117" s="39" t="str">
        <f t="shared" si="379"/>
        <v/>
      </c>
      <c r="CH117" s="39" t="str">
        <f t="shared" si="380"/>
        <v/>
      </c>
      <c r="CI117" s="39" t="str">
        <f t="shared" si="381"/>
        <v/>
      </c>
      <c r="CJ117" s="39" t="str">
        <f t="shared" si="287"/>
        <v/>
      </c>
      <c r="CK117" s="95" t="str">
        <f t="shared" si="382"/>
        <v/>
      </c>
      <c r="CP117" s="176"/>
      <c r="CQ117" s="99" t="str">
        <f t="shared" si="383"/>
        <v/>
      </c>
      <c r="CX117" s="196"/>
      <c r="CY117" s="89" t="e">
        <f t="shared" si="384"/>
        <v>#N/A</v>
      </c>
      <c r="CZ117" s="136" t="str">
        <f t="shared" si="385"/>
        <v/>
      </c>
      <c r="DA117" s="140" t="str">
        <f t="shared" si="386"/>
        <v/>
      </c>
      <c r="DB117" s="39" t="str">
        <f t="shared" si="387"/>
        <v/>
      </c>
      <c r="DC117" s="39" t="str">
        <f t="shared" si="388"/>
        <v/>
      </c>
      <c r="DD117" s="39" t="str">
        <f t="shared" si="389"/>
        <v/>
      </c>
      <c r="DE117" s="39" t="str">
        <f t="shared" si="390"/>
        <v/>
      </c>
      <c r="DF117" s="141" t="str">
        <f t="shared" si="391"/>
        <v/>
      </c>
      <c r="DG117" s="39" t="str">
        <f t="shared" si="392"/>
        <v/>
      </c>
      <c r="DH117" s="39" t="str">
        <f t="shared" si="393"/>
        <v/>
      </c>
      <c r="DI117" s="39" t="str">
        <f t="shared" si="394"/>
        <v/>
      </c>
      <c r="DJ117" s="74" t="str">
        <f t="shared" si="395"/>
        <v/>
      </c>
      <c r="DK117" s="45"/>
      <c r="DL117" s="84" t="e">
        <f t="shared" si="423"/>
        <v>#N/A</v>
      </c>
      <c r="DM117" s="39" t="e">
        <f t="shared" si="396"/>
        <v>#N/A</v>
      </c>
      <c r="DN117" s="74" t="e">
        <f t="shared" si="397"/>
        <v>#N/A</v>
      </c>
      <c r="DO117" s="45"/>
      <c r="DP117" s="89" t="str">
        <f t="shared" si="326"/>
        <v/>
      </c>
      <c r="DQ117" s="26" t="str">
        <f>IF(AND(Sufficient_data="Yes",Subgroup&lt;&gt;""),IF(COUNTIFS(Input!J$2:J116,"="&amp;"Yes",Input!C$2:C116,"="&amp;"Yes",Input!K$2:K116,"="&amp;Subgroup)&gt;0,"",Subgroup),"")</f>
        <v/>
      </c>
      <c r="DR117" s="7" t="str">
        <f t="shared" si="327"/>
        <v/>
      </c>
      <c r="DS117" s="7" t="str">
        <f t="shared" si="398"/>
        <v/>
      </c>
      <c r="DT117" s="19" t="str">
        <f t="shared" si="399"/>
        <v/>
      </c>
      <c r="DU117" s="12" t="str">
        <f t="shared" si="424"/>
        <v/>
      </c>
      <c r="DV117" s="11" t="str">
        <f t="shared" si="425"/>
        <v/>
      </c>
      <c r="DW117" s="12" t="str">
        <f t="shared" si="426"/>
        <v/>
      </c>
      <c r="DX117" s="12" t="str">
        <f t="shared" si="400"/>
        <v/>
      </c>
      <c r="DY117" s="19" t="str">
        <f t="shared" si="427"/>
        <v/>
      </c>
      <c r="DZ117" s="12" t="str">
        <f t="shared" si="428"/>
        <v/>
      </c>
      <c r="EA117" s="19" t="str">
        <f t="shared" si="401"/>
        <v/>
      </c>
      <c r="EB117" s="7" t="str">
        <f t="shared" si="402"/>
        <v/>
      </c>
      <c r="EC117" s="19" t="str">
        <f t="shared" si="403"/>
        <v/>
      </c>
      <c r="ED117" s="19" t="str">
        <f t="shared" si="404"/>
        <v/>
      </c>
      <c r="EE117" s="19" t="str">
        <f t="shared" si="429"/>
        <v/>
      </c>
      <c r="EF117" s="19" t="str">
        <f t="shared" si="430"/>
        <v/>
      </c>
      <c r="EG117" s="19" t="str">
        <f t="shared" si="431"/>
        <v/>
      </c>
      <c r="EH117" s="19" t="str">
        <f t="shared" si="432"/>
        <v/>
      </c>
      <c r="EI117" s="19" t="str">
        <f t="shared" si="433"/>
        <v/>
      </c>
      <c r="EJ117" s="19" t="str">
        <f t="shared" si="405"/>
        <v/>
      </c>
      <c r="EK117" s="19" t="str">
        <f t="shared" si="406"/>
        <v/>
      </c>
      <c r="EL117" s="19" t="str">
        <f t="shared" si="434"/>
        <v/>
      </c>
      <c r="EM117" s="19" t="str">
        <f t="shared" si="435"/>
        <v/>
      </c>
      <c r="EN117" s="19" t="str">
        <f t="shared" si="436"/>
        <v/>
      </c>
      <c r="EO117" s="19" t="str">
        <f t="shared" si="437"/>
        <v/>
      </c>
      <c r="EP117" s="19" t="str">
        <f t="shared" si="438"/>
        <v/>
      </c>
      <c r="EQ117" s="19" t="e">
        <f t="shared" si="439"/>
        <v>#N/A</v>
      </c>
      <c r="ER117" s="11" t="str">
        <f t="shared" si="328"/>
        <v/>
      </c>
      <c r="ES117" s="19" t="str">
        <f t="shared" si="329"/>
        <v/>
      </c>
      <c r="ET117" s="156" t="str">
        <f t="shared" si="407"/>
        <v/>
      </c>
      <c r="EU117" s="39" t="str">
        <f t="shared" si="440"/>
        <v/>
      </c>
      <c r="EV117" s="74" t="str">
        <f t="shared" si="408"/>
        <v/>
      </c>
      <c r="FA117" s="196"/>
      <c r="FB117" s="84" t="e">
        <f>IF(AND(Include_study?="Yes",Sufficient_data="Yes",Moderator&lt;&gt;""),'Moderator Analysis'!E117,NA())</f>
        <v>#N/A</v>
      </c>
      <c r="FC117" s="39" t="e">
        <f>IF(AND(Include_study?="Yes",Sufficient_data="Yes",Moderator&lt;&gt;""),'Moderator Analysis'!F117,NA())</f>
        <v>#N/A</v>
      </c>
      <c r="FD117" s="39" t="str">
        <f t="shared" si="409"/>
        <v/>
      </c>
      <c r="FE117" s="39" t="str">
        <f t="shared" si="410"/>
        <v/>
      </c>
      <c r="FF117" s="39" t="str">
        <f>IF(AND(Include_study?="Yes",Sufficient_data="Yes",Moderator&lt;&gt;""),'Moderator Analysis'!F:F-FP$2,"")</f>
        <v/>
      </c>
      <c r="FG117" s="39" t="str">
        <f>IF(AND(Include_study?="Yes",Sufficient_data="Yes",Moderator&lt;&gt;""),'Moderator Analysis'!E:E-FP$3,"")</f>
        <v/>
      </c>
      <c r="FH117" s="74" t="str">
        <f>IF(AND(Include_study?="Yes",Sufficient_data="Yes",Moderator&lt;&gt;""),FE:FE*('Moderator Analysis'!F:F-FP$5-FP$4*'Moderator Analysis'!E:E)^2,"")</f>
        <v/>
      </c>
      <c r="FI117" s="128"/>
      <c r="FJ117" s="92" t="str">
        <f t="shared" si="411"/>
        <v/>
      </c>
      <c r="FK117" s="137" t="str">
        <f>IF(AND(Include_study?="Yes",Sufficient_data="Yes",Moderator&lt;&gt;""),'Moderator Analysis'!F:F-'Moderator Analysis'!J$37,"")</f>
        <v/>
      </c>
      <c r="FL117" s="137" t="str">
        <f>IF(AND(Include_study?="Yes",Sufficient_data="Yes",Moderator&lt;&gt;""),'Moderator Analysis'!E:E-SUMPRODUCT('Moderator Analysis'!E:E,FJ:FJ)/SUM(FJ:FJ),"")</f>
        <v/>
      </c>
      <c r="FM117" s="95" t="str">
        <f>IF(AND(Include_study?="Yes",Sufficient_data="Yes",Moderator&lt;&gt;""),FJ:FJ*('Moderator Analysis'!F:F-'Moderator Analysis'!J$29-'Moderator Analysis'!J$30*'Moderator Analysis'!E:E)^2,"")</f>
        <v/>
      </c>
      <c r="FR117" s="196"/>
      <c r="FS117" s="182"/>
      <c r="FT11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7" s="39" t="str">
        <f>IF(AND(Include_study?="Yes",Sufficient_data="Yes"),1/('Publication Bias Analysis'!F:F^2+IF(Additional_model="Fixed effect",0,Calculations!GH$12)),"")</f>
        <v/>
      </c>
      <c r="FV117" s="39" t="str">
        <f>IF(AND(Include_study?="Yes",Sufficient_data="Yes"),1/('Publication Bias Analysis'!F:F^2+IF(Additional_model="Fixed effect",0,'Publication Bias Analysis'!L$32)),"")</f>
        <v/>
      </c>
      <c r="FW117" s="39" t="str">
        <f>IF(AND(Include_study?="Yes",Sufficient_data="Yes"),'Publication Bias Analysis'!E:E-'Publication Bias Analysis'!I$37,"")</f>
        <v/>
      </c>
      <c r="FX117" s="39" t="str">
        <f>IF(AND(Include_study?="Yes",Sufficient_data="Yes"),IF(Additional_model="Fixed effect",1/'Publication Bias Analysis'!F:F,1/SQRT('Publication Bias Analysis'!F:F^2+GH$12)),"")</f>
        <v/>
      </c>
      <c r="FY11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7" s="136" t="str">
        <f t="shared" si="412"/>
        <v/>
      </c>
      <c r="GA117" s="144" t="str">
        <f>IF(AND(Include_study?="Yes",Sufficient_data="Yes"),FZ:FZ+IF(GL:GL&lt;0,-1,1)*COUNTIF(FZ$2:FZ116,FZ:FZ),"")</f>
        <v/>
      </c>
      <c r="GB117" s="144" t="str">
        <f>IF(AND(Include_study?="Yes",Sufficient_data="Yes"),RANK(GP:GP,GP:GP,1)*IF(GO:GO&lt;0,-1,1)+IF(GO:GO&lt;0,-1,1)*COUNTIF(FZ$2:FZ116,FZ:FZ),"")</f>
        <v/>
      </c>
      <c r="GC117" s="144" t="str">
        <f>IF(AND(Include_study?="Yes",Sufficient_data="Yes"),RANK(GS:GS,GS:GS,1)*IF(GR:GR&lt;0,-1,1)+IF(GR:GR&lt;0,-1,1)*COUNTIF(FZ$2:FZ116,FZ:FZ),"")</f>
        <v/>
      </c>
      <c r="GD117" s="39" t="e">
        <f>IF(AND(Include_study?="Yes",Sufficient_data="Yes"),'Publication Bias Analysis'!E117,NA())</f>
        <v>#N/A</v>
      </c>
      <c r="GE117" s="74" t="e">
        <f>IF(AND(Include_study?="Yes",Sufficient_data="Yes"),'Publication Bias Analysis'!F117,NA())</f>
        <v>#N/A</v>
      </c>
      <c r="GK117" s="176"/>
      <c r="GL11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7" s="39" t="str">
        <f t="shared" si="413"/>
        <v/>
      </c>
      <c r="GN11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7" s="39" t="str">
        <f>IF(AND(Include_study?="Yes",Sufficient_data="Yes"),IF('Publication Bias Analysis'!L$38="Left",'Publication Bias Analysis'!E:E-GW$3,GW$3-'Publication Bias Analysis'!E:E),"")</f>
        <v/>
      </c>
      <c r="GP117" s="39" t="str">
        <f t="shared" si="330"/>
        <v/>
      </c>
      <c r="GQ11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7" s="39" t="str">
        <f>IF(AND(Include_study?="Yes",Sufficient_data="Yes"),IF('Publication Bias Analysis'!L$38="Left",'Publication Bias Analysis'!E:E-GW$10,GW$10-'Publication Bias Analysis'!E:E),"")</f>
        <v/>
      </c>
      <c r="GS117" s="39" t="str">
        <f t="shared" si="331"/>
        <v/>
      </c>
      <c r="GT11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7" s="176"/>
      <c r="HL117" s="69" t="str">
        <f t="shared" si="319"/>
        <v/>
      </c>
      <c r="HM117" s="74" t="str">
        <f>IF(AND(Include_study?="Yes",Sufficient_data="Yes"),Z_score-('Publication Bias Analysis'!P$3+'Publication Bias Analysis'!P$4*Inverse_standard_error),"")</f>
        <v/>
      </c>
      <c r="HO117" s="176"/>
      <c r="HP117" s="69" t="str">
        <f>IF(AND(Include_study?="Yes",Sufficient_data="Yes"),(GD:GD-SUMPRODUCT(Calculations!FT:FT,'Publication Bias Analysis'!E:E)/SUM(Calculations!FT:FT))/SQRT(Calculations!HQ:HQ),"")</f>
        <v/>
      </c>
      <c r="HQ117" s="69" t="str">
        <f>IF(AND(Include_study?="Yes",Sufficient_data="Yes"),GE:GE^2-1/SUM(Calculations!FT:FT),"")</f>
        <v/>
      </c>
      <c r="HR117" s="7" t="str">
        <f t="shared" si="441"/>
        <v/>
      </c>
      <c r="HS117" s="7" t="str">
        <f t="shared" si="442"/>
        <v/>
      </c>
      <c r="HT117" s="7" t="str">
        <f>IF(AND(Include_study?="Yes",Sufficient_data="Yes"),COUNTIFS(HR$2:HR116,"&lt;"&amp;HR117,HS$2:HS116,"&lt;"&amp;HS117)+COUNTIFS(HR118:HR$201,"&lt;"&amp;HR117,HS118:HS$201,"&lt;"&amp;HS117)+COUNTIFS(HR$2:HR116,"&gt;"&amp;HR117,HS$2:HS116,"&gt;"&amp;HS117)+COUNTIFS(HR118:HR$201,"&gt;"&amp;HR117,HS118:HS$201,"&gt;"&amp;HS117),"")</f>
        <v/>
      </c>
      <c r="HU117" s="104" t="str">
        <f>IF(AND(Include_study?="Yes",Sufficient_data="Yes"),COUNTIFS(HR$2:HR116,"&lt;"&amp;HR117,HS$2:HS116,"&gt;"&amp;HS117)+COUNTIFS(HR118:HR$201,"&lt;"&amp;HR117,HS118:HS$201,"&gt;"&amp;HS117)+COUNTIFS(HR$2:HR116,"&gt;"&amp;HR117,HS$2:HS116,"&lt;"&amp;HS117)+COUNTIFS(HR118:HR$201,"&gt;"&amp;HR117,HS118:HS$201,"&lt;"&amp;HS117),"")</f>
        <v/>
      </c>
      <c r="HW117" s="176"/>
      <c r="IB117" s="176"/>
      <c r="IC117" s="146" t="e">
        <f t="shared" si="414"/>
        <v>#N/A</v>
      </c>
      <c r="ID117" s="137" t="e">
        <f t="shared" si="415"/>
        <v>#N/A</v>
      </c>
      <c r="IE117" s="137" t="str">
        <f t="shared" si="416"/>
        <v/>
      </c>
      <c r="IF117" s="95" t="str">
        <f t="shared" si="417"/>
        <v/>
      </c>
      <c r="IK117" s="176"/>
      <c r="IL117" s="69" t="e">
        <f>IF(AND(Include_study?="Yes",Sufficient_data="Yes"),'Publication Bias Analysis'!AV:AV,NA())</f>
        <v>#N/A</v>
      </c>
      <c r="IM117" s="158" t="e">
        <f>IF(AND(Sufficient_data="Yes",Include_study?="Yes"),'Publication Bias Analysis'!AU:AU,NA())</f>
        <v>#N/A</v>
      </c>
      <c r="IN117" s="69" t="str">
        <f t="shared" si="418"/>
        <v/>
      </c>
      <c r="IO117" s="74" t="str">
        <f>IF(AND(Include_study?="Yes",Sufficient_data="Yes"),Z_score-('Publication Bias Analysis'!AY$30+'Publication Bias Analysis'!AY$31*Inverse_standard_error),"")</f>
        <v/>
      </c>
      <c r="IU117" s="176"/>
      <c r="IV117" s="7" t="str">
        <f>IF('Publication Bias Analysis'!BG:BG&lt;&gt;"",RANK('Publication Bias Analysis'!BG:BG,'Publication Bias Analysis'!BG:BG,1)+COUNTIF('Publication Bias Analysis'!BG$2:BG116,'Publication Bias Analysis'!BG117),"")</f>
        <v/>
      </c>
      <c r="IW117" s="124" t="str">
        <f t="shared" si="419"/>
        <v/>
      </c>
      <c r="IX117" s="125" t="e">
        <f>IF('Publication Bias Analysis'!BF117&lt;&gt;"",'Publication Bias Analysis'!BF117,NA())</f>
        <v>#N/A</v>
      </c>
      <c r="IY117" s="125" t="e">
        <f>IF('Publication Bias Analysis'!BG117&lt;&gt;"",'Publication Bias Analysis'!BG117,NA())</f>
        <v>#N/A</v>
      </c>
      <c r="IZ117" s="69" t="str">
        <f>IF(AND(Include_study?="Yes",Sufficient_data="Yes"),'Publication Bias Analysis'!BF:BF-AVERAGE('Publication Bias Analysis'!BF:BF),"")</f>
        <v/>
      </c>
      <c r="JA117" s="74" t="str">
        <f>IF(AND(Include_study?="Yes",Sufficient_data="Yes"),'Publication Bias Analysis'!BG:BG-('Publication Bias Analysis'!BJ$30+'Publication Bias Analysis'!BJ$31*'Publication Bias Analysis'!BF:BF),"")</f>
        <v/>
      </c>
      <c r="JG117" s="176"/>
      <c r="JH117" s="39" t="str">
        <f t="shared" si="420"/>
        <v/>
      </c>
      <c r="JI117" s="148" t="str">
        <f t="shared" si="332"/>
        <v/>
      </c>
      <c r="JJ117" s="74" t="str">
        <f t="shared" si="333"/>
        <v/>
      </c>
    </row>
    <row r="118" spans="1:270" x14ac:dyDescent="0.2">
      <c r="A118" s="56" t="str">
        <f t="shared" si="334"/>
        <v/>
      </c>
      <c r="B118" s="7" t="str">
        <f>IF(AND(Include_study?="Yes",Sufficient_data="Yes"),IF(Input!a_&lt;&gt;"",Input!a_,Input!n1_-Input!b_),"")</f>
        <v/>
      </c>
      <c r="C118" s="7" t="str">
        <f>IF(AND(Include_study?="Yes",Sufficient_data="Yes"),IF(Input!b_&lt;&gt;"",Input!b_,Input!n1_-Input!a_),"")</f>
        <v/>
      </c>
      <c r="D118" s="7" t="str">
        <f>IF(AND(Include_study?="Yes",Sufficient_data="Yes"),IF(Input!c_&lt;&gt;"",Input!c_,Input!n2_-Input!d_),"")</f>
        <v/>
      </c>
      <c r="E118" s="7" t="str">
        <f>IF(AND(Include_study?="Yes",Sufficient_data="Yes"),IF(Input!d_&lt;&gt;"",Input!d_,Input!n2_-Input!c_),"")</f>
        <v/>
      </c>
      <c r="F118" s="74" t="str">
        <f t="shared" si="335"/>
        <v/>
      </c>
      <c r="H118" s="196"/>
      <c r="I118" s="182"/>
      <c r="J118" s="146" t="str">
        <f t="shared" si="245"/>
        <v/>
      </c>
      <c r="K118" s="39" t="str">
        <f t="shared" si="336"/>
        <v/>
      </c>
      <c r="L118" s="39" t="str">
        <f t="shared" si="337"/>
        <v/>
      </c>
      <c r="M118" s="39" t="str">
        <f t="shared" si="338"/>
        <v/>
      </c>
      <c r="N118" s="74" t="str">
        <f t="shared" si="339"/>
        <v/>
      </c>
      <c r="P118" s="176"/>
      <c r="Q118" s="130" t="str">
        <f t="shared" si="340"/>
        <v/>
      </c>
      <c r="R118" s="39" t="str">
        <f t="shared" si="341"/>
        <v/>
      </c>
      <c r="S118" s="39" t="str">
        <f t="shared" si="342"/>
        <v/>
      </c>
      <c r="T118" s="74" t="str">
        <f t="shared" si="343"/>
        <v/>
      </c>
      <c r="V118" s="176"/>
      <c r="W118" s="130" t="str">
        <f t="shared" si="344"/>
        <v/>
      </c>
      <c r="X118" s="39" t="str">
        <f t="shared" si="345"/>
        <v/>
      </c>
      <c r="Y118" s="39" t="str">
        <f t="shared" si="346"/>
        <v/>
      </c>
      <c r="Z118" s="74" t="str">
        <f t="shared" si="347"/>
        <v/>
      </c>
      <c r="AB118" s="176"/>
      <c r="AC118" s="130" t="str">
        <f t="shared" si="348"/>
        <v/>
      </c>
      <c r="AD118" s="39" t="str">
        <f t="shared" si="349"/>
        <v/>
      </c>
      <c r="AE118" s="39" t="str">
        <f t="shared" si="350"/>
        <v/>
      </c>
      <c r="AF118" s="39" t="str">
        <f t="shared" si="351"/>
        <v/>
      </c>
      <c r="AG118" s="74" t="str">
        <f t="shared" si="352"/>
        <v/>
      </c>
      <c r="AI118" s="196"/>
      <c r="AJ11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8" s="136" t="str">
        <f>IF(AJ118&lt;&gt;"",IF(AJ118=0,COUNTIF(AJ$2:AJ117,0)+1,COUNTIF(AJ$2:AJ117,AJ118)+AJ118+COUNTIF(AJ:AJ,0)),"")</f>
        <v/>
      </c>
      <c r="AL118" s="136" t="str">
        <f t="shared" si="263"/>
        <v/>
      </c>
      <c r="AM118" s="155" t="str">
        <f>IF(AND(Include_study?="Yes",Sufficient_data="Yes",Input!Study_name&lt;&gt;""),Input!Study_name,"")</f>
        <v/>
      </c>
      <c r="AN118" s="136" t="str">
        <f t="shared" si="264"/>
        <v/>
      </c>
      <c r="AO118" s="19" t="str">
        <f t="shared" si="353"/>
        <v/>
      </c>
      <c r="AP118" s="158" t="str">
        <f t="shared" si="354"/>
        <v/>
      </c>
      <c r="AQ118" s="158" t="str">
        <f t="shared" si="355"/>
        <v/>
      </c>
      <c r="AR118" s="39" t="str">
        <f t="shared" si="356"/>
        <v/>
      </c>
      <c r="AS118" s="158" t="str">
        <f t="shared" si="357"/>
        <v/>
      </c>
      <c r="AT118" s="39" t="str">
        <f t="shared" si="358"/>
        <v/>
      </c>
      <c r="AU118" s="172" t="str">
        <f t="shared" si="359"/>
        <v/>
      </c>
      <c r="AV118" s="45"/>
      <c r="AW118" s="84" t="e">
        <f t="shared" si="360"/>
        <v>#N/A</v>
      </c>
      <c r="AX118" s="69" t="e">
        <f t="shared" si="361"/>
        <v>#N/A</v>
      </c>
      <c r="AY118" s="74" t="e">
        <f t="shared" si="362"/>
        <v>#N/A</v>
      </c>
      <c r="AZ118" s="45"/>
      <c r="BA118" s="45"/>
      <c r="BB118" s="45"/>
      <c r="BC118" s="45"/>
      <c r="BD118" s="196"/>
      <c r="BE118" s="182"/>
      <c r="BF118" s="69" t="str">
        <f t="shared" si="363"/>
        <v/>
      </c>
      <c r="BG118" s="69" t="str">
        <f t="shared" si="364"/>
        <v/>
      </c>
      <c r="BH118" s="69" t="str">
        <f t="shared" si="365"/>
        <v/>
      </c>
      <c r="BI118" s="39" t="str">
        <f t="shared" si="366"/>
        <v/>
      </c>
      <c r="BJ118" s="95" t="str">
        <f t="shared" si="367"/>
        <v/>
      </c>
      <c r="BO118" s="176"/>
      <c r="BP118" s="158" t="str">
        <f t="shared" si="368"/>
        <v/>
      </c>
      <c r="BQ118" s="158" t="str">
        <f t="shared" si="369"/>
        <v/>
      </c>
      <c r="BR118" s="158" t="str">
        <f t="shared" si="370"/>
        <v/>
      </c>
      <c r="BS118" s="158" t="str">
        <f>IF(AND(Sufficient_data="Yes",Include_study?="Yes"),IF(Add_0_5="Yes",(a_+d_+1)*(ab_+0.5)*(c_+0.5)/(Number_of_subjects+2)^2,(a_+d_)*b_*c_/Number_of_subjects^2),"")</f>
        <v/>
      </c>
      <c r="BT118" s="158" t="str">
        <f t="shared" si="371"/>
        <v/>
      </c>
      <c r="BU118" s="158" t="str">
        <f t="shared" si="372"/>
        <v/>
      </c>
      <c r="BV118" s="158" t="str">
        <f t="shared" si="373"/>
        <v/>
      </c>
      <c r="BW118" s="69" t="str">
        <f t="shared" si="374"/>
        <v/>
      </c>
      <c r="BX118" s="137" t="str">
        <f t="shared" si="375"/>
        <v/>
      </c>
      <c r="BY118" s="95" t="str">
        <f t="shared" si="376"/>
        <v/>
      </c>
      <c r="CD118" s="176"/>
      <c r="CE118" s="130" t="str">
        <f t="shared" si="377"/>
        <v/>
      </c>
      <c r="CF118" s="39" t="str">
        <f t="shared" si="378"/>
        <v/>
      </c>
      <c r="CG118" s="39" t="str">
        <f t="shared" si="379"/>
        <v/>
      </c>
      <c r="CH118" s="39" t="str">
        <f t="shared" si="380"/>
        <v/>
      </c>
      <c r="CI118" s="39" t="str">
        <f t="shared" si="381"/>
        <v/>
      </c>
      <c r="CJ118" s="39" t="str">
        <f t="shared" si="287"/>
        <v/>
      </c>
      <c r="CK118" s="95" t="str">
        <f t="shared" si="382"/>
        <v/>
      </c>
      <c r="CP118" s="176"/>
      <c r="CQ118" s="99" t="str">
        <f t="shared" si="383"/>
        <v/>
      </c>
      <c r="CX118" s="196"/>
      <c r="CY118" s="89" t="e">
        <f t="shared" si="384"/>
        <v>#N/A</v>
      </c>
      <c r="CZ118" s="136" t="str">
        <f t="shared" si="385"/>
        <v/>
      </c>
      <c r="DA118" s="140" t="str">
        <f t="shared" si="386"/>
        <v/>
      </c>
      <c r="DB118" s="39" t="str">
        <f t="shared" si="387"/>
        <v/>
      </c>
      <c r="DC118" s="39" t="str">
        <f t="shared" si="388"/>
        <v/>
      </c>
      <c r="DD118" s="39" t="str">
        <f t="shared" si="389"/>
        <v/>
      </c>
      <c r="DE118" s="39" t="str">
        <f t="shared" si="390"/>
        <v/>
      </c>
      <c r="DF118" s="141" t="str">
        <f t="shared" si="391"/>
        <v/>
      </c>
      <c r="DG118" s="39" t="str">
        <f t="shared" si="392"/>
        <v/>
      </c>
      <c r="DH118" s="39" t="str">
        <f t="shared" si="393"/>
        <v/>
      </c>
      <c r="DI118" s="39" t="str">
        <f t="shared" si="394"/>
        <v/>
      </c>
      <c r="DJ118" s="74" t="str">
        <f t="shared" si="395"/>
        <v/>
      </c>
      <c r="DK118" s="45"/>
      <c r="DL118" s="84" t="e">
        <f t="shared" si="423"/>
        <v>#N/A</v>
      </c>
      <c r="DM118" s="39" t="e">
        <f t="shared" si="396"/>
        <v>#N/A</v>
      </c>
      <c r="DN118" s="74" t="e">
        <f t="shared" si="397"/>
        <v>#N/A</v>
      </c>
      <c r="DO118" s="45"/>
      <c r="DP118" s="89" t="str">
        <f t="shared" si="326"/>
        <v/>
      </c>
      <c r="DQ118" s="26" t="str">
        <f>IF(AND(Sufficient_data="Yes",Subgroup&lt;&gt;""),IF(COUNTIFS(Input!J$2:J117,"="&amp;"Yes",Input!C$2:C117,"="&amp;"Yes",Input!K$2:K117,"="&amp;Subgroup)&gt;0,"",Subgroup),"")</f>
        <v/>
      </c>
      <c r="DR118" s="7" t="str">
        <f t="shared" si="327"/>
        <v/>
      </c>
      <c r="DS118" s="7" t="str">
        <f t="shared" si="398"/>
        <v/>
      </c>
      <c r="DT118" s="19" t="str">
        <f t="shared" si="399"/>
        <v/>
      </c>
      <c r="DU118" s="12" t="str">
        <f t="shared" si="424"/>
        <v/>
      </c>
      <c r="DV118" s="11" t="str">
        <f t="shared" si="425"/>
        <v/>
      </c>
      <c r="DW118" s="12" t="str">
        <f t="shared" si="426"/>
        <v/>
      </c>
      <c r="DX118" s="12" t="str">
        <f t="shared" si="400"/>
        <v/>
      </c>
      <c r="DY118" s="19" t="str">
        <f t="shared" si="427"/>
        <v/>
      </c>
      <c r="DZ118" s="12" t="str">
        <f t="shared" si="428"/>
        <v/>
      </c>
      <c r="EA118" s="19" t="str">
        <f t="shared" si="401"/>
        <v/>
      </c>
      <c r="EB118" s="7" t="str">
        <f t="shared" si="402"/>
        <v/>
      </c>
      <c r="EC118" s="19" t="str">
        <f t="shared" si="403"/>
        <v/>
      </c>
      <c r="ED118" s="19" t="str">
        <f t="shared" si="404"/>
        <v/>
      </c>
      <c r="EE118" s="19" t="str">
        <f t="shared" si="429"/>
        <v/>
      </c>
      <c r="EF118" s="19" t="str">
        <f t="shared" si="430"/>
        <v/>
      </c>
      <c r="EG118" s="19" t="str">
        <f t="shared" si="431"/>
        <v/>
      </c>
      <c r="EH118" s="19" t="str">
        <f t="shared" si="432"/>
        <v/>
      </c>
      <c r="EI118" s="19" t="str">
        <f t="shared" si="433"/>
        <v/>
      </c>
      <c r="EJ118" s="19" t="str">
        <f t="shared" si="405"/>
        <v/>
      </c>
      <c r="EK118" s="19" t="str">
        <f t="shared" si="406"/>
        <v/>
      </c>
      <c r="EL118" s="19" t="str">
        <f t="shared" si="434"/>
        <v/>
      </c>
      <c r="EM118" s="19" t="str">
        <f t="shared" si="435"/>
        <v/>
      </c>
      <c r="EN118" s="19" t="str">
        <f t="shared" si="436"/>
        <v/>
      </c>
      <c r="EO118" s="19" t="str">
        <f t="shared" si="437"/>
        <v/>
      </c>
      <c r="EP118" s="19" t="str">
        <f t="shared" si="438"/>
        <v/>
      </c>
      <c r="EQ118" s="19" t="e">
        <f t="shared" si="439"/>
        <v>#N/A</v>
      </c>
      <c r="ER118" s="11" t="str">
        <f t="shared" si="328"/>
        <v/>
      </c>
      <c r="ES118" s="19" t="str">
        <f t="shared" si="329"/>
        <v/>
      </c>
      <c r="ET118" s="156" t="str">
        <f t="shared" si="407"/>
        <v/>
      </c>
      <c r="EU118" s="39" t="str">
        <f t="shared" si="440"/>
        <v/>
      </c>
      <c r="EV118" s="74" t="str">
        <f t="shared" si="408"/>
        <v/>
      </c>
      <c r="FA118" s="196"/>
      <c r="FB118" s="84" t="e">
        <f>IF(AND(Include_study?="Yes",Sufficient_data="Yes",Moderator&lt;&gt;""),'Moderator Analysis'!E118,NA())</f>
        <v>#N/A</v>
      </c>
      <c r="FC118" s="39" t="e">
        <f>IF(AND(Include_study?="Yes",Sufficient_data="Yes",Moderator&lt;&gt;""),'Moderator Analysis'!F118,NA())</f>
        <v>#N/A</v>
      </c>
      <c r="FD118" s="39" t="str">
        <f t="shared" si="409"/>
        <v/>
      </c>
      <c r="FE118" s="39" t="str">
        <f t="shared" si="410"/>
        <v/>
      </c>
      <c r="FF118" s="39" t="str">
        <f>IF(AND(Include_study?="Yes",Sufficient_data="Yes",Moderator&lt;&gt;""),'Moderator Analysis'!F:F-FP$2,"")</f>
        <v/>
      </c>
      <c r="FG118" s="39" t="str">
        <f>IF(AND(Include_study?="Yes",Sufficient_data="Yes",Moderator&lt;&gt;""),'Moderator Analysis'!E:E-FP$3,"")</f>
        <v/>
      </c>
      <c r="FH118" s="74" t="str">
        <f>IF(AND(Include_study?="Yes",Sufficient_data="Yes",Moderator&lt;&gt;""),FE:FE*('Moderator Analysis'!F:F-FP$5-FP$4*'Moderator Analysis'!E:E)^2,"")</f>
        <v/>
      </c>
      <c r="FI118" s="128"/>
      <c r="FJ118" s="92" t="str">
        <f t="shared" si="411"/>
        <v/>
      </c>
      <c r="FK118" s="137" t="str">
        <f>IF(AND(Include_study?="Yes",Sufficient_data="Yes",Moderator&lt;&gt;""),'Moderator Analysis'!F:F-'Moderator Analysis'!J$37,"")</f>
        <v/>
      </c>
      <c r="FL118" s="137" t="str">
        <f>IF(AND(Include_study?="Yes",Sufficient_data="Yes",Moderator&lt;&gt;""),'Moderator Analysis'!E:E-SUMPRODUCT('Moderator Analysis'!E:E,FJ:FJ)/SUM(FJ:FJ),"")</f>
        <v/>
      </c>
      <c r="FM118" s="95" t="str">
        <f>IF(AND(Include_study?="Yes",Sufficient_data="Yes",Moderator&lt;&gt;""),FJ:FJ*('Moderator Analysis'!F:F-'Moderator Analysis'!J$29-'Moderator Analysis'!J$30*'Moderator Analysis'!E:E)^2,"")</f>
        <v/>
      </c>
      <c r="FR118" s="196"/>
      <c r="FS118" s="182"/>
      <c r="FT11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8" s="39" t="str">
        <f>IF(AND(Include_study?="Yes",Sufficient_data="Yes"),1/('Publication Bias Analysis'!F:F^2+IF(Additional_model="Fixed effect",0,Calculations!GH$12)),"")</f>
        <v/>
      </c>
      <c r="FV118" s="39" t="str">
        <f>IF(AND(Include_study?="Yes",Sufficient_data="Yes"),1/('Publication Bias Analysis'!F:F^2+IF(Additional_model="Fixed effect",0,'Publication Bias Analysis'!L$32)),"")</f>
        <v/>
      </c>
      <c r="FW118" s="39" t="str">
        <f>IF(AND(Include_study?="Yes",Sufficient_data="Yes"),'Publication Bias Analysis'!E:E-'Publication Bias Analysis'!I$37,"")</f>
        <v/>
      </c>
      <c r="FX118" s="39" t="str">
        <f>IF(AND(Include_study?="Yes",Sufficient_data="Yes"),IF(Additional_model="Fixed effect",1/'Publication Bias Analysis'!F:F,1/SQRT('Publication Bias Analysis'!F:F^2+GH$12)),"")</f>
        <v/>
      </c>
      <c r="FY11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8" s="136" t="str">
        <f t="shared" si="412"/>
        <v/>
      </c>
      <c r="GA118" s="144" t="str">
        <f>IF(AND(Include_study?="Yes",Sufficient_data="Yes"),FZ:FZ+IF(GL:GL&lt;0,-1,1)*COUNTIF(FZ$2:FZ117,FZ:FZ),"")</f>
        <v/>
      </c>
      <c r="GB118" s="144" t="str">
        <f>IF(AND(Include_study?="Yes",Sufficient_data="Yes"),RANK(GP:GP,GP:GP,1)*IF(GO:GO&lt;0,-1,1)+IF(GO:GO&lt;0,-1,1)*COUNTIF(FZ$2:FZ117,FZ:FZ),"")</f>
        <v/>
      </c>
      <c r="GC118" s="144" t="str">
        <f>IF(AND(Include_study?="Yes",Sufficient_data="Yes"),RANK(GS:GS,GS:GS,1)*IF(GR:GR&lt;0,-1,1)+IF(GR:GR&lt;0,-1,1)*COUNTIF(FZ$2:FZ117,FZ:FZ),"")</f>
        <v/>
      </c>
      <c r="GD118" s="39" t="e">
        <f>IF(AND(Include_study?="Yes",Sufficient_data="Yes"),'Publication Bias Analysis'!E118,NA())</f>
        <v>#N/A</v>
      </c>
      <c r="GE118" s="74" t="e">
        <f>IF(AND(Include_study?="Yes",Sufficient_data="Yes"),'Publication Bias Analysis'!F118,NA())</f>
        <v>#N/A</v>
      </c>
      <c r="GK118" s="176"/>
      <c r="GL11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8" s="39" t="str">
        <f t="shared" si="413"/>
        <v/>
      </c>
      <c r="GN11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8" s="39" t="str">
        <f>IF(AND(Include_study?="Yes",Sufficient_data="Yes"),IF('Publication Bias Analysis'!L$38="Left",'Publication Bias Analysis'!E:E-GW$3,GW$3-'Publication Bias Analysis'!E:E),"")</f>
        <v/>
      </c>
      <c r="GP118" s="39" t="str">
        <f t="shared" si="330"/>
        <v/>
      </c>
      <c r="GQ11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8" s="39" t="str">
        <f>IF(AND(Include_study?="Yes",Sufficient_data="Yes"),IF('Publication Bias Analysis'!L$38="Left",'Publication Bias Analysis'!E:E-GW$10,GW$10-'Publication Bias Analysis'!E:E),"")</f>
        <v/>
      </c>
      <c r="GS118" s="39" t="str">
        <f t="shared" si="331"/>
        <v/>
      </c>
      <c r="GT11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8" s="176"/>
      <c r="HL118" s="69" t="str">
        <f t="shared" si="319"/>
        <v/>
      </c>
      <c r="HM118" s="74" t="str">
        <f>IF(AND(Include_study?="Yes",Sufficient_data="Yes"),Z_score-('Publication Bias Analysis'!P$3+'Publication Bias Analysis'!P$4*Inverse_standard_error),"")</f>
        <v/>
      </c>
      <c r="HO118" s="176"/>
      <c r="HP118" s="69" t="str">
        <f>IF(AND(Include_study?="Yes",Sufficient_data="Yes"),(GD:GD-SUMPRODUCT(Calculations!FT:FT,'Publication Bias Analysis'!E:E)/SUM(Calculations!FT:FT))/SQRT(Calculations!HQ:HQ),"")</f>
        <v/>
      </c>
      <c r="HQ118" s="69" t="str">
        <f>IF(AND(Include_study?="Yes",Sufficient_data="Yes"),GE:GE^2-1/SUM(Calculations!FT:FT),"")</f>
        <v/>
      </c>
      <c r="HR118" s="7" t="str">
        <f t="shared" si="441"/>
        <v/>
      </c>
      <c r="HS118" s="7" t="str">
        <f t="shared" si="442"/>
        <v/>
      </c>
      <c r="HT118" s="7" t="str">
        <f>IF(AND(Include_study?="Yes",Sufficient_data="Yes"),COUNTIFS(HR$2:HR117,"&lt;"&amp;HR118,HS$2:HS117,"&lt;"&amp;HS118)+COUNTIFS(HR119:HR$201,"&lt;"&amp;HR118,HS119:HS$201,"&lt;"&amp;HS118)+COUNTIFS(HR$2:HR117,"&gt;"&amp;HR118,HS$2:HS117,"&gt;"&amp;HS118)+COUNTIFS(HR119:HR$201,"&gt;"&amp;HR118,HS119:HS$201,"&gt;"&amp;HS118),"")</f>
        <v/>
      </c>
      <c r="HU118" s="104" t="str">
        <f>IF(AND(Include_study?="Yes",Sufficient_data="Yes"),COUNTIFS(HR$2:HR117,"&lt;"&amp;HR118,HS$2:HS117,"&gt;"&amp;HS118)+COUNTIFS(HR119:HR$201,"&lt;"&amp;HR118,HS119:HS$201,"&gt;"&amp;HS118)+COUNTIFS(HR$2:HR117,"&gt;"&amp;HR118,HS$2:HS117,"&lt;"&amp;HS118)+COUNTIFS(HR119:HR$201,"&gt;"&amp;HR118,HS119:HS$201,"&lt;"&amp;HS118),"")</f>
        <v/>
      </c>
      <c r="HW118" s="176"/>
      <c r="IB118" s="176"/>
      <c r="IC118" s="146" t="e">
        <f t="shared" si="414"/>
        <v>#N/A</v>
      </c>
      <c r="ID118" s="137" t="e">
        <f t="shared" si="415"/>
        <v>#N/A</v>
      </c>
      <c r="IE118" s="137" t="str">
        <f t="shared" si="416"/>
        <v/>
      </c>
      <c r="IF118" s="95" t="str">
        <f t="shared" si="417"/>
        <v/>
      </c>
      <c r="IK118" s="176"/>
      <c r="IL118" s="69" t="e">
        <f>IF(AND(Include_study?="Yes",Sufficient_data="Yes"),'Publication Bias Analysis'!AV:AV,NA())</f>
        <v>#N/A</v>
      </c>
      <c r="IM118" s="158" t="e">
        <f>IF(AND(Sufficient_data="Yes",Include_study?="Yes"),'Publication Bias Analysis'!AU:AU,NA())</f>
        <v>#N/A</v>
      </c>
      <c r="IN118" s="69" t="str">
        <f t="shared" si="418"/>
        <v/>
      </c>
      <c r="IO118" s="74" t="str">
        <f>IF(AND(Include_study?="Yes",Sufficient_data="Yes"),Z_score-('Publication Bias Analysis'!AY$30+'Publication Bias Analysis'!AY$31*Inverse_standard_error),"")</f>
        <v/>
      </c>
      <c r="IU118" s="176"/>
      <c r="IV118" s="7" t="str">
        <f>IF('Publication Bias Analysis'!BG:BG&lt;&gt;"",RANK('Publication Bias Analysis'!BG:BG,'Publication Bias Analysis'!BG:BG,1)+COUNTIF('Publication Bias Analysis'!BG$2:BG117,'Publication Bias Analysis'!BG118),"")</f>
        <v/>
      </c>
      <c r="IW118" s="124" t="str">
        <f t="shared" si="419"/>
        <v/>
      </c>
      <c r="IX118" s="125" t="e">
        <f>IF('Publication Bias Analysis'!BF118&lt;&gt;"",'Publication Bias Analysis'!BF118,NA())</f>
        <v>#N/A</v>
      </c>
      <c r="IY118" s="125" t="e">
        <f>IF('Publication Bias Analysis'!BG118&lt;&gt;"",'Publication Bias Analysis'!BG118,NA())</f>
        <v>#N/A</v>
      </c>
      <c r="IZ118" s="69" t="str">
        <f>IF(AND(Include_study?="Yes",Sufficient_data="Yes"),'Publication Bias Analysis'!BF:BF-AVERAGE('Publication Bias Analysis'!BF:BF),"")</f>
        <v/>
      </c>
      <c r="JA118" s="74" t="str">
        <f>IF(AND(Include_study?="Yes",Sufficient_data="Yes"),'Publication Bias Analysis'!BG:BG-('Publication Bias Analysis'!BJ$30+'Publication Bias Analysis'!BJ$31*'Publication Bias Analysis'!BF:BF),"")</f>
        <v/>
      </c>
      <c r="JG118" s="176"/>
      <c r="JH118" s="39" t="str">
        <f t="shared" si="420"/>
        <v/>
      </c>
      <c r="JI118" s="148" t="str">
        <f t="shared" si="332"/>
        <v/>
      </c>
      <c r="JJ118" s="74" t="str">
        <f t="shared" si="333"/>
        <v/>
      </c>
    </row>
    <row r="119" spans="1:270" x14ac:dyDescent="0.2">
      <c r="A119" s="56" t="str">
        <f t="shared" si="334"/>
        <v/>
      </c>
      <c r="B119" s="7" t="str">
        <f>IF(AND(Include_study?="Yes",Sufficient_data="Yes"),IF(Input!a_&lt;&gt;"",Input!a_,Input!n1_-Input!b_),"")</f>
        <v/>
      </c>
      <c r="C119" s="7" t="str">
        <f>IF(AND(Include_study?="Yes",Sufficient_data="Yes"),IF(Input!b_&lt;&gt;"",Input!b_,Input!n1_-Input!a_),"")</f>
        <v/>
      </c>
      <c r="D119" s="7" t="str">
        <f>IF(AND(Include_study?="Yes",Sufficient_data="Yes"),IF(Input!c_&lt;&gt;"",Input!c_,Input!n2_-Input!d_),"")</f>
        <v/>
      </c>
      <c r="E119" s="7" t="str">
        <f>IF(AND(Include_study?="Yes",Sufficient_data="Yes"),IF(Input!d_&lt;&gt;"",Input!d_,Input!n2_-Input!c_),"")</f>
        <v/>
      </c>
      <c r="F119" s="74" t="str">
        <f t="shared" si="335"/>
        <v/>
      </c>
      <c r="H119" s="196"/>
      <c r="I119" s="182"/>
      <c r="J119" s="146" t="str">
        <f t="shared" si="245"/>
        <v/>
      </c>
      <c r="K119" s="39" t="str">
        <f t="shared" si="336"/>
        <v/>
      </c>
      <c r="L119" s="39" t="str">
        <f t="shared" si="337"/>
        <v/>
      </c>
      <c r="M119" s="39" t="str">
        <f t="shared" si="338"/>
        <v/>
      </c>
      <c r="N119" s="74" t="str">
        <f t="shared" si="339"/>
        <v/>
      </c>
      <c r="P119" s="176"/>
      <c r="Q119" s="130" t="str">
        <f t="shared" si="340"/>
        <v/>
      </c>
      <c r="R119" s="39" t="str">
        <f t="shared" si="341"/>
        <v/>
      </c>
      <c r="S119" s="39" t="str">
        <f t="shared" si="342"/>
        <v/>
      </c>
      <c r="T119" s="74" t="str">
        <f t="shared" si="343"/>
        <v/>
      </c>
      <c r="V119" s="176"/>
      <c r="W119" s="130" t="str">
        <f t="shared" si="344"/>
        <v/>
      </c>
      <c r="X119" s="39" t="str">
        <f t="shared" si="345"/>
        <v/>
      </c>
      <c r="Y119" s="39" t="str">
        <f t="shared" si="346"/>
        <v/>
      </c>
      <c r="Z119" s="74" t="str">
        <f t="shared" si="347"/>
        <v/>
      </c>
      <c r="AB119" s="176"/>
      <c r="AC119" s="130" t="str">
        <f t="shared" si="348"/>
        <v/>
      </c>
      <c r="AD119" s="39" t="str">
        <f t="shared" si="349"/>
        <v/>
      </c>
      <c r="AE119" s="39" t="str">
        <f t="shared" si="350"/>
        <v/>
      </c>
      <c r="AF119" s="39" t="str">
        <f t="shared" si="351"/>
        <v/>
      </c>
      <c r="AG119" s="74" t="str">
        <f t="shared" si="352"/>
        <v/>
      </c>
      <c r="AI119" s="196"/>
      <c r="AJ11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19" s="136" t="str">
        <f>IF(AJ119&lt;&gt;"",IF(AJ119=0,COUNTIF(AJ$2:AJ118,0)+1,COUNTIF(AJ$2:AJ118,AJ119)+AJ119+COUNTIF(AJ:AJ,0)),"")</f>
        <v/>
      </c>
      <c r="AL119" s="136" t="str">
        <f t="shared" si="263"/>
        <v/>
      </c>
      <c r="AM119" s="155" t="str">
        <f>IF(AND(Include_study?="Yes",Sufficient_data="Yes",Input!Study_name&lt;&gt;""),Input!Study_name,"")</f>
        <v/>
      </c>
      <c r="AN119" s="136" t="str">
        <f t="shared" si="264"/>
        <v/>
      </c>
      <c r="AO119" s="19" t="str">
        <f t="shared" si="353"/>
        <v/>
      </c>
      <c r="AP119" s="158" t="str">
        <f t="shared" si="354"/>
        <v/>
      </c>
      <c r="AQ119" s="158" t="str">
        <f t="shared" si="355"/>
        <v/>
      </c>
      <c r="AR119" s="39" t="str">
        <f t="shared" si="356"/>
        <v/>
      </c>
      <c r="AS119" s="158" t="str">
        <f t="shared" si="357"/>
        <v/>
      </c>
      <c r="AT119" s="39" t="str">
        <f t="shared" si="358"/>
        <v/>
      </c>
      <c r="AU119" s="172" t="str">
        <f t="shared" si="359"/>
        <v/>
      </c>
      <c r="AV119" s="45"/>
      <c r="AW119" s="84" t="e">
        <f t="shared" si="360"/>
        <v>#N/A</v>
      </c>
      <c r="AX119" s="69" t="e">
        <f t="shared" si="361"/>
        <v>#N/A</v>
      </c>
      <c r="AY119" s="74" t="e">
        <f t="shared" si="362"/>
        <v>#N/A</v>
      </c>
      <c r="AZ119" s="45"/>
      <c r="BA119" s="45"/>
      <c r="BB119" s="45"/>
      <c r="BC119" s="45"/>
      <c r="BD119" s="196"/>
      <c r="BE119" s="182"/>
      <c r="BF119" s="69" t="str">
        <f t="shared" si="363"/>
        <v/>
      </c>
      <c r="BG119" s="69" t="str">
        <f t="shared" si="364"/>
        <v/>
      </c>
      <c r="BH119" s="69" t="str">
        <f t="shared" si="365"/>
        <v/>
      </c>
      <c r="BI119" s="39" t="str">
        <f t="shared" si="366"/>
        <v/>
      </c>
      <c r="BJ119" s="95" t="str">
        <f t="shared" si="367"/>
        <v/>
      </c>
      <c r="BO119" s="176"/>
      <c r="BP119" s="158" t="str">
        <f t="shared" si="368"/>
        <v/>
      </c>
      <c r="BQ119" s="158" t="str">
        <f t="shared" si="369"/>
        <v/>
      </c>
      <c r="BR119" s="158" t="str">
        <f t="shared" si="370"/>
        <v/>
      </c>
      <c r="BS119" s="158" t="str">
        <f>IF(AND(Sufficient_data="Yes",Include_study?="Yes"),IF(Add_0_5="Yes",(a_+d_+1)*(ab_+0.5)*(c_+0.5)/(Number_of_subjects+2)^2,(a_+d_)*b_*c_/Number_of_subjects^2),"")</f>
        <v/>
      </c>
      <c r="BT119" s="158" t="str">
        <f t="shared" si="371"/>
        <v/>
      </c>
      <c r="BU119" s="158" t="str">
        <f t="shared" si="372"/>
        <v/>
      </c>
      <c r="BV119" s="158" t="str">
        <f t="shared" si="373"/>
        <v/>
      </c>
      <c r="BW119" s="69" t="str">
        <f t="shared" si="374"/>
        <v/>
      </c>
      <c r="BX119" s="137" t="str">
        <f t="shared" si="375"/>
        <v/>
      </c>
      <c r="BY119" s="95" t="str">
        <f t="shared" si="376"/>
        <v/>
      </c>
      <c r="CD119" s="176"/>
      <c r="CE119" s="130" t="str">
        <f t="shared" si="377"/>
        <v/>
      </c>
      <c r="CF119" s="39" t="str">
        <f t="shared" si="378"/>
        <v/>
      </c>
      <c r="CG119" s="39" t="str">
        <f t="shared" si="379"/>
        <v/>
      </c>
      <c r="CH119" s="39" t="str">
        <f t="shared" si="380"/>
        <v/>
      </c>
      <c r="CI119" s="39" t="str">
        <f t="shared" si="381"/>
        <v/>
      </c>
      <c r="CJ119" s="39" t="str">
        <f t="shared" si="287"/>
        <v/>
      </c>
      <c r="CK119" s="95" t="str">
        <f t="shared" si="382"/>
        <v/>
      </c>
      <c r="CP119" s="176"/>
      <c r="CQ119" s="99" t="str">
        <f t="shared" si="383"/>
        <v/>
      </c>
      <c r="CX119" s="196"/>
      <c r="CY119" s="89" t="e">
        <f t="shared" si="384"/>
        <v>#N/A</v>
      </c>
      <c r="CZ119" s="136" t="str">
        <f t="shared" si="385"/>
        <v/>
      </c>
      <c r="DA119" s="140" t="str">
        <f t="shared" si="386"/>
        <v/>
      </c>
      <c r="DB119" s="39" t="str">
        <f t="shared" si="387"/>
        <v/>
      </c>
      <c r="DC119" s="39" t="str">
        <f t="shared" si="388"/>
        <v/>
      </c>
      <c r="DD119" s="39" t="str">
        <f t="shared" si="389"/>
        <v/>
      </c>
      <c r="DE119" s="39" t="str">
        <f t="shared" si="390"/>
        <v/>
      </c>
      <c r="DF119" s="141" t="str">
        <f t="shared" si="391"/>
        <v/>
      </c>
      <c r="DG119" s="39" t="str">
        <f t="shared" si="392"/>
        <v/>
      </c>
      <c r="DH119" s="39" t="str">
        <f t="shared" si="393"/>
        <v/>
      </c>
      <c r="DI119" s="39" t="str">
        <f t="shared" si="394"/>
        <v/>
      </c>
      <c r="DJ119" s="74" t="str">
        <f t="shared" si="395"/>
        <v/>
      </c>
      <c r="DK119" s="45"/>
      <c r="DL119" s="84" t="e">
        <f t="shared" si="423"/>
        <v>#N/A</v>
      </c>
      <c r="DM119" s="39" t="e">
        <f t="shared" si="396"/>
        <v>#N/A</v>
      </c>
      <c r="DN119" s="74" t="e">
        <f t="shared" si="397"/>
        <v>#N/A</v>
      </c>
      <c r="DO119" s="45"/>
      <c r="DP119" s="89" t="str">
        <f t="shared" si="326"/>
        <v/>
      </c>
      <c r="DQ119" s="26" t="str">
        <f>IF(AND(Sufficient_data="Yes",Subgroup&lt;&gt;""),IF(COUNTIFS(Input!J$2:J118,"="&amp;"Yes",Input!C$2:C118,"="&amp;"Yes",Input!K$2:K118,"="&amp;Subgroup)&gt;0,"",Subgroup),"")</f>
        <v/>
      </c>
      <c r="DR119" s="7" t="str">
        <f t="shared" si="327"/>
        <v/>
      </c>
      <c r="DS119" s="7" t="str">
        <f t="shared" si="398"/>
        <v/>
      </c>
      <c r="DT119" s="19" t="str">
        <f t="shared" si="399"/>
        <v/>
      </c>
      <c r="DU119" s="12" t="str">
        <f t="shared" si="424"/>
        <v/>
      </c>
      <c r="DV119" s="11" t="str">
        <f t="shared" si="425"/>
        <v/>
      </c>
      <c r="DW119" s="12" t="str">
        <f t="shared" si="426"/>
        <v/>
      </c>
      <c r="DX119" s="12" t="str">
        <f t="shared" si="400"/>
        <v/>
      </c>
      <c r="DY119" s="19" t="str">
        <f t="shared" si="427"/>
        <v/>
      </c>
      <c r="DZ119" s="12" t="str">
        <f t="shared" si="428"/>
        <v/>
      </c>
      <c r="EA119" s="19" t="str">
        <f t="shared" si="401"/>
        <v/>
      </c>
      <c r="EB119" s="7" t="str">
        <f t="shared" si="402"/>
        <v/>
      </c>
      <c r="EC119" s="19" t="str">
        <f t="shared" si="403"/>
        <v/>
      </c>
      <c r="ED119" s="19" t="str">
        <f t="shared" si="404"/>
        <v/>
      </c>
      <c r="EE119" s="19" t="str">
        <f t="shared" si="429"/>
        <v/>
      </c>
      <c r="EF119" s="19" t="str">
        <f t="shared" si="430"/>
        <v/>
      </c>
      <c r="EG119" s="19" t="str">
        <f t="shared" si="431"/>
        <v/>
      </c>
      <c r="EH119" s="19" t="str">
        <f t="shared" si="432"/>
        <v/>
      </c>
      <c r="EI119" s="19" t="str">
        <f t="shared" si="433"/>
        <v/>
      </c>
      <c r="EJ119" s="19" t="str">
        <f t="shared" si="405"/>
        <v/>
      </c>
      <c r="EK119" s="19" t="str">
        <f t="shared" si="406"/>
        <v/>
      </c>
      <c r="EL119" s="19" t="str">
        <f t="shared" si="434"/>
        <v/>
      </c>
      <c r="EM119" s="19" t="str">
        <f t="shared" si="435"/>
        <v/>
      </c>
      <c r="EN119" s="19" t="str">
        <f t="shared" si="436"/>
        <v/>
      </c>
      <c r="EO119" s="19" t="str">
        <f t="shared" si="437"/>
        <v/>
      </c>
      <c r="EP119" s="19" t="str">
        <f t="shared" si="438"/>
        <v/>
      </c>
      <c r="EQ119" s="19" t="e">
        <f t="shared" si="439"/>
        <v>#N/A</v>
      </c>
      <c r="ER119" s="11" t="str">
        <f t="shared" si="328"/>
        <v/>
      </c>
      <c r="ES119" s="19" t="str">
        <f t="shared" si="329"/>
        <v/>
      </c>
      <c r="ET119" s="156" t="str">
        <f t="shared" si="407"/>
        <v/>
      </c>
      <c r="EU119" s="39" t="str">
        <f t="shared" si="440"/>
        <v/>
      </c>
      <c r="EV119" s="74" t="str">
        <f t="shared" si="408"/>
        <v/>
      </c>
      <c r="FA119" s="196"/>
      <c r="FB119" s="84" t="e">
        <f>IF(AND(Include_study?="Yes",Sufficient_data="Yes",Moderator&lt;&gt;""),'Moderator Analysis'!E119,NA())</f>
        <v>#N/A</v>
      </c>
      <c r="FC119" s="39" t="e">
        <f>IF(AND(Include_study?="Yes",Sufficient_data="Yes",Moderator&lt;&gt;""),'Moderator Analysis'!F119,NA())</f>
        <v>#N/A</v>
      </c>
      <c r="FD119" s="39" t="str">
        <f t="shared" si="409"/>
        <v/>
      </c>
      <c r="FE119" s="39" t="str">
        <f t="shared" si="410"/>
        <v/>
      </c>
      <c r="FF119" s="39" t="str">
        <f>IF(AND(Include_study?="Yes",Sufficient_data="Yes",Moderator&lt;&gt;""),'Moderator Analysis'!F:F-FP$2,"")</f>
        <v/>
      </c>
      <c r="FG119" s="39" t="str">
        <f>IF(AND(Include_study?="Yes",Sufficient_data="Yes",Moderator&lt;&gt;""),'Moderator Analysis'!E:E-FP$3,"")</f>
        <v/>
      </c>
      <c r="FH119" s="74" t="str">
        <f>IF(AND(Include_study?="Yes",Sufficient_data="Yes",Moderator&lt;&gt;""),FE:FE*('Moderator Analysis'!F:F-FP$5-FP$4*'Moderator Analysis'!E:E)^2,"")</f>
        <v/>
      </c>
      <c r="FI119" s="128"/>
      <c r="FJ119" s="92" t="str">
        <f t="shared" si="411"/>
        <v/>
      </c>
      <c r="FK119" s="137" t="str">
        <f>IF(AND(Include_study?="Yes",Sufficient_data="Yes",Moderator&lt;&gt;""),'Moderator Analysis'!F:F-'Moderator Analysis'!J$37,"")</f>
        <v/>
      </c>
      <c r="FL119" s="137" t="str">
        <f>IF(AND(Include_study?="Yes",Sufficient_data="Yes",Moderator&lt;&gt;""),'Moderator Analysis'!E:E-SUMPRODUCT('Moderator Analysis'!E:E,FJ:FJ)/SUM(FJ:FJ),"")</f>
        <v/>
      </c>
      <c r="FM119" s="95" t="str">
        <f>IF(AND(Include_study?="Yes",Sufficient_data="Yes",Moderator&lt;&gt;""),FJ:FJ*('Moderator Analysis'!F:F-'Moderator Analysis'!J$29-'Moderator Analysis'!J$30*'Moderator Analysis'!E:E)^2,"")</f>
        <v/>
      </c>
      <c r="FR119" s="196"/>
      <c r="FS119" s="182"/>
      <c r="FT11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19" s="39" t="str">
        <f>IF(AND(Include_study?="Yes",Sufficient_data="Yes"),1/('Publication Bias Analysis'!F:F^2+IF(Additional_model="Fixed effect",0,Calculations!GH$12)),"")</f>
        <v/>
      </c>
      <c r="FV119" s="39" t="str">
        <f>IF(AND(Include_study?="Yes",Sufficient_data="Yes"),1/('Publication Bias Analysis'!F:F^2+IF(Additional_model="Fixed effect",0,'Publication Bias Analysis'!L$32)),"")</f>
        <v/>
      </c>
      <c r="FW119" s="39" t="str">
        <f>IF(AND(Include_study?="Yes",Sufficient_data="Yes"),'Publication Bias Analysis'!E:E-'Publication Bias Analysis'!I$37,"")</f>
        <v/>
      </c>
      <c r="FX119" s="39" t="str">
        <f>IF(AND(Include_study?="Yes",Sufficient_data="Yes"),IF(Additional_model="Fixed effect",1/'Publication Bias Analysis'!F:F,1/SQRT('Publication Bias Analysis'!F:F^2+GH$12)),"")</f>
        <v/>
      </c>
      <c r="FY11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19" s="136" t="str">
        <f t="shared" si="412"/>
        <v/>
      </c>
      <c r="GA119" s="144" t="str">
        <f>IF(AND(Include_study?="Yes",Sufficient_data="Yes"),FZ:FZ+IF(GL:GL&lt;0,-1,1)*COUNTIF(FZ$2:FZ118,FZ:FZ),"")</f>
        <v/>
      </c>
      <c r="GB119" s="144" t="str">
        <f>IF(AND(Include_study?="Yes",Sufficient_data="Yes"),RANK(GP:GP,GP:GP,1)*IF(GO:GO&lt;0,-1,1)+IF(GO:GO&lt;0,-1,1)*COUNTIF(FZ$2:FZ118,FZ:FZ),"")</f>
        <v/>
      </c>
      <c r="GC119" s="144" t="str">
        <f>IF(AND(Include_study?="Yes",Sufficient_data="Yes"),RANK(GS:GS,GS:GS,1)*IF(GR:GR&lt;0,-1,1)+IF(GR:GR&lt;0,-1,1)*COUNTIF(FZ$2:FZ118,FZ:FZ),"")</f>
        <v/>
      </c>
      <c r="GD119" s="39" t="e">
        <f>IF(AND(Include_study?="Yes",Sufficient_data="Yes"),'Publication Bias Analysis'!E119,NA())</f>
        <v>#N/A</v>
      </c>
      <c r="GE119" s="74" t="e">
        <f>IF(AND(Include_study?="Yes",Sufficient_data="Yes"),'Publication Bias Analysis'!F119,NA())</f>
        <v>#N/A</v>
      </c>
      <c r="GK119" s="176"/>
      <c r="GL11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19" s="39" t="str">
        <f t="shared" si="413"/>
        <v/>
      </c>
      <c r="GN11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19" s="39" t="str">
        <f>IF(AND(Include_study?="Yes",Sufficient_data="Yes"),IF('Publication Bias Analysis'!L$38="Left",'Publication Bias Analysis'!E:E-GW$3,GW$3-'Publication Bias Analysis'!E:E),"")</f>
        <v/>
      </c>
      <c r="GP119" s="39" t="str">
        <f t="shared" si="330"/>
        <v/>
      </c>
      <c r="GQ11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19" s="39" t="str">
        <f>IF(AND(Include_study?="Yes",Sufficient_data="Yes"),IF('Publication Bias Analysis'!L$38="Left",'Publication Bias Analysis'!E:E-GW$10,GW$10-'Publication Bias Analysis'!E:E),"")</f>
        <v/>
      </c>
      <c r="GS119" s="39" t="str">
        <f t="shared" si="331"/>
        <v/>
      </c>
      <c r="GT11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19" s="176"/>
      <c r="HL119" s="69" t="str">
        <f t="shared" si="319"/>
        <v/>
      </c>
      <c r="HM119" s="74" t="str">
        <f>IF(AND(Include_study?="Yes",Sufficient_data="Yes"),Z_score-('Publication Bias Analysis'!P$3+'Publication Bias Analysis'!P$4*Inverse_standard_error),"")</f>
        <v/>
      </c>
      <c r="HO119" s="176"/>
      <c r="HP119" s="69" t="str">
        <f>IF(AND(Include_study?="Yes",Sufficient_data="Yes"),(GD:GD-SUMPRODUCT(Calculations!FT:FT,'Publication Bias Analysis'!E:E)/SUM(Calculations!FT:FT))/SQRT(Calculations!HQ:HQ),"")</f>
        <v/>
      </c>
      <c r="HQ119" s="69" t="str">
        <f>IF(AND(Include_study?="Yes",Sufficient_data="Yes"),GE:GE^2-1/SUM(Calculations!FT:FT),"")</f>
        <v/>
      </c>
      <c r="HR119" s="7" t="str">
        <f t="shared" si="441"/>
        <v/>
      </c>
      <c r="HS119" s="7" t="str">
        <f t="shared" si="442"/>
        <v/>
      </c>
      <c r="HT119" s="7" t="str">
        <f>IF(AND(Include_study?="Yes",Sufficient_data="Yes"),COUNTIFS(HR$2:HR118,"&lt;"&amp;HR119,HS$2:HS118,"&lt;"&amp;HS119)+COUNTIFS(HR120:HR$201,"&lt;"&amp;HR119,HS120:HS$201,"&lt;"&amp;HS119)+COUNTIFS(HR$2:HR118,"&gt;"&amp;HR119,HS$2:HS118,"&gt;"&amp;HS119)+COUNTIFS(HR120:HR$201,"&gt;"&amp;HR119,HS120:HS$201,"&gt;"&amp;HS119),"")</f>
        <v/>
      </c>
      <c r="HU119" s="104" t="str">
        <f>IF(AND(Include_study?="Yes",Sufficient_data="Yes"),COUNTIFS(HR$2:HR118,"&lt;"&amp;HR119,HS$2:HS118,"&gt;"&amp;HS119)+COUNTIFS(HR120:HR$201,"&lt;"&amp;HR119,HS120:HS$201,"&gt;"&amp;HS119)+COUNTIFS(HR$2:HR118,"&gt;"&amp;HR119,HS$2:HS118,"&lt;"&amp;HS119)+COUNTIFS(HR120:HR$201,"&gt;"&amp;HR119,HS120:HS$201,"&lt;"&amp;HS119),"")</f>
        <v/>
      </c>
      <c r="HW119" s="176"/>
      <c r="IB119" s="176"/>
      <c r="IC119" s="146" t="e">
        <f t="shared" si="414"/>
        <v>#N/A</v>
      </c>
      <c r="ID119" s="137" t="e">
        <f t="shared" si="415"/>
        <v>#N/A</v>
      </c>
      <c r="IE119" s="137" t="str">
        <f t="shared" si="416"/>
        <v/>
      </c>
      <c r="IF119" s="95" t="str">
        <f t="shared" si="417"/>
        <v/>
      </c>
      <c r="IK119" s="176"/>
      <c r="IL119" s="69" t="e">
        <f>IF(AND(Include_study?="Yes",Sufficient_data="Yes"),'Publication Bias Analysis'!AV:AV,NA())</f>
        <v>#N/A</v>
      </c>
      <c r="IM119" s="158" t="e">
        <f>IF(AND(Sufficient_data="Yes",Include_study?="Yes"),'Publication Bias Analysis'!AU:AU,NA())</f>
        <v>#N/A</v>
      </c>
      <c r="IN119" s="69" t="str">
        <f t="shared" si="418"/>
        <v/>
      </c>
      <c r="IO119" s="74" t="str">
        <f>IF(AND(Include_study?="Yes",Sufficient_data="Yes"),Z_score-('Publication Bias Analysis'!AY$30+'Publication Bias Analysis'!AY$31*Inverse_standard_error),"")</f>
        <v/>
      </c>
      <c r="IU119" s="176"/>
      <c r="IV119" s="7" t="str">
        <f>IF('Publication Bias Analysis'!BG:BG&lt;&gt;"",RANK('Publication Bias Analysis'!BG:BG,'Publication Bias Analysis'!BG:BG,1)+COUNTIF('Publication Bias Analysis'!BG$2:BG118,'Publication Bias Analysis'!BG119),"")</f>
        <v/>
      </c>
      <c r="IW119" s="124" t="str">
        <f t="shared" si="419"/>
        <v/>
      </c>
      <c r="IX119" s="125" t="e">
        <f>IF('Publication Bias Analysis'!BF119&lt;&gt;"",'Publication Bias Analysis'!BF119,NA())</f>
        <v>#N/A</v>
      </c>
      <c r="IY119" s="125" t="e">
        <f>IF('Publication Bias Analysis'!BG119&lt;&gt;"",'Publication Bias Analysis'!BG119,NA())</f>
        <v>#N/A</v>
      </c>
      <c r="IZ119" s="69" t="str">
        <f>IF(AND(Include_study?="Yes",Sufficient_data="Yes"),'Publication Bias Analysis'!BF:BF-AVERAGE('Publication Bias Analysis'!BF:BF),"")</f>
        <v/>
      </c>
      <c r="JA119" s="74" t="str">
        <f>IF(AND(Include_study?="Yes",Sufficient_data="Yes"),'Publication Bias Analysis'!BG:BG-('Publication Bias Analysis'!BJ$30+'Publication Bias Analysis'!BJ$31*'Publication Bias Analysis'!BF:BF),"")</f>
        <v/>
      </c>
      <c r="JG119" s="176"/>
      <c r="JH119" s="39" t="str">
        <f t="shared" si="420"/>
        <v/>
      </c>
      <c r="JI119" s="148" t="str">
        <f t="shared" si="332"/>
        <v/>
      </c>
      <c r="JJ119" s="74" t="str">
        <f t="shared" si="333"/>
        <v/>
      </c>
    </row>
    <row r="120" spans="1:270" x14ac:dyDescent="0.2">
      <c r="A120" s="56" t="str">
        <f t="shared" si="334"/>
        <v/>
      </c>
      <c r="B120" s="7" t="str">
        <f>IF(AND(Include_study?="Yes",Sufficient_data="Yes"),IF(Input!a_&lt;&gt;"",Input!a_,Input!n1_-Input!b_),"")</f>
        <v/>
      </c>
      <c r="C120" s="7" t="str">
        <f>IF(AND(Include_study?="Yes",Sufficient_data="Yes"),IF(Input!b_&lt;&gt;"",Input!b_,Input!n1_-Input!a_),"")</f>
        <v/>
      </c>
      <c r="D120" s="7" t="str">
        <f>IF(AND(Include_study?="Yes",Sufficient_data="Yes"),IF(Input!c_&lt;&gt;"",Input!c_,Input!n2_-Input!d_),"")</f>
        <v/>
      </c>
      <c r="E120" s="7" t="str">
        <f>IF(AND(Include_study?="Yes",Sufficient_data="Yes"),IF(Input!d_&lt;&gt;"",Input!d_,Input!n2_-Input!c_),"")</f>
        <v/>
      </c>
      <c r="F120" s="74" t="str">
        <f t="shared" si="335"/>
        <v/>
      </c>
      <c r="H120" s="196"/>
      <c r="I120" s="182"/>
      <c r="J120" s="146" t="str">
        <f t="shared" si="245"/>
        <v/>
      </c>
      <c r="K120" s="39" t="str">
        <f t="shared" si="336"/>
        <v/>
      </c>
      <c r="L120" s="39" t="str">
        <f t="shared" si="337"/>
        <v/>
      </c>
      <c r="M120" s="39" t="str">
        <f t="shared" si="338"/>
        <v/>
      </c>
      <c r="N120" s="74" t="str">
        <f t="shared" si="339"/>
        <v/>
      </c>
      <c r="P120" s="176"/>
      <c r="Q120" s="130" t="str">
        <f t="shared" si="340"/>
        <v/>
      </c>
      <c r="R120" s="39" t="str">
        <f t="shared" si="341"/>
        <v/>
      </c>
      <c r="S120" s="39" t="str">
        <f t="shared" si="342"/>
        <v/>
      </c>
      <c r="T120" s="74" t="str">
        <f t="shared" si="343"/>
        <v/>
      </c>
      <c r="V120" s="176"/>
      <c r="W120" s="130" t="str">
        <f t="shared" si="344"/>
        <v/>
      </c>
      <c r="X120" s="39" t="str">
        <f t="shared" si="345"/>
        <v/>
      </c>
      <c r="Y120" s="39" t="str">
        <f t="shared" si="346"/>
        <v/>
      </c>
      <c r="Z120" s="74" t="str">
        <f t="shared" si="347"/>
        <v/>
      </c>
      <c r="AB120" s="176"/>
      <c r="AC120" s="130" t="str">
        <f t="shared" si="348"/>
        <v/>
      </c>
      <c r="AD120" s="39" t="str">
        <f t="shared" si="349"/>
        <v/>
      </c>
      <c r="AE120" s="39" t="str">
        <f t="shared" si="350"/>
        <v/>
      </c>
      <c r="AF120" s="39" t="str">
        <f t="shared" si="351"/>
        <v/>
      </c>
      <c r="AG120" s="74" t="str">
        <f t="shared" si="352"/>
        <v/>
      </c>
      <c r="AI120" s="196"/>
      <c r="AJ12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0" s="136" t="str">
        <f>IF(AJ120&lt;&gt;"",IF(AJ120=0,COUNTIF(AJ$2:AJ119,0)+1,COUNTIF(AJ$2:AJ119,AJ120)+AJ120+COUNTIF(AJ:AJ,0)),"")</f>
        <v/>
      </c>
      <c r="AL120" s="136" t="str">
        <f t="shared" si="263"/>
        <v/>
      </c>
      <c r="AM120" s="155" t="str">
        <f>IF(AND(Include_study?="Yes",Sufficient_data="Yes",Input!Study_name&lt;&gt;""),Input!Study_name,"")</f>
        <v/>
      </c>
      <c r="AN120" s="136" t="str">
        <f t="shared" si="264"/>
        <v/>
      </c>
      <c r="AO120" s="19" t="str">
        <f t="shared" si="353"/>
        <v/>
      </c>
      <c r="AP120" s="158" t="str">
        <f t="shared" si="354"/>
        <v/>
      </c>
      <c r="AQ120" s="158" t="str">
        <f t="shared" si="355"/>
        <v/>
      </c>
      <c r="AR120" s="39" t="str">
        <f t="shared" si="356"/>
        <v/>
      </c>
      <c r="AS120" s="158" t="str">
        <f t="shared" si="357"/>
        <v/>
      </c>
      <c r="AT120" s="39" t="str">
        <f t="shared" si="358"/>
        <v/>
      </c>
      <c r="AU120" s="172" t="str">
        <f t="shared" si="359"/>
        <v/>
      </c>
      <c r="AV120" s="45"/>
      <c r="AW120" s="84" t="e">
        <f t="shared" si="360"/>
        <v>#N/A</v>
      </c>
      <c r="AX120" s="69" t="e">
        <f t="shared" si="361"/>
        <v>#N/A</v>
      </c>
      <c r="AY120" s="74" t="e">
        <f t="shared" si="362"/>
        <v>#N/A</v>
      </c>
      <c r="AZ120" s="45"/>
      <c r="BA120" s="45"/>
      <c r="BB120" s="45"/>
      <c r="BC120" s="45"/>
      <c r="BD120" s="196"/>
      <c r="BE120" s="182"/>
      <c r="BF120" s="69" t="str">
        <f t="shared" si="363"/>
        <v/>
      </c>
      <c r="BG120" s="69" t="str">
        <f t="shared" si="364"/>
        <v/>
      </c>
      <c r="BH120" s="69" t="str">
        <f t="shared" si="365"/>
        <v/>
      </c>
      <c r="BI120" s="39" t="str">
        <f t="shared" si="366"/>
        <v/>
      </c>
      <c r="BJ120" s="95" t="str">
        <f t="shared" si="367"/>
        <v/>
      </c>
      <c r="BO120" s="176"/>
      <c r="BP120" s="158" t="str">
        <f t="shared" si="368"/>
        <v/>
      </c>
      <c r="BQ120" s="158" t="str">
        <f t="shared" si="369"/>
        <v/>
      </c>
      <c r="BR120" s="158" t="str">
        <f t="shared" si="370"/>
        <v/>
      </c>
      <c r="BS120" s="158" t="str">
        <f>IF(AND(Sufficient_data="Yes",Include_study?="Yes"),IF(Add_0_5="Yes",(a_+d_+1)*(ab_+0.5)*(c_+0.5)/(Number_of_subjects+2)^2,(a_+d_)*b_*c_/Number_of_subjects^2),"")</f>
        <v/>
      </c>
      <c r="BT120" s="158" t="str">
        <f t="shared" si="371"/>
        <v/>
      </c>
      <c r="BU120" s="158" t="str">
        <f t="shared" si="372"/>
        <v/>
      </c>
      <c r="BV120" s="158" t="str">
        <f t="shared" si="373"/>
        <v/>
      </c>
      <c r="BW120" s="69" t="str">
        <f t="shared" si="374"/>
        <v/>
      </c>
      <c r="BX120" s="137" t="str">
        <f t="shared" si="375"/>
        <v/>
      </c>
      <c r="BY120" s="95" t="str">
        <f t="shared" si="376"/>
        <v/>
      </c>
      <c r="CD120" s="176"/>
      <c r="CE120" s="130" t="str">
        <f t="shared" si="377"/>
        <v/>
      </c>
      <c r="CF120" s="39" t="str">
        <f t="shared" si="378"/>
        <v/>
      </c>
      <c r="CG120" s="39" t="str">
        <f t="shared" si="379"/>
        <v/>
      </c>
      <c r="CH120" s="39" t="str">
        <f t="shared" si="380"/>
        <v/>
      </c>
      <c r="CI120" s="39" t="str">
        <f t="shared" si="381"/>
        <v/>
      </c>
      <c r="CJ120" s="39" t="str">
        <f t="shared" si="287"/>
        <v/>
      </c>
      <c r="CK120" s="95" t="str">
        <f t="shared" si="382"/>
        <v/>
      </c>
      <c r="CP120" s="176"/>
      <c r="CQ120" s="99" t="str">
        <f t="shared" si="383"/>
        <v/>
      </c>
      <c r="CX120" s="196"/>
      <c r="CY120" s="89" t="e">
        <f t="shared" si="384"/>
        <v>#N/A</v>
      </c>
      <c r="CZ120" s="136" t="str">
        <f t="shared" si="385"/>
        <v/>
      </c>
      <c r="DA120" s="140" t="str">
        <f t="shared" si="386"/>
        <v/>
      </c>
      <c r="DB120" s="39" t="str">
        <f t="shared" si="387"/>
        <v/>
      </c>
      <c r="DC120" s="39" t="str">
        <f t="shared" si="388"/>
        <v/>
      </c>
      <c r="DD120" s="39" t="str">
        <f t="shared" si="389"/>
        <v/>
      </c>
      <c r="DE120" s="39" t="str">
        <f t="shared" si="390"/>
        <v/>
      </c>
      <c r="DF120" s="141" t="str">
        <f t="shared" si="391"/>
        <v/>
      </c>
      <c r="DG120" s="39" t="str">
        <f t="shared" si="392"/>
        <v/>
      </c>
      <c r="DH120" s="39" t="str">
        <f t="shared" si="393"/>
        <v/>
      </c>
      <c r="DI120" s="39" t="str">
        <f t="shared" si="394"/>
        <v/>
      </c>
      <c r="DJ120" s="74" t="str">
        <f t="shared" si="395"/>
        <v/>
      </c>
      <c r="DK120" s="45"/>
      <c r="DL120" s="84" t="e">
        <f t="shared" si="423"/>
        <v>#N/A</v>
      </c>
      <c r="DM120" s="39" t="e">
        <f t="shared" si="396"/>
        <v>#N/A</v>
      </c>
      <c r="DN120" s="74" t="e">
        <f t="shared" si="397"/>
        <v>#N/A</v>
      </c>
      <c r="DO120" s="45"/>
      <c r="DP120" s="89" t="str">
        <f t="shared" si="326"/>
        <v/>
      </c>
      <c r="DQ120" s="26" t="str">
        <f>IF(AND(Sufficient_data="Yes",Subgroup&lt;&gt;""),IF(COUNTIFS(Input!J$2:J119,"="&amp;"Yes",Input!C$2:C119,"="&amp;"Yes",Input!K$2:K119,"="&amp;Subgroup)&gt;0,"",Subgroup),"")</f>
        <v/>
      </c>
      <c r="DR120" s="7" t="str">
        <f t="shared" si="327"/>
        <v/>
      </c>
      <c r="DS120" s="7" t="str">
        <f t="shared" si="398"/>
        <v/>
      </c>
      <c r="DT120" s="19" t="str">
        <f t="shared" si="399"/>
        <v/>
      </c>
      <c r="DU120" s="12" t="str">
        <f t="shared" si="424"/>
        <v/>
      </c>
      <c r="DV120" s="11" t="str">
        <f t="shared" si="425"/>
        <v/>
      </c>
      <c r="DW120" s="12" t="str">
        <f t="shared" si="426"/>
        <v/>
      </c>
      <c r="DX120" s="12" t="str">
        <f t="shared" si="400"/>
        <v/>
      </c>
      <c r="DY120" s="19" t="str">
        <f t="shared" si="427"/>
        <v/>
      </c>
      <c r="DZ120" s="12" t="str">
        <f t="shared" si="428"/>
        <v/>
      </c>
      <c r="EA120" s="19" t="str">
        <f t="shared" si="401"/>
        <v/>
      </c>
      <c r="EB120" s="7" t="str">
        <f t="shared" si="402"/>
        <v/>
      </c>
      <c r="EC120" s="19" t="str">
        <f t="shared" si="403"/>
        <v/>
      </c>
      <c r="ED120" s="19" t="str">
        <f t="shared" si="404"/>
        <v/>
      </c>
      <c r="EE120" s="19" t="str">
        <f t="shared" si="429"/>
        <v/>
      </c>
      <c r="EF120" s="19" t="str">
        <f t="shared" si="430"/>
        <v/>
      </c>
      <c r="EG120" s="19" t="str">
        <f t="shared" si="431"/>
        <v/>
      </c>
      <c r="EH120" s="19" t="str">
        <f t="shared" si="432"/>
        <v/>
      </c>
      <c r="EI120" s="19" t="str">
        <f t="shared" si="433"/>
        <v/>
      </c>
      <c r="EJ120" s="19" t="str">
        <f t="shared" si="405"/>
        <v/>
      </c>
      <c r="EK120" s="19" t="str">
        <f t="shared" si="406"/>
        <v/>
      </c>
      <c r="EL120" s="19" t="str">
        <f t="shared" si="434"/>
        <v/>
      </c>
      <c r="EM120" s="19" t="str">
        <f t="shared" si="435"/>
        <v/>
      </c>
      <c r="EN120" s="19" t="str">
        <f t="shared" si="436"/>
        <v/>
      </c>
      <c r="EO120" s="19" t="str">
        <f t="shared" si="437"/>
        <v/>
      </c>
      <c r="EP120" s="19" t="str">
        <f t="shared" si="438"/>
        <v/>
      </c>
      <c r="EQ120" s="19" t="e">
        <f t="shared" si="439"/>
        <v>#N/A</v>
      </c>
      <c r="ER120" s="11" t="str">
        <f t="shared" si="328"/>
        <v/>
      </c>
      <c r="ES120" s="19" t="str">
        <f t="shared" si="329"/>
        <v/>
      </c>
      <c r="ET120" s="156" t="str">
        <f t="shared" si="407"/>
        <v/>
      </c>
      <c r="EU120" s="39" t="str">
        <f t="shared" si="440"/>
        <v/>
      </c>
      <c r="EV120" s="74" t="str">
        <f t="shared" si="408"/>
        <v/>
      </c>
      <c r="FA120" s="196"/>
      <c r="FB120" s="84" t="e">
        <f>IF(AND(Include_study?="Yes",Sufficient_data="Yes",Moderator&lt;&gt;""),'Moderator Analysis'!E120,NA())</f>
        <v>#N/A</v>
      </c>
      <c r="FC120" s="39" t="e">
        <f>IF(AND(Include_study?="Yes",Sufficient_data="Yes",Moderator&lt;&gt;""),'Moderator Analysis'!F120,NA())</f>
        <v>#N/A</v>
      </c>
      <c r="FD120" s="39" t="str">
        <f t="shared" si="409"/>
        <v/>
      </c>
      <c r="FE120" s="39" t="str">
        <f t="shared" si="410"/>
        <v/>
      </c>
      <c r="FF120" s="39" t="str">
        <f>IF(AND(Include_study?="Yes",Sufficient_data="Yes",Moderator&lt;&gt;""),'Moderator Analysis'!F:F-FP$2,"")</f>
        <v/>
      </c>
      <c r="FG120" s="39" t="str">
        <f>IF(AND(Include_study?="Yes",Sufficient_data="Yes",Moderator&lt;&gt;""),'Moderator Analysis'!E:E-FP$3,"")</f>
        <v/>
      </c>
      <c r="FH120" s="74" t="str">
        <f>IF(AND(Include_study?="Yes",Sufficient_data="Yes",Moderator&lt;&gt;""),FE:FE*('Moderator Analysis'!F:F-FP$5-FP$4*'Moderator Analysis'!E:E)^2,"")</f>
        <v/>
      </c>
      <c r="FI120" s="128"/>
      <c r="FJ120" s="92" t="str">
        <f t="shared" si="411"/>
        <v/>
      </c>
      <c r="FK120" s="137" t="str">
        <f>IF(AND(Include_study?="Yes",Sufficient_data="Yes",Moderator&lt;&gt;""),'Moderator Analysis'!F:F-'Moderator Analysis'!J$37,"")</f>
        <v/>
      </c>
      <c r="FL120" s="137" t="str">
        <f>IF(AND(Include_study?="Yes",Sufficient_data="Yes",Moderator&lt;&gt;""),'Moderator Analysis'!E:E-SUMPRODUCT('Moderator Analysis'!E:E,FJ:FJ)/SUM(FJ:FJ),"")</f>
        <v/>
      </c>
      <c r="FM120" s="95" t="str">
        <f>IF(AND(Include_study?="Yes",Sufficient_data="Yes",Moderator&lt;&gt;""),FJ:FJ*('Moderator Analysis'!F:F-'Moderator Analysis'!J$29-'Moderator Analysis'!J$30*'Moderator Analysis'!E:E)^2,"")</f>
        <v/>
      </c>
      <c r="FR120" s="196"/>
      <c r="FS120" s="182"/>
      <c r="FT12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0" s="39" t="str">
        <f>IF(AND(Include_study?="Yes",Sufficient_data="Yes"),1/('Publication Bias Analysis'!F:F^2+IF(Additional_model="Fixed effect",0,Calculations!GH$12)),"")</f>
        <v/>
      </c>
      <c r="FV120" s="39" t="str">
        <f>IF(AND(Include_study?="Yes",Sufficient_data="Yes"),1/('Publication Bias Analysis'!F:F^2+IF(Additional_model="Fixed effect",0,'Publication Bias Analysis'!L$32)),"")</f>
        <v/>
      </c>
      <c r="FW120" s="39" t="str">
        <f>IF(AND(Include_study?="Yes",Sufficient_data="Yes"),'Publication Bias Analysis'!E:E-'Publication Bias Analysis'!I$37,"")</f>
        <v/>
      </c>
      <c r="FX120" s="39" t="str">
        <f>IF(AND(Include_study?="Yes",Sufficient_data="Yes"),IF(Additional_model="Fixed effect",1/'Publication Bias Analysis'!F:F,1/SQRT('Publication Bias Analysis'!F:F^2+GH$12)),"")</f>
        <v/>
      </c>
      <c r="FY12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0" s="136" t="str">
        <f t="shared" si="412"/>
        <v/>
      </c>
      <c r="GA120" s="144" t="str">
        <f>IF(AND(Include_study?="Yes",Sufficient_data="Yes"),FZ:FZ+IF(GL:GL&lt;0,-1,1)*COUNTIF(FZ$2:FZ119,FZ:FZ),"")</f>
        <v/>
      </c>
      <c r="GB120" s="144" t="str">
        <f>IF(AND(Include_study?="Yes",Sufficient_data="Yes"),RANK(GP:GP,GP:GP,1)*IF(GO:GO&lt;0,-1,1)+IF(GO:GO&lt;0,-1,1)*COUNTIF(FZ$2:FZ119,FZ:FZ),"")</f>
        <v/>
      </c>
      <c r="GC120" s="144" t="str">
        <f>IF(AND(Include_study?="Yes",Sufficient_data="Yes"),RANK(GS:GS,GS:GS,1)*IF(GR:GR&lt;0,-1,1)+IF(GR:GR&lt;0,-1,1)*COUNTIF(FZ$2:FZ119,FZ:FZ),"")</f>
        <v/>
      </c>
      <c r="GD120" s="39" t="e">
        <f>IF(AND(Include_study?="Yes",Sufficient_data="Yes"),'Publication Bias Analysis'!E120,NA())</f>
        <v>#N/A</v>
      </c>
      <c r="GE120" s="74" t="e">
        <f>IF(AND(Include_study?="Yes",Sufficient_data="Yes"),'Publication Bias Analysis'!F120,NA())</f>
        <v>#N/A</v>
      </c>
      <c r="GK120" s="176"/>
      <c r="GL12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0" s="39" t="str">
        <f t="shared" si="413"/>
        <v/>
      </c>
      <c r="GN12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0" s="39" t="str">
        <f>IF(AND(Include_study?="Yes",Sufficient_data="Yes"),IF('Publication Bias Analysis'!L$38="Left",'Publication Bias Analysis'!E:E-GW$3,GW$3-'Publication Bias Analysis'!E:E),"")</f>
        <v/>
      </c>
      <c r="GP120" s="39" t="str">
        <f t="shared" si="330"/>
        <v/>
      </c>
      <c r="GQ12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0" s="39" t="str">
        <f>IF(AND(Include_study?="Yes",Sufficient_data="Yes"),IF('Publication Bias Analysis'!L$38="Left",'Publication Bias Analysis'!E:E-GW$10,GW$10-'Publication Bias Analysis'!E:E),"")</f>
        <v/>
      </c>
      <c r="GS120" s="39" t="str">
        <f t="shared" si="331"/>
        <v/>
      </c>
      <c r="GT12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0" s="176"/>
      <c r="HL120" s="69" t="str">
        <f t="shared" si="319"/>
        <v/>
      </c>
      <c r="HM120" s="74" t="str">
        <f>IF(AND(Include_study?="Yes",Sufficient_data="Yes"),Z_score-('Publication Bias Analysis'!P$3+'Publication Bias Analysis'!P$4*Inverse_standard_error),"")</f>
        <v/>
      </c>
      <c r="HO120" s="176"/>
      <c r="HP120" s="69" t="str">
        <f>IF(AND(Include_study?="Yes",Sufficient_data="Yes"),(GD:GD-SUMPRODUCT(Calculations!FT:FT,'Publication Bias Analysis'!E:E)/SUM(Calculations!FT:FT))/SQRT(Calculations!HQ:HQ),"")</f>
        <v/>
      </c>
      <c r="HQ120" s="69" t="str">
        <f>IF(AND(Include_study?="Yes",Sufficient_data="Yes"),GE:GE^2-1/SUM(Calculations!FT:FT),"")</f>
        <v/>
      </c>
      <c r="HR120" s="7" t="str">
        <f t="shared" si="441"/>
        <v/>
      </c>
      <c r="HS120" s="7" t="str">
        <f t="shared" si="442"/>
        <v/>
      </c>
      <c r="HT120" s="7" t="str">
        <f>IF(AND(Include_study?="Yes",Sufficient_data="Yes"),COUNTIFS(HR$2:HR119,"&lt;"&amp;HR120,HS$2:HS119,"&lt;"&amp;HS120)+COUNTIFS(HR121:HR$201,"&lt;"&amp;HR120,HS121:HS$201,"&lt;"&amp;HS120)+COUNTIFS(HR$2:HR119,"&gt;"&amp;HR120,HS$2:HS119,"&gt;"&amp;HS120)+COUNTIFS(HR121:HR$201,"&gt;"&amp;HR120,HS121:HS$201,"&gt;"&amp;HS120),"")</f>
        <v/>
      </c>
      <c r="HU120" s="104" t="str">
        <f>IF(AND(Include_study?="Yes",Sufficient_data="Yes"),COUNTIFS(HR$2:HR119,"&lt;"&amp;HR120,HS$2:HS119,"&gt;"&amp;HS120)+COUNTIFS(HR121:HR$201,"&lt;"&amp;HR120,HS121:HS$201,"&gt;"&amp;HS120)+COUNTIFS(HR$2:HR119,"&gt;"&amp;HR120,HS$2:HS119,"&lt;"&amp;HS120)+COUNTIFS(HR121:HR$201,"&gt;"&amp;HR120,HS121:HS$201,"&lt;"&amp;HS120),"")</f>
        <v/>
      </c>
      <c r="HW120" s="176"/>
      <c r="IB120" s="176"/>
      <c r="IC120" s="146" t="e">
        <f t="shared" si="414"/>
        <v>#N/A</v>
      </c>
      <c r="ID120" s="137" t="e">
        <f t="shared" si="415"/>
        <v>#N/A</v>
      </c>
      <c r="IE120" s="137" t="str">
        <f t="shared" si="416"/>
        <v/>
      </c>
      <c r="IF120" s="95" t="str">
        <f t="shared" si="417"/>
        <v/>
      </c>
      <c r="IK120" s="176"/>
      <c r="IL120" s="69" t="e">
        <f>IF(AND(Include_study?="Yes",Sufficient_data="Yes"),'Publication Bias Analysis'!AV:AV,NA())</f>
        <v>#N/A</v>
      </c>
      <c r="IM120" s="158" t="e">
        <f>IF(AND(Sufficient_data="Yes",Include_study?="Yes"),'Publication Bias Analysis'!AU:AU,NA())</f>
        <v>#N/A</v>
      </c>
      <c r="IN120" s="69" t="str">
        <f t="shared" si="418"/>
        <v/>
      </c>
      <c r="IO120" s="74" t="str">
        <f>IF(AND(Include_study?="Yes",Sufficient_data="Yes"),Z_score-('Publication Bias Analysis'!AY$30+'Publication Bias Analysis'!AY$31*Inverse_standard_error),"")</f>
        <v/>
      </c>
      <c r="IU120" s="176"/>
      <c r="IV120" s="7" t="str">
        <f>IF('Publication Bias Analysis'!BG:BG&lt;&gt;"",RANK('Publication Bias Analysis'!BG:BG,'Publication Bias Analysis'!BG:BG,1)+COUNTIF('Publication Bias Analysis'!BG$2:BG119,'Publication Bias Analysis'!BG120),"")</f>
        <v/>
      </c>
      <c r="IW120" s="124" t="str">
        <f t="shared" si="419"/>
        <v/>
      </c>
      <c r="IX120" s="125" t="e">
        <f>IF('Publication Bias Analysis'!BF120&lt;&gt;"",'Publication Bias Analysis'!BF120,NA())</f>
        <v>#N/A</v>
      </c>
      <c r="IY120" s="125" t="e">
        <f>IF('Publication Bias Analysis'!BG120&lt;&gt;"",'Publication Bias Analysis'!BG120,NA())</f>
        <v>#N/A</v>
      </c>
      <c r="IZ120" s="69" t="str">
        <f>IF(AND(Include_study?="Yes",Sufficient_data="Yes"),'Publication Bias Analysis'!BF:BF-AVERAGE('Publication Bias Analysis'!BF:BF),"")</f>
        <v/>
      </c>
      <c r="JA120" s="74" t="str">
        <f>IF(AND(Include_study?="Yes",Sufficient_data="Yes"),'Publication Bias Analysis'!BG:BG-('Publication Bias Analysis'!BJ$30+'Publication Bias Analysis'!BJ$31*'Publication Bias Analysis'!BF:BF),"")</f>
        <v/>
      </c>
      <c r="JG120" s="176"/>
      <c r="JH120" s="39" t="str">
        <f t="shared" si="420"/>
        <v/>
      </c>
      <c r="JI120" s="148" t="str">
        <f t="shared" si="332"/>
        <v/>
      </c>
      <c r="JJ120" s="74" t="str">
        <f t="shared" si="333"/>
        <v/>
      </c>
    </row>
    <row r="121" spans="1:270" x14ac:dyDescent="0.2">
      <c r="A121" s="56" t="str">
        <f t="shared" si="334"/>
        <v/>
      </c>
      <c r="B121" s="7" t="str">
        <f>IF(AND(Include_study?="Yes",Sufficient_data="Yes"),IF(Input!a_&lt;&gt;"",Input!a_,Input!n1_-Input!b_),"")</f>
        <v/>
      </c>
      <c r="C121" s="7" t="str">
        <f>IF(AND(Include_study?="Yes",Sufficient_data="Yes"),IF(Input!b_&lt;&gt;"",Input!b_,Input!n1_-Input!a_),"")</f>
        <v/>
      </c>
      <c r="D121" s="7" t="str">
        <f>IF(AND(Include_study?="Yes",Sufficient_data="Yes"),IF(Input!c_&lt;&gt;"",Input!c_,Input!n2_-Input!d_),"")</f>
        <v/>
      </c>
      <c r="E121" s="7" t="str">
        <f>IF(AND(Include_study?="Yes",Sufficient_data="Yes"),IF(Input!d_&lt;&gt;"",Input!d_,Input!n2_-Input!c_),"")</f>
        <v/>
      </c>
      <c r="F121" s="74" t="str">
        <f t="shared" si="335"/>
        <v/>
      </c>
      <c r="H121" s="196"/>
      <c r="I121" s="182"/>
      <c r="J121" s="146" t="str">
        <f t="shared" si="245"/>
        <v/>
      </c>
      <c r="K121" s="39" t="str">
        <f t="shared" si="336"/>
        <v/>
      </c>
      <c r="L121" s="39" t="str">
        <f t="shared" si="337"/>
        <v/>
      </c>
      <c r="M121" s="39" t="str">
        <f t="shared" si="338"/>
        <v/>
      </c>
      <c r="N121" s="74" t="str">
        <f t="shared" si="339"/>
        <v/>
      </c>
      <c r="P121" s="176"/>
      <c r="Q121" s="130" t="str">
        <f t="shared" si="340"/>
        <v/>
      </c>
      <c r="R121" s="39" t="str">
        <f t="shared" si="341"/>
        <v/>
      </c>
      <c r="S121" s="39" t="str">
        <f t="shared" si="342"/>
        <v/>
      </c>
      <c r="T121" s="74" t="str">
        <f t="shared" si="343"/>
        <v/>
      </c>
      <c r="V121" s="176"/>
      <c r="W121" s="130" t="str">
        <f t="shared" si="344"/>
        <v/>
      </c>
      <c r="X121" s="39" t="str">
        <f t="shared" si="345"/>
        <v/>
      </c>
      <c r="Y121" s="39" t="str">
        <f t="shared" si="346"/>
        <v/>
      </c>
      <c r="Z121" s="74" t="str">
        <f t="shared" si="347"/>
        <v/>
      </c>
      <c r="AB121" s="176"/>
      <c r="AC121" s="130" t="str">
        <f t="shared" si="348"/>
        <v/>
      </c>
      <c r="AD121" s="39" t="str">
        <f t="shared" si="349"/>
        <v/>
      </c>
      <c r="AE121" s="39" t="str">
        <f t="shared" si="350"/>
        <v/>
      </c>
      <c r="AF121" s="39" t="str">
        <f t="shared" si="351"/>
        <v/>
      </c>
      <c r="AG121" s="74" t="str">
        <f t="shared" si="352"/>
        <v/>
      </c>
      <c r="AI121" s="196"/>
      <c r="AJ12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1" s="136" t="str">
        <f>IF(AJ121&lt;&gt;"",IF(AJ121=0,COUNTIF(AJ$2:AJ120,0)+1,COUNTIF(AJ$2:AJ120,AJ121)+AJ121+COUNTIF(AJ:AJ,0)),"")</f>
        <v/>
      </c>
      <c r="AL121" s="136" t="str">
        <f t="shared" si="263"/>
        <v/>
      </c>
      <c r="AM121" s="155" t="str">
        <f>IF(AND(Include_study?="Yes",Sufficient_data="Yes",Input!Study_name&lt;&gt;""),Input!Study_name,"")</f>
        <v/>
      </c>
      <c r="AN121" s="136" t="str">
        <f t="shared" si="264"/>
        <v/>
      </c>
      <c r="AO121" s="19" t="str">
        <f t="shared" si="353"/>
        <v/>
      </c>
      <c r="AP121" s="158" t="str">
        <f t="shared" si="354"/>
        <v/>
      </c>
      <c r="AQ121" s="158" t="str">
        <f t="shared" si="355"/>
        <v/>
      </c>
      <c r="AR121" s="39" t="str">
        <f t="shared" si="356"/>
        <v/>
      </c>
      <c r="AS121" s="158" t="str">
        <f t="shared" si="357"/>
        <v/>
      </c>
      <c r="AT121" s="39" t="str">
        <f t="shared" si="358"/>
        <v/>
      </c>
      <c r="AU121" s="172" t="str">
        <f t="shared" si="359"/>
        <v/>
      </c>
      <c r="AV121" s="45"/>
      <c r="AW121" s="84" t="e">
        <f t="shared" si="360"/>
        <v>#N/A</v>
      </c>
      <c r="AX121" s="69" t="e">
        <f t="shared" si="361"/>
        <v>#N/A</v>
      </c>
      <c r="AY121" s="74" t="e">
        <f t="shared" si="362"/>
        <v>#N/A</v>
      </c>
      <c r="AZ121" s="45"/>
      <c r="BA121" s="45"/>
      <c r="BB121" s="45"/>
      <c r="BC121" s="45"/>
      <c r="BD121" s="196"/>
      <c r="BE121" s="182"/>
      <c r="BF121" s="69" t="str">
        <f t="shared" si="363"/>
        <v/>
      </c>
      <c r="BG121" s="69" t="str">
        <f t="shared" si="364"/>
        <v/>
      </c>
      <c r="BH121" s="69" t="str">
        <f t="shared" si="365"/>
        <v/>
      </c>
      <c r="BI121" s="39" t="str">
        <f t="shared" si="366"/>
        <v/>
      </c>
      <c r="BJ121" s="95" t="str">
        <f t="shared" si="367"/>
        <v/>
      </c>
      <c r="BO121" s="176"/>
      <c r="BP121" s="158" t="str">
        <f t="shared" si="368"/>
        <v/>
      </c>
      <c r="BQ121" s="158" t="str">
        <f t="shared" si="369"/>
        <v/>
      </c>
      <c r="BR121" s="158" t="str">
        <f t="shared" si="370"/>
        <v/>
      </c>
      <c r="BS121" s="158" t="str">
        <f>IF(AND(Sufficient_data="Yes",Include_study?="Yes"),IF(Add_0_5="Yes",(a_+d_+1)*(ab_+0.5)*(c_+0.5)/(Number_of_subjects+2)^2,(a_+d_)*b_*c_/Number_of_subjects^2),"")</f>
        <v/>
      </c>
      <c r="BT121" s="158" t="str">
        <f t="shared" si="371"/>
        <v/>
      </c>
      <c r="BU121" s="158" t="str">
        <f t="shared" si="372"/>
        <v/>
      </c>
      <c r="BV121" s="158" t="str">
        <f t="shared" si="373"/>
        <v/>
      </c>
      <c r="BW121" s="69" t="str">
        <f t="shared" si="374"/>
        <v/>
      </c>
      <c r="BX121" s="137" t="str">
        <f t="shared" si="375"/>
        <v/>
      </c>
      <c r="BY121" s="95" t="str">
        <f t="shared" si="376"/>
        <v/>
      </c>
      <c r="CD121" s="176"/>
      <c r="CE121" s="130" t="str">
        <f t="shared" si="377"/>
        <v/>
      </c>
      <c r="CF121" s="39" t="str">
        <f t="shared" si="378"/>
        <v/>
      </c>
      <c r="CG121" s="39" t="str">
        <f t="shared" si="379"/>
        <v/>
      </c>
      <c r="CH121" s="39" t="str">
        <f t="shared" si="380"/>
        <v/>
      </c>
      <c r="CI121" s="39" t="str">
        <f t="shared" si="381"/>
        <v/>
      </c>
      <c r="CJ121" s="39" t="str">
        <f t="shared" si="287"/>
        <v/>
      </c>
      <c r="CK121" s="95" t="str">
        <f t="shared" si="382"/>
        <v/>
      </c>
      <c r="CP121" s="176"/>
      <c r="CQ121" s="99" t="str">
        <f t="shared" si="383"/>
        <v/>
      </c>
      <c r="CX121" s="196"/>
      <c r="CY121" s="89" t="e">
        <f t="shared" si="384"/>
        <v>#N/A</v>
      </c>
      <c r="CZ121" s="136" t="str">
        <f t="shared" si="385"/>
        <v/>
      </c>
      <c r="DA121" s="140" t="str">
        <f t="shared" si="386"/>
        <v/>
      </c>
      <c r="DB121" s="39" t="str">
        <f t="shared" si="387"/>
        <v/>
      </c>
      <c r="DC121" s="39" t="str">
        <f t="shared" si="388"/>
        <v/>
      </c>
      <c r="DD121" s="39" t="str">
        <f t="shared" si="389"/>
        <v/>
      </c>
      <c r="DE121" s="39" t="str">
        <f t="shared" si="390"/>
        <v/>
      </c>
      <c r="DF121" s="141" t="str">
        <f t="shared" si="391"/>
        <v/>
      </c>
      <c r="DG121" s="39" t="str">
        <f t="shared" si="392"/>
        <v/>
      </c>
      <c r="DH121" s="39" t="str">
        <f t="shared" si="393"/>
        <v/>
      </c>
      <c r="DI121" s="39" t="str">
        <f t="shared" si="394"/>
        <v/>
      </c>
      <c r="DJ121" s="74" t="str">
        <f t="shared" si="395"/>
        <v/>
      </c>
      <c r="DK121" s="45"/>
      <c r="DL121" s="84" t="e">
        <f t="shared" si="423"/>
        <v>#N/A</v>
      </c>
      <c r="DM121" s="39" t="e">
        <f t="shared" si="396"/>
        <v>#N/A</v>
      </c>
      <c r="DN121" s="74" t="e">
        <f t="shared" si="397"/>
        <v>#N/A</v>
      </c>
      <c r="DO121" s="45"/>
      <c r="DP121" s="89" t="str">
        <f t="shared" si="326"/>
        <v/>
      </c>
      <c r="DQ121" s="26" t="str">
        <f>IF(AND(Sufficient_data="Yes",Subgroup&lt;&gt;""),IF(COUNTIFS(Input!J$2:J120,"="&amp;"Yes",Input!C$2:C120,"="&amp;"Yes",Input!K$2:K120,"="&amp;Subgroup)&gt;0,"",Subgroup),"")</f>
        <v/>
      </c>
      <c r="DR121" s="7" t="str">
        <f t="shared" si="327"/>
        <v/>
      </c>
      <c r="DS121" s="7" t="str">
        <f t="shared" si="398"/>
        <v/>
      </c>
      <c r="DT121" s="19" t="str">
        <f t="shared" si="399"/>
        <v/>
      </c>
      <c r="DU121" s="12" t="str">
        <f t="shared" si="424"/>
        <v/>
      </c>
      <c r="DV121" s="11" t="str">
        <f t="shared" si="425"/>
        <v/>
      </c>
      <c r="DW121" s="12" t="str">
        <f t="shared" si="426"/>
        <v/>
      </c>
      <c r="DX121" s="12" t="str">
        <f t="shared" si="400"/>
        <v/>
      </c>
      <c r="DY121" s="19" t="str">
        <f t="shared" si="427"/>
        <v/>
      </c>
      <c r="DZ121" s="12" t="str">
        <f t="shared" si="428"/>
        <v/>
      </c>
      <c r="EA121" s="19" t="str">
        <f t="shared" si="401"/>
        <v/>
      </c>
      <c r="EB121" s="7" t="str">
        <f t="shared" si="402"/>
        <v/>
      </c>
      <c r="EC121" s="19" t="str">
        <f t="shared" si="403"/>
        <v/>
      </c>
      <c r="ED121" s="19" t="str">
        <f t="shared" si="404"/>
        <v/>
      </c>
      <c r="EE121" s="19" t="str">
        <f t="shared" si="429"/>
        <v/>
      </c>
      <c r="EF121" s="19" t="str">
        <f t="shared" si="430"/>
        <v/>
      </c>
      <c r="EG121" s="19" t="str">
        <f t="shared" si="431"/>
        <v/>
      </c>
      <c r="EH121" s="19" t="str">
        <f t="shared" si="432"/>
        <v/>
      </c>
      <c r="EI121" s="19" t="str">
        <f t="shared" si="433"/>
        <v/>
      </c>
      <c r="EJ121" s="19" t="str">
        <f t="shared" si="405"/>
        <v/>
      </c>
      <c r="EK121" s="19" t="str">
        <f t="shared" si="406"/>
        <v/>
      </c>
      <c r="EL121" s="19" t="str">
        <f t="shared" si="434"/>
        <v/>
      </c>
      <c r="EM121" s="19" t="str">
        <f t="shared" si="435"/>
        <v/>
      </c>
      <c r="EN121" s="19" t="str">
        <f t="shared" si="436"/>
        <v/>
      </c>
      <c r="EO121" s="19" t="str">
        <f t="shared" si="437"/>
        <v/>
      </c>
      <c r="EP121" s="19" t="str">
        <f t="shared" si="438"/>
        <v/>
      </c>
      <c r="EQ121" s="19" t="e">
        <f t="shared" si="439"/>
        <v>#N/A</v>
      </c>
      <c r="ER121" s="11" t="str">
        <f t="shared" si="328"/>
        <v/>
      </c>
      <c r="ES121" s="19" t="str">
        <f t="shared" si="329"/>
        <v/>
      </c>
      <c r="ET121" s="156" t="str">
        <f t="shared" si="407"/>
        <v/>
      </c>
      <c r="EU121" s="39" t="str">
        <f t="shared" si="440"/>
        <v/>
      </c>
      <c r="EV121" s="74" t="str">
        <f t="shared" si="408"/>
        <v/>
      </c>
      <c r="FA121" s="196"/>
      <c r="FB121" s="84" t="e">
        <f>IF(AND(Include_study?="Yes",Sufficient_data="Yes",Moderator&lt;&gt;""),'Moderator Analysis'!E121,NA())</f>
        <v>#N/A</v>
      </c>
      <c r="FC121" s="39" t="e">
        <f>IF(AND(Include_study?="Yes",Sufficient_data="Yes",Moderator&lt;&gt;""),'Moderator Analysis'!F121,NA())</f>
        <v>#N/A</v>
      </c>
      <c r="FD121" s="39" t="str">
        <f t="shared" si="409"/>
        <v/>
      </c>
      <c r="FE121" s="39" t="str">
        <f t="shared" si="410"/>
        <v/>
      </c>
      <c r="FF121" s="39" t="str">
        <f>IF(AND(Include_study?="Yes",Sufficient_data="Yes",Moderator&lt;&gt;""),'Moderator Analysis'!F:F-FP$2,"")</f>
        <v/>
      </c>
      <c r="FG121" s="39" t="str">
        <f>IF(AND(Include_study?="Yes",Sufficient_data="Yes",Moderator&lt;&gt;""),'Moderator Analysis'!E:E-FP$3,"")</f>
        <v/>
      </c>
      <c r="FH121" s="74" t="str">
        <f>IF(AND(Include_study?="Yes",Sufficient_data="Yes",Moderator&lt;&gt;""),FE:FE*('Moderator Analysis'!F:F-FP$5-FP$4*'Moderator Analysis'!E:E)^2,"")</f>
        <v/>
      </c>
      <c r="FI121" s="128"/>
      <c r="FJ121" s="92" t="str">
        <f t="shared" si="411"/>
        <v/>
      </c>
      <c r="FK121" s="137" t="str">
        <f>IF(AND(Include_study?="Yes",Sufficient_data="Yes",Moderator&lt;&gt;""),'Moderator Analysis'!F:F-'Moderator Analysis'!J$37,"")</f>
        <v/>
      </c>
      <c r="FL121" s="137" t="str">
        <f>IF(AND(Include_study?="Yes",Sufficient_data="Yes",Moderator&lt;&gt;""),'Moderator Analysis'!E:E-SUMPRODUCT('Moderator Analysis'!E:E,FJ:FJ)/SUM(FJ:FJ),"")</f>
        <v/>
      </c>
      <c r="FM121" s="95" t="str">
        <f>IF(AND(Include_study?="Yes",Sufficient_data="Yes",Moderator&lt;&gt;""),FJ:FJ*('Moderator Analysis'!F:F-'Moderator Analysis'!J$29-'Moderator Analysis'!J$30*'Moderator Analysis'!E:E)^2,"")</f>
        <v/>
      </c>
      <c r="FR121" s="196"/>
      <c r="FS121" s="182"/>
      <c r="FT12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1" s="39" t="str">
        <f>IF(AND(Include_study?="Yes",Sufficient_data="Yes"),1/('Publication Bias Analysis'!F:F^2+IF(Additional_model="Fixed effect",0,Calculations!GH$12)),"")</f>
        <v/>
      </c>
      <c r="FV121" s="39" t="str">
        <f>IF(AND(Include_study?="Yes",Sufficient_data="Yes"),1/('Publication Bias Analysis'!F:F^2+IF(Additional_model="Fixed effect",0,'Publication Bias Analysis'!L$32)),"")</f>
        <v/>
      </c>
      <c r="FW121" s="39" t="str">
        <f>IF(AND(Include_study?="Yes",Sufficient_data="Yes"),'Publication Bias Analysis'!E:E-'Publication Bias Analysis'!I$37,"")</f>
        <v/>
      </c>
      <c r="FX121" s="39" t="str">
        <f>IF(AND(Include_study?="Yes",Sufficient_data="Yes"),IF(Additional_model="Fixed effect",1/'Publication Bias Analysis'!F:F,1/SQRT('Publication Bias Analysis'!F:F^2+GH$12)),"")</f>
        <v/>
      </c>
      <c r="FY12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1" s="136" t="str">
        <f t="shared" si="412"/>
        <v/>
      </c>
      <c r="GA121" s="144" t="str">
        <f>IF(AND(Include_study?="Yes",Sufficient_data="Yes"),FZ:FZ+IF(GL:GL&lt;0,-1,1)*COUNTIF(FZ$2:FZ120,FZ:FZ),"")</f>
        <v/>
      </c>
      <c r="GB121" s="144" t="str">
        <f>IF(AND(Include_study?="Yes",Sufficient_data="Yes"),RANK(GP:GP,GP:GP,1)*IF(GO:GO&lt;0,-1,1)+IF(GO:GO&lt;0,-1,1)*COUNTIF(FZ$2:FZ120,FZ:FZ),"")</f>
        <v/>
      </c>
      <c r="GC121" s="144" t="str">
        <f>IF(AND(Include_study?="Yes",Sufficient_data="Yes"),RANK(GS:GS,GS:GS,1)*IF(GR:GR&lt;0,-1,1)+IF(GR:GR&lt;0,-1,1)*COUNTIF(FZ$2:FZ120,FZ:FZ),"")</f>
        <v/>
      </c>
      <c r="GD121" s="39" t="e">
        <f>IF(AND(Include_study?="Yes",Sufficient_data="Yes"),'Publication Bias Analysis'!E121,NA())</f>
        <v>#N/A</v>
      </c>
      <c r="GE121" s="74" t="e">
        <f>IF(AND(Include_study?="Yes",Sufficient_data="Yes"),'Publication Bias Analysis'!F121,NA())</f>
        <v>#N/A</v>
      </c>
      <c r="GK121" s="176"/>
      <c r="GL12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1" s="39" t="str">
        <f t="shared" si="413"/>
        <v/>
      </c>
      <c r="GN12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1" s="39" t="str">
        <f>IF(AND(Include_study?="Yes",Sufficient_data="Yes"),IF('Publication Bias Analysis'!L$38="Left",'Publication Bias Analysis'!E:E-GW$3,GW$3-'Publication Bias Analysis'!E:E),"")</f>
        <v/>
      </c>
      <c r="GP121" s="39" t="str">
        <f t="shared" si="330"/>
        <v/>
      </c>
      <c r="GQ12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1" s="39" t="str">
        <f>IF(AND(Include_study?="Yes",Sufficient_data="Yes"),IF('Publication Bias Analysis'!L$38="Left",'Publication Bias Analysis'!E:E-GW$10,GW$10-'Publication Bias Analysis'!E:E),"")</f>
        <v/>
      </c>
      <c r="GS121" s="39" t="str">
        <f t="shared" si="331"/>
        <v/>
      </c>
      <c r="GT12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1" s="176"/>
      <c r="HL121" s="69" t="str">
        <f t="shared" si="319"/>
        <v/>
      </c>
      <c r="HM121" s="74" t="str">
        <f>IF(AND(Include_study?="Yes",Sufficient_data="Yes"),Z_score-('Publication Bias Analysis'!P$3+'Publication Bias Analysis'!P$4*Inverse_standard_error),"")</f>
        <v/>
      </c>
      <c r="HO121" s="176"/>
      <c r="HP121" s="69" t="str">
        <f>IF(AND(Include_study?="Yes",Sufficient_data="Yes"),(GD:GD-SUMPRODUCT(Calculations!FT:FT,'Publication Bias Analysis'!E:E)/SUM(Calculations!FT:FT))/SQRT(Calculations!HQ:HQ),"")</f>
        <v/>
      </c>
      <c r="HQ121" s="69" t="str">
        <f>IF(AND(Include_study?="Yes",Sufficient_data="Yes"),GE:GE^2-1/SUM(Calculations!FT:FT),"")</f>
        <v/>
      </c>
      <c r="HR121" s="7" t="str">
        <f t="shared" si="441"/>
        <v/>
      </c>
      <c r="HS121" s="7" t="str">
        <f t="shared" si="442"/>
        <v/>
      </c>
      <c r="HT121" s="7" t="str">
        <f>IF(AND(Include_study?="Yes",Sufficient_data="Yes"),COUNTIFS(HR$2:HR120,"&lt;"&amp;HR121,HS$2:HS120,"&lt;"&amp;HS121)+COUNTIFS(HR122:HR$201,"&lt;"&amp;HR121,HS122:HS$201,"&lt;"&amp;HS121)+COUNTIFS(HR$2:HR120,"&gt;"&amp;HR121,HS$2:HS120,"&gt;"&amp;HS121)+COUNTIFS(HR122:HR$201,"&gt;"&amp;HR121,HS122:HS$201,"&gt;"&amp;HS121),"")</f>
        <v/>
      </c>
      <c r="HU121" s="104" t="str">
        <f>IF(AND(Include_study?="Yes",Sufficient_data="Yes"),COUNTIFS(HR$2:HR120,"&lt;"&amp;HR121,HS$2:HS120,"&gt;"&amp;HS121)+COUNTIFS(HR122:HR$201,"&lt;"&amp;HR121,HS122:HS$201,"&gt;"&amp;HS121)+COUNTIFS(HR$2:HR120,"&gt;"&amp;HR121,HS$2:HS120,"&lt;"&amp;HS121)+COUNTIFS(HR122:HR$201,"&gt;"&amp;HR121,HS122:HS$201,"&lt;"&amp;HS121),"")</f>
        <v/>
      </c>
      <c r="HW121" s="176"/>
      <c r="IB121" s="176"/>
      <c r="IC121" s="146" t="e">
        <f t="shared" si="414"/>
        <v>#N/A</v>
      </c>
      <c r="ID121" s="137" t="e">
        <f t="shared" si="415"/>
        <v>#N/A</v>
      </c>
      <c r="IE121" s="137" t="str">
        <f t="shared" si="416"/>
        <v/>
      </c>
      <c r="IF121" s="95" t="str">
        <f t="shared" si="417"/>
        <v/>
      </c>
      <c r="IK121" s="176"/>
      <c r="IL121" s="69" t="e">
        <f>IF(AND(Include_study?="Yes",Sufficient_data="Yes"),'Publication Bias Analysis'!AV:AV,NA())</f>
        <v>#N/A</v>
      </c>
      <c r="IM121" s="158" t="e">
        <f>IF(AND(Sufficient_data="Yes",Include_study?="Yes"),'Publication Bias Analysis'!AU:AU,NA())</f>
        <v>#N/A</v>
      </c>
      <c r="IN121" s="69" t="str">
        <f t="shared" si="418"/>
        <v/>
      </c>
      <c r="IO121" s="74" t="str">
        <f>IF(AND(Include_study?="Yes",Sufficient_data="Yes"),Z_score-('Publication Bias Analysis'!AY$30+'Publication Bias Analysis'!AY$31*Inverse_standard_error),"")</f>
        <v/>
      </c>
      <c r="IU121" s="176"/>
      <c r="IV121" s="7" t="str">
        <f>IF('Publication Bias Analysis'!BG:BG&lt;&gt;"",RANK('Publication Bias Analysis'!BG:BG,'Publication Bias Analysis'!BG:BG,1)+COUNTIF('Publication Bias Analysis'!BG$2:BG120,'Publication Bias Analysis'!BG121),"")</f>
        <v/>
      </c>
      <c r="IW121" s="124" t="str">
        <f t="shared" si="419"/>
        <v/>
      </c>
      <c r="IX121" s="125" t="e">
        <f>IF('Publication Bias Analysis'!BF121&lt;&gt;"",'Publication Bias Analysis'!BF121,NA())</f>
        <v>#N/A</v>
      </c>
      <c r="IY121" s="125" t="e">
        <f>IF('Publication Bias Analysis'!BG121&lt;&gt;"",'Publication Bias Analysis'!BG121,NA())</f>
        <v>#N/A</v>
      </c>
      <c r="IZ121" s="69" t="str">
        <f>IF(AND(Include_study?="Yes",Sufficient_data="Yes"),'Publication Bias Analysis'!BF:BF-AVERAGE('Publication Bias Analysis'!BF:BF),"")</f>
        <v/>
      </c>
      <c r="JA121" s="74" t="str">
        <f>IF(AND(Include_study?="Yes",Sufficient_data="Yes"),'Publication Bias Analysis'!BG:BG-('Publication Bias Analysis'!BJ$30+'Publication Bias Analysis'!BJ$31*'Publication Bias Analysis'!BF:BF),"")</f>
        <v/>
      </c>
      <c r="JG121" s="176"/>
      <c r="JH121" s="39" t="str">
        <f t="shared" si="420"/>
        <v/>
      </c>
      <c r="JI121" s="148" t="str">
        <f t="shared" si="332"/>
        <v/>
      </c>
      <c r="JJ121" s="74" t="str">
        <f t="shared" si="333"/>
        <v/>
      </c>
    </row>
    <row r="122" spans="1:270" x14ac:dyDescent="0.2">
      <c r="A122" s="56" t="str">
        <f t="shared" si="334"/>
        <v/>
      </c>
      <c r="B122" s="7" t="str">
        <f>IF(AND(Include_study?="Yes",Sufficient_data="Yes"),IF(Input!a_&lt;&gt;"",Input!a_,Input!n1_-Input!b_),"")</f>
        <v/>
      </c>
      <c r="C122" s="7" t="str">
        <f>IF(AND(Include_study?="Yes",Sufficient_data="Yes"),IF(Input!b_&lt;&gt;"",Input!b_,Input!n1_-Input!a_),"")</f>
        <v/>
      </c>
      <c r="D122" s="7" t="str">
        <f>IF(AND(Include_study?="Yes",Sufficient_data="Yes"),IF(Input!c_&lt;&gt;"",Input!c_,Input!n2_-Input!d_),"")</f>
        <v/>
      </c>
      <c r="E122" s="7" t="str">
        <f>IF(AND(Include_study?="Yes",Sufficient_data="Yes"),IF(Input!d_&lt;&gt;"",Input!d_,Input!n2_-Input!c_),"")</f>
        <v/>
      </c>
      <c r="F122" s="74" t="str">
        <f t="shared" si="335"/>
        <v/>
      </c>
      <c r="H122" s="196"/>
      <c r="I122" s="182"/>
      <c r="J122" s="146" t="str">
        <f t="shared" si="245"/>
        <v/>
      </c>
      <c r="K122" s="39" t="str">
        <f t="shared" si="336"/>
        <v/>
      </c>
      <c r="L122" s="39" t="str">
        <f t="shared" si="337"/>
        <v/>
      </c>
      <c r="M122" s="39" t="str">
        <f t="shared" si="338"/>
        <v/>
      </c>
      <c r="N122" s="74" t="str">
        <f t="shared" si="339"/>
        <v/>
      </c>
      <c r="P122" s="176"/>
      <c r="Q122" s="130" t="str">
        <f t="shared" si="340"/>
        <v/>
      </c>
      <c r="R122" s="39" t="str">
        <f t="shared" si="341"/>
        <v/>
      </c>
      <c r="S122" s="39" t="str">
        <f t="shared" si="342"/>
        <v/>
      </c>
      <c r="T122" s="74" t="str">
        <f t="shared" si="343"/>
        <v/>
      </c>
      <c r="V122" s="176"/>
      <c r="W122" s="130" t="str">
        <f t="shared" si="344"/>
        <v/>
      </c>
      <c r="X122" s="39" t="str">
        <f t="shared" si="345"/>
        <v/>
      </c>
      <c r="Y122" s="39" t="str">
        <f t="shared" si="346"/>
        <v/>
      </c>
      <c r="Z122" s="74" t="str">
        <f t="shared" si="347"/>
        <v/>
      </c>
      <c r="AB122" s="176"/>
      <c r="AC122" s="130" t="str">
        <f t="shared" si="348"/>
        <v/>
      </c>
      <c r="AD122" s="39" t="str">
        <f t="shared" si="349"/>
        <v/>
      </c>
      <c r="AE122" s="39" t="str">
        <f t="shared" si="350"/>
        <v/>
      </c>
      <c r="AF122" s="39" t="str">
        <f t="shared" si="351"/>
        <v/>
      </c>
      <c r="AG122" s="74" t="str">
        <f t="shared" si="352"/>
        <v/>
      </c>
      <c r="AI122" s="196"/>
      <c r="AJ12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2" s="136" t="str">
        <f>IF(AJ122&lt;&gt;"",IF(AJ122=0,COUNTIF(AJ$2:AJ121,0)+1,COUNTIF(AJ$2:AJ121,AJ122)+AJ122+COUNTIF(AJ:AJ,0)),"")</f>
        <v/>
      </c>
      <c r="AL122" s="136" t="str">
        <f t="shared" si="263"/>
        <v/>
      </c>
      <c r="AM122" s="155" t="str">
        <f>IF(AND(Include_study?="Yes",Sufficient_data="Yes",Input!Study_name&lt;&gt;""),Input!Study_name,"")</f>
        <v/>
      </c>
      <c r="AN122" s="136" t="str">
        <f t="shared" si="264"/>
        <v/>
      </c>
      <c r="AO122" s="19" t="str">
        <f t="shared" si="353"/>
        <v/>
      </c>
      <c r="AP122" s="158" t="str">
        <f t="shared" si="354"/>
        <v/>
      </c>
      <c r="AQ122" s="158" t="str">
        <f t="shared" si="355"/>
        <v/>
      </c>
      <c r="AR122" s="39" t="str">
        <f t="shared" si="356"/>
        <v/>
      </c>
      <c r="AS122" s="158" t="str">
        <f t="shared" si="357"/>
        <v/>
      </c>
      <c r="AT122" s="39" t="str">
        <f t="shared" si="358"/>
        <v/>
      </c>
      <c r="AU122" s="172" t="str">
        <f t="shared" si="359"/>
        <v/>
      </c>
      <c r="AV122" s="45"/>
      <c r="AW122" s="84" t="e">
        <f t="shared" si="360"/>
        <v>#N/A</v>
      </c>
      <c r="AX122" s="69" t="e">
        <f t="shared" si="361"/>
        <v>#N/A</v>
      </c>
      <c r="AY122" s="74" t="e">
        <f t="shared" si="362"/>
        <v>#N/A</v>
      </c>
      <c r="AZ122" s="45"/>
      <c r="BA122" s="45"/>
      <c r="BB122" s="45"/>
      <c r="BC122" s="45"/>
      <c r="BD122" s="196"/>
      <c r="BE122" s="182"/>
      <c r="BF122" s="69" t="str">
        <f t="shared" si="363"/>
        <v/>
      </c>
      <c r="BG122" s="69" t="str">
        <f t="shared" si="364"/>
        <v/>
      </c>
      <c r="BH122" s="69" t="str">
        <f t="shared" si="365"/>
        <v/>
      </c>
      <c r="BI122" s="39" t="str">
        <f t="shared" si="366"/>
        <v/>
      </c>
      <c r="BJ122" s="95" t="str">
        <f t="shared" si="367"/>
        <v/>
      </c>
      <c r="BO122" s="176"/>
      <c r="BP122" s="158" t="str">
        <f t="shared" si="368"/>
        <v/>
      </c>
      <c r="BQ122" s="158" t="str">
        <f t="shared" si="369"/>
        <v/>
      </c>
      <c r="BR122" s="158" t="str">
        <f t="shared" si="370"/>
        <v/>
      </c>
      <c r="BS122" s="158" t="str">
        <f>IF(AND(Sufficient_data="Yes",Include_study?="Yes"),IF(Add_0_5="Yes",(a_+d_+1)*(ab_+0.5)*(c_+0.5)/(Number_of_subjects+2)^2,(a_+d_)*b_*c_/Number_of_subjects^2),"")</f>
        <v/>
      </c>
      <c r="BT122" s="158" t="str">
        <f t="shared" si="371"/>
        <v/>
      </c>
      <c r="BU122" s="158" t="str">
        <f t="shared" si="372"/>
        <v/>
      </c>
      <c r="BV122" s="158" t="str">
        <f t="shared" si="373"/>
        <v/>
      </c>
      <c r="BW122" s="69" t="str">
        <f t="shared" si="374"/>
        <v/>
      </c>
      <c r="BX122" s="137" t="str">
        <f t="shared" si="375"/>
        <v/>
      </c>
      <c r="BY122" s="95" t="str">
        <f t="shared" si="376"/>
        <v/>
      </c>
      <c r="CD122" s="176"/>
      <c r="CE122" s="130" t="str">
        <f t="shared" si="377"/>
        <v/>
      </c>
      <c r="CF122" s="39" t="str">
        <f t="shared" si="378"/>
        <v/>
      </c>
      <c r="CG122" s="39" t="str">
        <f t="shared" si="379"/>
        <v/>
      </c>
      <c r="CH122" s="39" t="str">
        <f t="shared" si="380"/>
        <v/>
      </c>
      <c r="CI122" s="39" t="str">
        <f t="shared" si="381"/>
        <v/>
      </c>
      <c r="CJ122" s="39" t="str">
        <f t="shared" si="287"/>
        <v/>
      </c>
      <c r="CK122" s="95" t="str">
        <f t="shared" si="382"/>
        <v/>
      </c>
      <c r="CP122" s="176"/>
      <c r="CQ122" s="99" t="str">
        <f t="shared" si="383"/>
        <v/>
      </c>
      <c r="CX122" s="196"/>
      <c r="CY122" s="89" t="e">
        <f t="shared" si="384"/>
        <v>#N/A</v>
      </c>
      <c r="CZ122" s="136" t="str">
        <f t="shared" si="385"/>
        <v/>
      </c>
      <c r="DA122" s="140" t="str">
        <f t="shared" si="386"/>
        <v/>
      </c>
      <c r="DB122" s="39" t="str">
        <f t="shared" si="387"/>
        <v/>
      </c>
      <c r="DC122" s="39" t="str">
        <f t="shared" si="388"/>
        <v/>
      </c>
      <c r="DD122" s="39" t="str">
        <f t="shared" si="389"/>
        <v/>
      </c>
      <c r="DE122" s="39" t="str">
        <f t="shared" si="390"/>
        <v/>
      </c>
      <c r="DF122" s="141" t="str">
        <f t="shared" si="391"/>
        <v/>
      </c>
      <c r="DG122" s="39" t="str">
        <f t="shared" si="392"/>
        <v/>
      </c>
      <c r="DH122" s="39" t="str">
        <f t="shared" si="393"/>
        <v/>
      </c>
      <c r="DI122" s="39" t="str">
        <f t="shared" si="394"/>
        <v/>
      </c>
      <c r="DJ122" s="74" t="str">
        <f t="shared" si="395"/>
        <v/>
      </c>
      <c r="DK122" s="45"/>
      <c r="DL122" s="84" t="e">
        <f t="shared" si="423"/>
        <v>#N/A</v>
      </c>
      <c r="DM122" s="39" t="e">
        <f t="shared" si="396"/>
        <v>#N/A</v>
      </c>
      <c r="DN122" s="74" t="e">
        <f t="shared" si="397"/>
        <v>#N/A</v>
      </c>
      <c r="DO122" s="45"/>
      <c r="DP122" s="89" t="str">
        <f t="shared" si="326"/>
        <v/>
      </c>
      <c r="DQ122" s="26" t="str">
        <f>IF(AND(Sufficient_data="Yes",Subgroup&lt;&gt;""),IF(COUNTIFS(Input!J$2:J121,"="&amp;"Yes",Input!C$2:C121,"="&amp;"Yes",Input!K$2:K121,"="&amp;Subgroup)&gt;0,"",Subgroup),"")</f>
        <v/>
      </c>
      <c r="DR122" s="7" t="str">
        <f t="shared" si="327"/>
        <v/>
      </c>
      <c r="DS122" s="7" t="str">
        <f t="shared" si="398"/>
        <v/>
      </c>
      <c r="DT122" s="19" t="str">
        <f t="shared" si="399"/>
        <v/>
      </c>
      <c r="DU122" s="12" t="str">
        <f t="shared" si="424"/>
        <v/>
      </c>
      <c r="DV122" s="11" t="str">
        <f t="shared" si="425"/>
        <v/>
      </c>
      <c r="DW122" s="12" t="str">
        <f t="shared" si="426"/>
        <v/>
      </c>
      <c r="DX122" s="12" t="str">
        <f t="shared" si="400"/>
        <v/>
      </c>
      <c r="DY122" s="19" t="str">
        <f t="shared" si="427"/>
        <v/>
      </c>
      <c r="DZ122" s="12" t="str">
        <f t="shared" si="428"/>
        <v/>
      </c>
      <c r="EA122" s="19" t="str">
        <f t="shared" si="401"/>
        <v/>
      </c>
      <c r="EB122" s="7" t="str">
        <f t="shared" si="402"/>
        <v/>
      </c>
      <c r="EC122" s="19" t="str">
        <f t="shared" si="403"/>
        <v/>
      </c>
      <c r="ED122" s="19" t="str">
        <f t="shared" si="404"/>
        <v/>
      </c>
      <c r="EE122" s="19" t="str">
        <f t="shared" si="429"/>
        <v/>
      </c>
      <c r="EF122" s="19" t="str">
        <f t="shared" si="430"/>
        <v/>
      </c>
      <c r="EG122" s="19" t="str">
        <f t="shared" si="431"/>
        <v/>
      </c>
      <c r="EH122" s="19" t="str">
        <f t="shared" si="432"/>
        <v/>
      </c>
      <c r="EI122" s="19" t="str">
        <f t="shared" si="433"/>
        <v/>
      </c>
      <c r="EJ122" s="19" t="str">
        <f t="shared" si="405"/>
        <v/>
      </c>
      <c r="EK122" s="19" t="str">
        <f t="shared" si="406"/>
        <v/>
      </c>
      <c r="EL122" s="19" t="str">
        <f t="shared" si="434"/>
        <v/>
      </c>
      <c r="EM122" s="19" t="str">
        <f t="shared" si="435"/>
        <v/>
      </c>
      <c r="EN122" s="19" t="str">
        <f t="shared" si="436"/>
        <v/>
      </c>
      <c r="EO122" s="19" t="str">
        <f t="shared" si="437"/>
        <v/>
      </c>
      <c r="EP122" s="19" t="str">
        <f t="shared" si="438"/>
        <v/>
      </c>
      <c r="EQ122" s="19" t="e">
        <f t="shared" si="439"/>
        <v>#N/A</v>
      </c>
      <c r="ER122" s="11" t="str">
        <f t="shared" si="328"/>
        <v/>
      </c>
      <c r="ES122" s="19" t="str">
        <f t="shared" si="329"/>
        <v/>
      </c>
      <c r="ET122" s="156" t="str">
        <f t="shared" si="407"/>
        <v/>
      </c>
      <c r="EU122" s="39" t="str">
        <f t="shared" si="440"/>
        <v/>
      </c>
      <c r="EV122" s="74" t="str">
        <f t="shared" si="408"/>
        <v/>
      </c>
      <c r="FA122" s="196"/>
      <c r="FB122" s="84" t="e">
        <f>IF(AND(Include_study?="Yes",Sufficient_data="Yes",Moderator&lt;&gt;""),'Moderator Analysis'!E122,NA())</f>
        <v>#N/A</v>
      </c>
      <c r="FC122" s="39" t="e">
        <f>IF(AND(Include_study?="Yes",Sufficient_data="Yes",Moderator&lt;&gt;""),'Moderator Analysis'!F122,NA())</f>
        <v>#N/A</v>
      </c>
      <c r="FD122" s="39" t="str">
        <f t="shared" si="409"/>
        <v/>
      </c>
      <c r="FE122" s="39" t="str">
        <f t="shared" si="410"/>
        <v/>
      </c>
      <c r="FF122" s="39" t="str">
        <f>IF(AND(Include_study?="Yes",Sufficient_data="Yes",Moderator&lt;&gt;""),'Moderator Analysis'!F:F-FP$2,"")</f>
        <v/>
      </c>
      <c r="FG122" s="39" t="str">
        <f>IF(AND(Include_study?="Yes",Sufficient_data="Yes",Moderator&lt;&gt;""),'Moderator Analysis'!E:E-FP$3,"")</f>
        <v/>
      </c>
      <c r="FH122" s="74" t="str">
        <f>IF(AND(Include_study?="Yes",Sufficient_data="Yes",Moderator&lt;&gt;""),FE:FE*('Moderator Analysis'!F:F-FP$5-FP$4*'Moderator Analysis'!E:E)^2,"")</f>
        <v/>
      </c>
      <c r="FI122" s="128"/>
      <c r="FJ122" s="92" t="str">
        <f t="shared" si="411"/>
        <v/>
      </c>
      <c r="FK122" s="137" t="str">
        <f>IF(AND(Include_study?="Yes",Sufficient_data="Yes",Moderator&lt;&gt;""),'Moderator Analysis'!F:F-'Moderator Analysis'!J$37,"")</f>
        <v/>
      </c>
      <c r="FL122" s="137" t="str">
        <f>IF(AND(Include_study?="Yes",Sufficient_data="Yes",Moderator&lt;&gt;""),'Moderator Analysis'!E:E-SUMPRODUCT('Moderator Analysis'!E:E,FJ:FJ)/SUM(FJ:FJ),"")</f>
        <v/>
      </c>
      <c r="FM122" s="95" t="str">
        <f>IF(AND(Include_study?="Yes",Sufficient_data="Yes",Moderator&lt;&gt;""),FJ:FJ*('Moderator Analysis'!F:F-'Moderator Analysis'!J$29-'Moderator Analysis'!J$30*'Moderator Analysis'!E:E)^2,"")</f>
        <v/>
      </c>
      <c r="FR122" s="196"/>
      <c r="FS122" s="182"/>
      <c r="FT12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2" s="39" t="str">
        <f>IF(AND(Include_study?="Yes",Sufficient_data="Yes"),1/('Publication Bias Analysis'!F:F^2+IF(Additional_model="Fixed effect",0,Calculations!GH$12)),"")</f>
        <v/>
      </c>
      <c r="FV122" s="39" t="str">
        <f>IF(AND(Include_study?="Yes",Sufficient_data="Yes"),1/('Publication Bias Analysis'!F:F^2+IF(Additional_model="Fixed effect",0,'Publication Bias Analysis'!L$32)),"")</f>
        <v/>
      </c>
      <c r="FW122" s="39" t="str">
        <f>IF(AND(Include_study?="Yes",Sufficient_data="Yes"),'Publication Bias Analysis'!E:E-'Publication Bias Analysis'!I$37,"")</f>
        <v/>
      </c>
      <c r="FX122" s="39" t="str">
        <f>IF(AND(Include_study?="Yes",Sufficient_data="Yes"),IF(Additional_model="Fixed effect",1/'Publication Bias Analysis'!F:F,1/SQRT('Publication Bias Analysis'!F:F^2+GH$12)),"")</f>
        <v/>
      </c>
      <c r="FY12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2" s="136" t="str">
        <f t="shared" si="412"/>
        <v/>
      </c>
      <c r="GA122" s="144" t="str">
        <f>IF(AND(Include_study?="Yes",Sufficient_data="Yes"),FZ:FZ+IF(GL:GL&lt;0,-1,1)*COUNTIF(FZ$2:FZ121,FZ:FZ),"")</f>
        <v/>
      </c>
      <c r="GB122" s="144" t="str">
        <f>IF(AND(Include_study?="Yes",Sufficient_data="Yes"),RANK(GP:GP,GP:GP,1)*IF(GO:GO&lt;0,-1,1)+IF(GO:GO&lt;0,-1,1)*COUNTIF(FZ$2:FZ121,FZ:FZ),"")</f>
        <v/>
      </c>
      <c r="GC122" s="144" t="str">
        <f>IF(AND(Include_study?="Yes",Sufficient_data="Yes"),RANK(GS:GS,GS:GS,1)*IF(GR:GR&lt;0,-1,1)+IF(GR:GR&lt;0,-1,1)*COUNTIF(FZ$2:FZ121,FZ:FZ),"")</f>
        <v/>
      </c>
      <c r="GD122" s="39" t="e">
        <f>IF(AND(Include_study?="Yes",Sufficient_data="Yes"),'Publication Bias Analysis'!E122,NA())</f>
        <v>#N/A</v>
      </c>
      <c r="GE122" s="74" t="e">
        <f>IF(AND(Include_study?="Yes",Sufficient_data="Yes"),'Publication Bias Analysis'!F122,NA())</f>
        <v>#N/A</v>
      </c>
      <c r="GK122" s="176"/>
      <c r="GL12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2" s="39" t="str">
        <f t="shared" si="413"/>
        <v/>
      </c>
      <c r="GN12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2" s="39" t="str">
        <f>IF(AND(Include_study?="Yes",Sufficient_data="Yes"),IF('Publication Bias Analysis'!L$38="Left",'Publication Bias Analysis'!E:E-GW$3,GW$3-'Publication Bias Analysis'!E:E),"")</f>
        <v/>
      </c>
      <c r="GP122" s="39" t="str">
        <f t="shared" si="330"/>
        <v/>
      </c>
      <c r="GQ12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2" s="39" t="str">
        <f>IF(AND(Include_study?="Yes",Sufficient_data="Yes"),IF('Publication Bias Analysis'!L$38="Left",'Publication Bias Analysis'!E:E-GW$10,GW$10-'Publication Bias Analysis'!E:E),"")</f>
        <v/>
      </c>
      <c r="GS122" s="39" t="str">
        <f t="shared" si="331"/>
        <v/>
      </c>
      <c r="GT12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2" s="176"/>
      <c r="HL122" s="69" t="str">
        <f t="shared" si="319"/>
        <v/>
      </c>
      <c r="HM122" s="74" t="str">
        <f>IF(AND(Include_study?="Yes",Sufficient_data="Yes"),Z_score-('Publication Bias Analysis'!P$3+'Publication Bias Analysis'!P$4*Inverse_standard_error),"")</f>
        <v/>
      </c>
      <c r="HO122" s="176"/>
      <c r="HP122" s="69" t="str">
        <f>IF(AND(Include_study?="Yes",Sufficient_data="Yes"),(GD:GD-SUMPRODUCT(Calculations!FT:FT,'Publication Bias Analysis'!E:E)/SUM(Calculations!FT:FT))/SQRT(Calculations!HQ:HQ),"")</f>
        <v/>
      </c>
      <c r="HQ122" s="69" t="str">
        <f>IF(AND(Include_study?="Yes",Sufficient_data="Yes"),GE:GE^2-1/SUM(Calculations!FT:FT),"")</f>
        <v/>
      </c>
      <c r="HR122" s="7" t="str">
        <f t="shared" si="441"/>
        <v/>
      </c>
      <c r="HS122" s="7" t="str">
        <f t="shared" si="442"/>
        <v/>
      </c>
      <c r="HT122" s="7" t="str">
        <f>IF(AND(Include_study?="Yes",Sufficient_data="Yes"),COUNTIFS(HR$2:HR121,"&lt;"&amp;HR122,HS$2:HS121,"&lt;"&amp;HS122)+COUNTIFS(HR123:HR$201,"&lt;"&amp;HR122,HS123:HS$201,"&lt;"&amp;HS122)+COUNTIFS(HR$2:HR121,"&gt;"&amp;HR122,HS$2:HS121,"&gt;"&amp;HS122)+COUNTIFS(HR123:HR$201,"&gt;"&amp;HR122,HS123:HS$201,"&gt;"&amp;HS122),"")</f>
        <v/>
      </c>
      <c r="HU122" s="104" t="str">
        <f>IF(AND(Include_study?="Yes",Sufficient_data="Yes"),COUNTIFS(HR$2:HR121,"&lt;"&amp;HR122,HS$2:HS121,"&gt;"&amp;HS122)+COUNTIFS(HR123:HR$201,"&lt;"&amp;HR122,HS123:HS$201,"&gt;"&amp;HS122)+COUNTIFS(HR$2:HR121,"&gt;"&amp;HR122,HS$2:HS121,"&lt;"&amp;HS122)+COUNTIFS(HR123:HR$201,"&gt;"&amp;HR122,HS123:HS$201,"&lt;"&amp;HS122),"")</f>
        <v/>
      </c>
      <c r="HW122" s="176"/>
      <c r="IB122" s="176"/>
      <c r="IC122" s="146" t="e">
        <f t="shared" si="414"/>
        <v>#N/A</v>
      </c>
      <c r="ID122" s="137" t="e">
        <f t="shared" si="415"/>
        <v>#N/A</v>
      </c>
      <c r="IE122" s="137" t="str">
        <f t="shared" si="416"/>
        <v/>
      </c>
      <c r="IF122" s="95" t="str">
        <f t="shared" si="417"/>
        <v/>
      </c>
      <c r="IK122" s="176"/>
      <c r="IL122" s="69" t="e">
        <f>IF(AND(Include_study?="Yes",Sufficient_data="Yes"),'Publication Bias Analysis'!AV:AV,NA())</f>
        <v>#N/A</v>
      </c>
      <c r="IM122" s="158" t="e">
        <f>IF(AND(Sufficient_data="Yes",Include_study?="Yes"),'Publication Bias Analysis'!AU:AU,NA())</f>
        <v>#N/A</v>
      </c>
      <c r="IN122" s="69" t="str">
        <f t="shared" si="418"/>
        <v/>
      </c>
      <c r="IO122" s="74" t="str">
        <f>IF(AND(Include_study?="Yes",Sufficient_data="Yes"),Z_score-('Publication Bias Analysis'!AY$30+'Publication Bias Analysis'!AY$31*Inverse_standard_error),"")</f>
        <v/>
      </c>
      <c r="IU122" s="176"/>
      <c r="IV122" s="7" t="str">
        <f>IF('Publication Bias Analysis'!BG:BG&lt;&gt;"",RANK('Publication Bias Analysis'!BG:BG,'Publication Bias Analysis'!BG:BG,1)+COUNTIF('Publication Bias Analysis'!BG$2:BG121,'Publication Bias Analysis'!BG122),"")</f>
        <v/>
      </c>
      <c r="IW122" s="124" t="str">
        <f t="shared" si="419"/>
        <v/>
      </c>
      <c r="IX122" s="125" t="e">
        <f>IF('Publication Bias Analysis'!BF122&lt;&gt;"",'Publication Bias Analysis'!BF122,NA())</f>
        <v>#N/A</v>
      </c>
      <c r="IY122" s="125" t="e">
        <f>IF('Publication Bias Analysis'!BG122&lt;&gt;"",'Publication Bias Analysis'!BG122,NA())</f>
        <v>#N/A</v>
      </c>
      <c r="IZ122" s="69" t="str">
        <f>IF(AND(Include_study?="Yes",Sufficient_data="Yes"),'Publication Bias Analysis'!BF:BF-AVERAGE('Publication Bias Analysis'!BF:BF),"")</f>
        <v/>
      </c>
      <c r="JA122" s="74" t="str">
        <f>IF(AND(Include_study?="Yes",Sufficient_data="Yes"),'Publication Bias Analysis'!BG:BG-('Publication Bias Analysis'!BJ$30+'Publication Bias Analysis'!BJ$31*'Publication Bias Analysis'!BF:BF),"")</f>
        <v/>
      </c>
      <c r="JG122" s="176"/>
      <c r="JH122" s="39" t="str">
        <f t="shared" si="420"/>
        <v/>
      </c>
      <c r="JI122" s="148" t="str">
        <f t="shared" si="332"/>
        <v/>
      </c>
      <c r="JJ122" s="74" t="str">
        <f t="shared" si="333"/>
        <v/>
      </c>
    </row>
    <row r="123" spans="1:270" x14ac:dyDescent="0.2">
      <c r="A123" s="56" t="str">
        <f t="shared" si="334"/>
        <v/>
      </c>
      <c r="B123" s="7" t="str">
        <f>IF(AND(Include_study?="Yes",Sufficient_data="Yes"),IF(Input!a_&lt;&gt;"",Input!a_,Input!n1_-Input!b_),"")</f>
        <v/>
      </c>
      <c r="C123" s="7" t="str">
        <f>IF(AND(Include_study?="Yes",Sufficient_data="Yes"),IF(Input!b_&lt;&gt;"",Input!b_,Input!n1_-Input!a_),"")</f>
        <v/>
      </c>
      <c r="D123" s="7" t="str">
        <f>IF(AND(Include_study?="Yes",Sufficient_data="Yes"),IF(Input!c_&lt;&gt;"",Input!c_,Input!n2_-Input!d_),"")</f>
        <v/>
      </c>
      <c r="E123" s="7" t="str">
        <f>IF(AND(Include_study?="Yes",Sufficient_data="Yes"),IF(Input!d_&lt;&gt;"",Input!d_,Input!n2_-Input!c_),"")</f>
        <v/>
      </c>
      <c r="F123" s="74" t="str">
        <f t="shared" si="335"/>
        <v/>
      </c>
      <c r="H123" s="196"/>
      <c r="I123" s="182"/>
      <c r="J123" s="146" t="str">
        <f t="shared" si="245"/>
        <v/>
      </c>
      <c r="K123" s="39" t="str">
        <f t="shared" si="336"/>
        <v/>
      </c>
      <c r="L123" s="39" t="str">
        <f t="shared" si="337"/>
        <v/>
      </c>
      <c r="M123" s="39" t="str">
        <f t="shared" si="338"/>
        <v/>
      </c>
      <c r="N123" s="74" t="str">
        <f t="shared" si="339"/>
        <v/>
      </c>
      <c r="P123" s="176"/>
      <c r="Q123" s="130" t="str">
        <f t="shared" si="340"/>
        <v/>
      </c>
      <c r="R123" s="39" t="str">
        <f t="shared" si="341"/>
        <v/>
      </c>
      <c r="S123" s="39" t="str">
        <f t="shared" si="342"/>
        <v/>
      </c>
      <c r="T123" s="74" t="str">
        <f t="shared" si="343"/>
        <v/>
      </c>
      <c r="V123" s="176"/>
      <c r="W123" s="130" t="str">
        <f t="shared" si="344"/>
        <v/>
      </c>
      <c r="X123" s="39" t="str">
        <f t="shared" si="345"/>
        <v/>
      </c>
      <c r="Y123" s="39" t="str">
        <f t="shared" si="346"/>
        <v/>
      </c>
      <c r="Z123" s="74" t="str">
        <f t="shared" si="347"/>
        <v/>
      </c>
      <c r="AB123" s="176"/>
      <c r="AC123" s="130" t="str">
        <f t="shared" si="348"/>
        <v/>
      </c>
      <c r="AD123" s="39" t="str">
        <f t="shared" si="349"/>
        <v/>
      </c>
      <c r="AE123" s="39" t="str">
        <f t="shared" si="350"/>
        <v/>
      </c>
      <c r="AF123" s="39" t="str">
        <f t="shared" si="351"/>
        <v/>
      </c>
      <c r="AG123" s="74" t="str">
        <f t="shared" si="352"/>
        <v/>
      </c>
      <c r="AI123" s="196"/>
      <c r="AJ12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3" s="136" t="str">
        <f>IF(AJ123&lt;&gt;"",IF(AJ123=0,COUNTIF(AJ$2:AJ122,0)+1,COUNTIF(AJ$2:AJ122,AJ123)+AJ123+COUNTIF(AJ:AJ,0)),"")</f>
        <v/>
      </c>
      <c r="AL123" s="136" t="str">
        <f t="shared" si="263"/>
        <v/>
      </c>
      <c r="AM123" s="155" t="str">
        <f>IF(AND(Include_study?="Yes",Sufficient_data="Yes",Input!Study_name&lt;&gt;""),Input!Study_name,"")</f>
        <v/>
      </c>
      <c r="AN123" s="136" t="str">
        <f t="shared" si="264"/>
        <v/>
      </c>
      <c r="AO123" s="19" t="str">
        <f t="shared" si="353"/>
        <v/>
      </c>
      <c r="AP123" s="158" t="str">
        <f t="shared" si="354"/>
        <v/>
      </c>
      <c r="AQ123" s="158" t="str">
        <f t="shared" si="355"/>
        <v/>
      </c>
      <c r="AR123" s="39" t="str">
        <f t="shared" si="356"/>
        <v/>
      </c>
      <c r="AS123" s="158" t="str">
        <f t="shared" si="357"/>
        <v/>
      </c>
      <c r="AT123" s="39" t="str">
        <f t="shared" si="358"/>
        <v/>
      </c>
      <c r="AU123" s="172" t="str">
        <f t="shared" si="359"/>
        <v/>
      </c>
      <c r="AV123" s="45"/>
      <c r="AW123" s="84" t="e">
        <f t="shared" si="360"/>
        <v>#N/A</v>
      </c>
      <c r="AX123" s="69" t="e">
        <f t="shared" si="361"/>
        <v>#N/A</v>
      </c>
      <c r="AY123" s="74" t="e">
        <f t="shared" si="362"/>
        <v>#N/A</v>
      </c>
      <c r="AZ123" s="45"/>
      <c r="BA123" s="45"/>
      <c r="BB123" s="45"/>
      <c r="BC123" s="45"/>
      <c r="BD123" s="196"/>
      <c r="BE123" s="182"/>
      <c r="BF123" s="69" t="str">
        <f t="shared" si="363"/>
        <v/>
      </c>
      <c r="BG123" s="69" t="str">
        <f t="shared" si="364"/>
        <v/>
      </c>
      <c r="BH123" s="69" t="str">
        <f t="shared" si="365"/>
        <v/>
      </c>
      <c r="BI123" s="39" t="str">
        <f t="shared" si="366"/>
        <v/>
      </c>
      <c r="BJ123" s="95" t="str">
        <f t="shared" si="367"/>
        <v/>
      </c>
      <c r="BO123" s="176"/>
      <c r="BP123" s="158" t="str">
        <f t="shared" si="368"/>
        <v/>
      </c>
      <c r="BQ123" s="158" t="str">
        <f t="shared" si="369"/>
        <v/>
      </c>
      <c r="BR123" s="158" t="str">
        <f t="shared" si="370"/>
        <v/>
      </c>
      <c r="BS123" s="158" t="str">
        <f>IF(AND(Sufficient_data="Yes",Include_study?="Yes"),IF(Add_0_5="Yes",(a_+d_+1)*(ab_+0.5)*(c_+0.5)/(Number_of_subjects+2)^2,(a_+d_)*b_*c_/Number_of_subjects^2),"")</f>
        <v/>
      </c>
      <c r="BT123" s="158" t="str">
        <f t="shared" si="371"/>
        <v/>
      </c>
      <c r="BU123" s="158" t="str">
        <f t="shared" si="372"/>
        <v/>
      </c>
      <c r="BV123" s="158" t="str">
        <f t="shared" si="373"/>
        <v/>
      </c>
      <c r="BW123" s="69" t="str">
        <f t="shared" si="374"/>
        <v/>
      </c>
      <c r="BX123" s="137" t="str">
        <f t="shared" si="375"/>
        <v/>
      </c>
      <c r="BY123" s="95" t="str">
        <f t="shared" si="376"/>
        <v/>
      </c>
      <c r="CD123" s="176"/>
      <c r="CE123" s="130" t="str">
        <f t="shared" si="377"/>
        <v/>
      </c>
      <c r="CF123" s="39" t="str">
        <f t="shared" si="378"/>
        <v/>
      </c>
      <c r="CG123" s="39" t="str">
        <f t="shared" si="379"/>
        <v/>
      </c>
      <c r="CH123" s="39" t="str">
        <f t="shared" si="380"/>
        <v/>
      </c>
      <c r="CI123" s="39" t="str">
        <f t="shared" si="381"/>
        <v/>
      </c>
      <c r="CJ123" s="39" t="str">
        <f t="shared" si="287"/>
        <v/>
      </c>
      <c r="CK123" s="95" t="str">
        <f t="shared" si="382"/>
        <v/>
      </c>
      <c r="CP123" s="176"/>
      <c r="CQ123" s="99" t="str">
        <f t="shared" si="383"/>
        <v/>
      </c>
      <c r="CX123" s="196"/>
      <c r="CY123" s="89" t="e">
        <f t="shared" si="384"/>
        <v>#N/A</v>
      </c>
      <c r="CZ123" s="136" t="str">
        <f t="shared" si="385"/>
        <v/>
      </c>
      <c r="DA123" s="140" t="str">
        <f t="shared" si="386"/>
        <v/>
      </c>
      <c r="DB123" s="39" t="str">
        <f t="shared" si="387"/>
        <v/>
      </c>
      <c r="DC123" s="39" t="str">
        <f t="shared" si="388"/>
        <v/>
      </c>
      <c r="DD123" s="39" t="str">
        <f t="shared" si="389"/>
        <v/>
      </c>
      <c r="DE123" s="39" t="str">
        <f t="shared" si="390"/>
        <v/>
      </c>
      <c r="DF123" s="141" t="str">
        <f t="shared" si="391"/>
        <v/>
      </c>
      <c r="DG123" s="39" t="str">
        <f t="shared" si="392"/>
        <v/>
      </c>
      <c r="DH123" s="39" t="str">
        <f t="shared" si="393"/>
        <v/>
      </c>
      <c r="DI123" s="39" t="str">
        <f t="shared" si="394"/>
        <v/>
      </c>
      <c r="DJ123" s="74" t="str">
        <f t="shared" si="395"/>
        <v/>
      </c>
      <c r="DK123" s="45"/>
      <c r="DL123" s="84" t="e">
        <f t="shared" si="423"/>
        <v>#N/A</v>
      </c>
      <c r="DM123" s="39" t="e">
        <f t="shared" si="396"/>
        <v>#N/A</v>
      </c>
      <c r="DN123" s="74" t="e">
        <f t="shared" si="397"/>
        <v>#N/A</v>
      </c>
      <c r="DO123" s="45"/>
      <c r="DP123" s="89" t="str">
        <f t="shared" si="326"/>
        <v/>
      </c>
      <c r="DQ123" s="26" t="str">
        <f>IF(AND(Sufficient_data="Yes",Subgroup&lt;&gt;""),IF(COUNTIFS(Input!J$2:J122,"="&amp;"Yes",Input!C$2:C122,"="&amp;"Yes",Input!K$2:K122,"="&amp;Subgroup)&gt;0,"",Subgroup),"")</f>
        <v/>
      </c>
      <c r="DR123" s="7" t="str">
        <f t="shared" si="327"/>
        <v/>
      </c>
      <c r="DS123" s="7" t="str">
        <f t="shared" si="398"/>
        <v/>
      </c>
      <c r="DT123" s="19" t="str">
        <f t="shared" si="399"/>
        <v/>
      </c>
      <c r="DU123" s="12" t="str">
        <f t="shared" si="424"/>
        <v/>
      </c>
      <c r="DV123" s="11" t="str">
        <f t="shared" si="425"/>
        <v/>
      </c>
      <c r="DW123" s="12" t="str">
        <f t="shared" si="426"/>
        <v/>
      </c>
      <c r="DX123" s="12" t="str">
        <f t="shared" si="400"/>
        <v/>
      </c>
      <c r="DY123" s="19" t="str">
        <f t="shared" si="427"/>
        <v/>
      </c>
      <c r="DZ123" s="12" t="str">
        <f t="shared" si="428"/>
        <v/>
      </c>
      <c r="EA123" s="19" t="str">
        <f t="shared" si="401"/>
        <v/>
      </c>
      <c r="EB123" s="7" t="str">
        <f t="shared" si="402"/>
        <v/>
      </c>
      <c r="EC123" s="19" t="str">
        <f t="shared" si="403"/>
        <v/>
      </c>
      <c r="ED123" s="19" t="str">
        <f t="shared" si="404"/>
        <v/>
      </c>
      <c r="EE123" s="19" t="str">
        <f t="shared" si="429"/>
        <v/>
      </c>
      <c r="EF123" s="19" t="str">
        <f t="shared" si="430"/>
        <v/>
      </c>
      <c r="EG123" s="19" t="str">
        <f t="shared" si="431"/>
        <v/>
      </c>
      <c r="EH123" s="19" t="str">
        <f t="shared" si="432"/>
        <v/>
      </c>
      <c r="EI123" s="19" t="str">
        <f t="shared" si="433"/>
        <v/>
      </c>
      <c r="EJ123" s="19" t="str">
        <f t="shared" si="405"/>
        <v/>
      </c>
      <c r="EK123" s="19" t="str">
        <f t="shared" si="406"/>
        <v/>
      </c>
      <c r="EL123" s="19" t="str">
        <f t="shared" si="434"/>
        <v/>
      </c>
      <c r="EM123" s="19" t="str">
        <f t="shared" si="435"/>
        <v/>
      </c>
      <c r="EN123" s="19" t="str">
        <f t="shared" si="436"/>
        <v/>
      </c>
      <c r="EO123" s="19" t="str">
        <f t="shared" si="437"/>
        <v/>
      </c>
      <c r="EP123" s="19" t="str">
        <f t="shared" si="438"/>
        <v/>
      </c>
      <c r="EQ123" s="19" t="e">
        <f t="shared" si="439"/>
        <v>#N/A</v>
      </c>
      <c r="ER123" s="11" t="str">
        <f t="shared" si="328"/>
        <v/>
      </c>
      <c r="ES123" s="19" t="str">
        <f t="shared" si="329"/>
        <v/>
      </c>
      <c r="ET123" s="156" t="str">
        <f t="shared" si="407"/>
        <v/>
      </c>
      <c r="EU123" s="39" t="str">
        <f t="shared" si="440"/>
        <v/>
      </c>
      <c r="EV123" s="74" t="str">
        <f t="shared" si="408"/>
        <v/>
      </c>
      <c r="FA123" s="196"/>
      <c r="FB123" s="84" t="e">
        <f>IF(AND(Include_study?="Yes",Sufficient_data="Yes",Moderator&lt;&gt;""),'Moderator Analysis'!E123,NA())</f>
        <v>#N/A</v>
      </c>
      <c r="FC123" s="39" t="e">
        <f>IF(AND(Include_study?="Yes",Sufficient_data="Yes",Moderator&lt;&gt;""),'Moderator Analysis'!F123,NA())</f>
        <v>#N/A</v>
      </c>
      <c r="FD123" s="39" t="str">
        <f t="shared" si="409"/>
        <v/>
      </c>
      <c r="FE123" s="39" t="str">
        <f t="shared" si="410"/>
        <v/>
      </c>
      <c r="FF123" s="39" t="str">
        <f>IF(AND(Include_study?="Yes",Sufficient_data="Yes",Moderator&lt;&gt;""),'Moderator Analysis'!F:F-FP$2,"")</f>
        <v/>
      </c>
      <c r="FG123" s="39" t="str">
        <f>IF(AND(Include_study?="Yes",Sufficient_data="Yes",Moderator&lt;&gt;""),'Moderator Analysis'!E:E-FP$3,"")</f>
        <v/>
      </c>
      <c r="FH123" s="74" t="str">
        <f>IF(AND(Include_study?="Yes",Sufficient_data="Yes",Moderator&lt;&gt;""),FE:FE*('Moderator Analysis'!F:F-FP$5-FP$4*'Moderator Analysis'!E:E)^2,"")</f>
        <v/>
      </c>
      <c r="FI123" s="128"/>
      <c r="FJ123" s="92" t="str">
        <f t="shared" si="411"/>
        <v/>
      </c>
      <c r="FK123" s="137" t="str">
        <f>IF(AND(Include_study?="Yes",Sufficient_data="Yes",Moderator&lt;&gt;""),'Moderator Analysis'!F:F-'Moderator Analysis'!J$37,"")</f>
        <v/>
      </c>
      <c r="FL123" s="137" t="str">
        <f>IF(AND(Include_study?="Yes",Sufficient_data="Yes",Moderator&lt;&gt;""),'Moderator Analysis'!E:E-SUMPRODUCT('Moderator Analysis'!E:E,FJ:FJ)/SUM(FJ:FJ),"")</f>
        <v/>
      </c>
      <c r="FM123" s="95" t="str">
        <f>IF(AND(Include_study?="Yes",Sufficient_data="Yes",Moderator&lt;&gt;""),FJ:FJ*('Moderator Analysis'!F:F-'Moderator Analysis'!J$29-'Moderator Analysis'!J$30*'Moderator Analysis'!E:E)^2,"")</f>
        <v/>
      </c>
      <c r="FR123" s="196"/>
      <c r="FS123" s="182"/>
      <c r="FT12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3" s="39" t="str">
        <f>IF(AND(Include_study?="Yes",Sufficient_data="Yes"),1/('Publication Bias Analysis'!F:F^2+IF(Additional_model="Fixed effect",0,Calculations!GH$12)),"")</f>
        <v/>
      </c>
      <c r="FV123" s="39" t="str">
        <f>IF(AND(Include_study?="Yes",Sufficient_data="Yes"),1/('Publication Bias Analysis'!F:F^2+IF(Additional_model="Fixed effect",0,'Publication Bias Analysis'!L$32)),"")</f>
        <v/>
      </c>
      <c r="FW123" s="39" t="str">
        <f>IF(AND(Include_study?="Yes",Sufficient_data="Yes"),'Publication Bias Analysis'!E:E-'Publication Bias Analysis'!I$37,"")</f>
        <v/>
      </c>
      <c r="FX123" s="39" t="str">
        <f>IF(AND(Include_study?="Yes",Sufficient_data="Yes"),IF(Additional_model="Fixed effect",1/'Publication Bias Analysis'!F:F,1/SQRT('Publication Bias Analysis'!F:F^2+GH$12)),"")</f>
        <v/>
      </c>
      <c r="FY12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3" s="136" t="str">
        <f t="shared" si="412"/>
        <v/>
      </c>
      <c r="GA123" s="144" t="str">
        <f>IF(AND(Include_study?="Yes",Sufficient_data="Yes"),FZ:FZ+IF(GL:GL&lt;0,-1,1)*COUNTIF(FZ$2:FZ122,FZ:FZ),"")</f>
        <v/>
      </c>
      <c r="GB123" s="144" t="str">
        <f>IF(AND(Include_study?="Yes",Sufficient_data="Yes"),RANK(GP:GP,GP:GP,1)*IF(GO:GO&lt;0,-1,1)+IF(GO:GO&lt;0,-1,1)*COUNTIF(FZ$2:FZ122,FZ:FZ),"")</f>
        <v/>
      </c>
      <c r="GC123" s="144" t="str">
        <f>IF(AND(Include_study?="Yes",Sufficient_data="Yes"),RANK(GS:GS,GS:GS,1)*IF(GR:GR&lt;0,-1,1)+IF(GR:GR&lt;0,-1,1)*COUNTIF(FZ$2:FZ122,FZ:FZ),"")</f>
        <v/>
      </c>
      <c r="GD123" s="39" t="e">
        <f>IF(AND(Include_study?="Yes",Sufficient_data="Yes"),'Publication Bias Analysis'!E123,NA())</f>
        <v>#N/A</v>
      </c>
      <c r="GE123" s="74" t="e">
        <f>IF(AND(Include_study?="Yes",Sufficient_data="Yes"),'Publication Bias Analysis'!F123,NA())</f>
        <v>#N/A</v>
      </c>
      <c r="GK123" s="176"/>
      <c r="GL12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3" s="39" t="str">
        <f t="shared" si="413"/>
        <v/>
      </c>
      <c r="GN12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3" s="39" t="str">
        <f>IF(AND(Include_study?="Yes",Sufficient_data="Yes"),IF('Publication Bias Analysis'!L$38="Left",'Publication Bias Analysis'!E:E-GW$3,GW$3-'Publication Bias Analysis'!E:E),"")</f>
        <v/>
      </c>
      <c r="GP123" s="39" t="str">
        <f t="shared" si="330"/>
        <v/>
      </c>
      <c r="GQ12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3" s="39" t="str">
        <f>IF(AND(Include_study?="Yes",Sufficient_data="Yes"),IF('Publication Bias Analysis'!L$38="Left",'Publication Bias Analysis'!E:E-GW$10,GW$10-'Publication Bias Analysis'!E:E),"")</f>
        <v/>
      </c>
      <c r="GS123" s="39" t="str">
        <f t="shared" si="331"/>
        <v/>
      </c>
      <c r="GT12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3" s="176"/>
      <c r="HL123" s="69" t="str">
        <f t="shared" si="319"/>
        <v/>
      </c>
      <c r="HM123" s="74" t="str">
        <f>IF(AND(Include_study?="Yes",Sufficient_data="Yes"),Z_score-('Publication Bias Analysis'!P$3+'Publication Bias Analysis'!P$4*Inverse_standard_error),"")</f>
        <v/>
      </c>
      <c r="HO123" s="176"/>
      <c r="HP123" s="69" t="str">
        <f>IF(AND(Include_study?="Yes",Sufficient_data="Yes"),(GD:GD-SUMPRODUCT(Calculations!FT:FT,'Publication Bias Analysis'!E:E)/SUM(Calculations!FT:FT))/SQRT(Calculations!HQ:HQ),"")</f>
        <v/>
      </c>
      <c r="HQ123" s="69" t="str">
        <f>IF(AND(Include_study?="Yes",Sufficient_data="Yes"),GE:GE^2-1/SUM(Calculations!FT:FT),"")</f>
        <v/>
      </c>
      <c r="HR123" s="7" t="str">
        <f t="shared" si="441"/>
        <v/>
      </c>
      <c r="HS123" s="7" t="str">
        <f t="shared" si="442"/>
        <v/>
      </c>
      <c r="HT123" s="7" t="str">
        <f>IF(AND(Include_study?="Yes",Sufficient_data="Yes"),COUNTIFS(HR$2:HR122,"&lt;"&amp;HR123,HS$2:HS122,"&lt;"&amp;HS123)+COUNTIFS(HR124:HR$201,"&lt;"&amp;HR123,HS124:HS$201,"&lt;"&amp;HS123)+COUNTIFS(HR$2:HR122,"&gt;"&amp;HR123,HS$2:HS122,"&gt;"&amp;HS123)+COUNTIFS(HR124:HR$201,"&gt;"&amp;HR123,HS124:HS$201,"&gt;"&amp;HS123),"")</f>
        <v/>
      </c>
      <c r="HU123" s="104" t="str">
        <f>IF(AND(Include_study?="Yes",Sufficient_data="Yes"),COUNTIFS(HR$2:HR122,"&lt;"&amp;HR123,HS$2:HS122,"&gt;"&amp;HS123)+COUNTIFS(HR124:HR$201,"&lt;"&amp;HR123,HS124:HS$201,"&gt;"&amp;HS123)+COUNTIFS(HR$2:HR122,"&gt;"&amp;HR123,HS$2:HS122,"&lt;"&amp;HS123)+COUNTIFS(HR124:HR$201,"&gt;"&amp;HR123,HS124:HS$201,"&lt;"&amp;HS123),"")</f>
        <v/>
      </c>
      <c r="HW123" s="176"/>
      <c r="IB123" s="176"/>
      <c r="IC123" s="146" t="e">
        <f t="shared" si="414"/>
        <v>#N/A</v>
      </c>
      <c r="ID123" s="137" t="e">
        <f t="shared" si="415"/>
        <v>#N/A</v>
      </c>
      <c r="IE123" s="137" t="str">
        <f t="shared" si="416"/>
        <v/>
      </c>
      <c r="IF123" s="95" t="str">
        <f t="shared" si="417"/>
        <v/>
      </c>
      <c r="IK123" s="176"/>
      <c r="IL123" s="69" t="e">
        <f>IF(AND(Include_study?="Yes",Sufficient_data="Yes"),'Publication Bias Analysis'!AV:AV,NA())</f>
        <v>#N/A</v>
      </c>
      <c r="IM123" s="158" t="e">
        <f>IF(AND(Sufficient_data="Yes",Include_study?="Yes"),'Publication Bias Analysis'!AU:AU,NA())</f>
        <v>#N/A</v>
      </c>
      <c r="IN123" s="69" t="str">
        <f t="shared" si="418"/>
        <v/>
      </c>
      <c r="IO123" s="74" t="str">
        <f>IF(AND(Include_study?="Yes",Sufficient_data="Yes"),Z_score-('Publication Bias Analysis'!AY$30+'Publication Bias Analysis'!AY$31*Inverse_standard_error),"")</f>
        <v/>
      </c>
      <c r="IU123" s="176"/>
      <c r="IV123" s="7" t="str">
        <f>IF('Publication Bias Analysis'!BG:BG&lt;&gt;"",RANK('Publication Bias Analysis'!BG:BG,'Publication Bias Analysis'!BG:BG,1)+COUNTIF('Publication Bias Analysis'!BG$2:BG122,'Publication Bias Analysis'!BG123),"")</f>
        <v/>
      </c>
      <c r="IW123" s="124" t="str">
        <f t="shared" si="419"/>
        <v/>
      </c>
      <c r="IX123" s="125" t="e">
        <f>IF('Publication Bias Analysis'!BF123&lt;&gt;"",'Publication Bias Analysis'!BF123,NA())</f>
        <v>#N/A</v>
      </c>
      <c r="IY123" s="125" t="e">
        <f>IF('Publication Bias Analysis'!BG123&lt;&gt;"",'Publication Bias Analysis'!BG123,NA())</f>
        <v>#N/A</v>
      </c>
      <c r="IZ123" s="69" t="str">
        <f>IF(AND(Include_study?="Yes",Sufficient_data="Yes"),'Publication Bias Analysis'!BF:BF-AVERAGE('Publication Bias Analysis'!BF:BF),"")</f>
        <v/>
      </c>
      <c r="JA123" s="74" t="str">
        <f>IF(AND(Include_study?="Yes",Sufficient_data="Yes"),'Publication Bias Analysis'!BG:BG-('Publication Bias Analysis'!BJ$30+'Publication Bias Analysis'!BJ$31*'Publication Bias Analysis'!BF:BF),"")</f>
        <v/>
      </c>
      <c r="JG123" s="176"/>
      <c r="JH123" s="39" t="str">
        <f t="shared" si="420"/>
        <v/>
      </c>
      <c r="JI123" s="148" t="str">
        <f t="shared" si="332"/>
        <v/>
      </c>
      <c r="JJ123" s="74" t="str">
        <f t="shared" si="333"/>
        <v/>
      </c>
    </row>
    <row r="124" spans="1:270" x14ac:dyDescent="0.2">
      <c r="A124" s="56" t="str">
        <f t="shared" si="334"/>
        <v/>
      </c>
      <c r="B124" s="7" t="str">
        <f>IF(AND(Include_study?="Yes",Sufficient_data="Yes"),IF(Input!a_&lt;&gt;"",Input!a_,Input!n1_-Input!b_),"")</f>
        <v/>
      </c>
      <c r="C124" s="7" t="str">
        <f>IF(AND(Include_study?="Yes",Sufficient_data="Yes"),IF(Input!b_&lt;&gt;"",Input!b_,Input!n1_-Input!a_),"")</f>
        <v/>
      </c>
      <c r="D124" s="7" t="str">
        <f>IF(AND(Include_study?="Yes",Sufficient_data="Yes"),IF(Input!c_&lt;&gt;"",Input!c_,Input!n2_-Input!d_),"")</f>
        <v/>
      </c>
      <c r="E124" s="7" t="str">
        <f>IF(AND(Include_study?="Yes",Sufficient_data="Yes"),IF(Input!d_&lt;&gt;"",Input!d_,Input!n2_-Input!c_),"")</f>
        <v/>
      </c>
      <c r="F124" s="74" t="str">
        <f t="shared" si="335"/>
        <v/>
      </c>
      <c r="H124" s="196"/>
      <c r="I124" s="182"/>
      <c r="J124" s="146" t="str">
        <f t="shared" si="245"/>
        <v/>
      </c>
      <c r="K124" s="39" t="str">
        <f t="shared" si="336"/>
        <v/>
      </c>
      <c r="L124" s="39" t="str">
        <f t="shared" si="337"/>
        <v/>
      </c>
      <c r="M124" s="39" t="str">
        <f t="shared" si="338"/>
        <v/>
      </c>
      <c r="N124" s="74" t="str">
        <f t="shared" si="339"/>
        <v/>
      </c>
      <c r="P124" s="176"/>
      <c r="Q124" s="130" t="str">
        <f t="shared" si="340"/>
        <v/>
      </c>
      <c r="R124" s="39" t="str">
        <f t="shared" si="341"/>
        <v/>
      </c>
      <c r="S124" s="39" t="str">
        <f t="shared" si="342"/>
        <v/>
      </c>
      <c r="T124" s="74" t="str">
        <f t="shared" si="343"/>
        <v/>
      </c>
      <c r="V124" s="176"/>
      <c r="W124" s="130" t="str">
        <f t="shared" si="344"/>
        <v/>
      </c>
      <c r="X124" s="39" t="str">
        <f t="shared" si="345"/>
        <v/>
      </c>
      <c r="Y124" s="39" t="str">
        <f t="shared" si="346"/>
        <v/>
      </c>
      <c r="Z124" s="74" t="str">
        <f t="shared" si="347"/>
        <v/>
      </c>
      <c r="AB124" s="176"/>
      <c r="AC124" s="130" t="str">
        <f t="shared" si="348"/>
        <v/>
      </c>
      <c r="AD124" s="39" t="str">
        <f t="shared" si="349"/>
        <v/>
      </c>
      <c r="AE124" s="39" t="str">
        <f t="shared" si="350"/>
        <v/>
      </c>
      <c r="AF124" s="39" t="str">
        <f t="shared" si="351"/>
        <v/>
      </c>
      <c r="AG124" s="74" t="str">
        <f t="shared" si="352"/>
        <v/>
      </c>
      <c r="AI124" s="196"/>
      <c r="AJ12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4" s="136" t="str">
        <f>IF(AJ124&lt;&gt;"",IF(AJ124=0,COUNTIF(AJ$2:AJ123,0)+1,COUNTIF(AJ$2:AJ123,AJ124)+AJ124+COUNTIF(AJ:AJ,0)),"")</f>
        <v/>
      </c>
      <c r="AL124" s="136" t="str">
        <f t="shared" si="263"/>
        <v/>
      </c>
      <c r="AM124" s="155" t="str">
        <f>IF(AND(Include_study?="Yes",Sufficient_data="Yes",Input!Study_name&lt;&gt;""),Input!Study_name,"")</f>
        <v/>
      </c>
      <c r="AN124" s="136" t="str">
        <f t="shared" si="264"/>
        <v/>
      </c>
      <c r="AO124" s="19" t="str">
        <f t="shared" si="353"/>
        <v/>
      </c>
      <c r="AP124" s="158" t="str">
        <f t="shared" si="354"/>
        <v/>
      </c>
      <c r="AQ124" s="158" t="str">
        <f t="shared" si="355"/>
        <v/>
      </c>
      <c r="AR124" s="39" t="str">
        <f t="shared" si="356"/>
        <v/>
      </c>
      <c r="AS124" s="158" t="str">
        <f t="shared" si="357"/>
        <v/>
      </c>
      <c r="AT124" s="39" t="str">
        <f t="shared" si="358"/>
        <v/>
      </c>
      <c r="AU124" s="172" t="str">
        <f t="shared" si="359"/>
        <v/>
      </c>
      <c r="AV124" s="45"/>
      <c r="AW124" s="84" t="e">
        <f t="shared" si="360"/>
        <v>#N/A</v>
      </c>
      <c r="AX124" s="69" t="e">
        <f t="shared" si="361"/>
        <v>#N/A</v>
      </c>
      <c r="AY124" s="74" t="e">
        <f t="shared" si="362"/>
        <v>#N/A</v>
      </c>
      <c r="AZ124" s="45"/>
      <c r="BA124" s="45"/>
      <c r="BB124" s="45"/>
      <c r="BC124" s="45"/>
      <c r="BD124" s="196"/>
      <c r="BE124" s="182"/>
      <c r="BF124" s="69" t="str">
        <f t="shared" si="363"/>
        <v/>
      </c>
      <c r="BG124" s="69" t="str">
        <f t="shared" si="364"/>
        <v/>
      </c>
      <c r="BH124" s="69" t="str">
        <f t="shared" si="365"/>
        <v/>
      </c>
      <c r="BI124" s="39" t="str">
        <f t="shared" si="366"/>
        <v/>
      </c>
      <c r="BJ124" s="95" t="str">
        <f t="shared" si="367"/>
        <v/>
      </c>
      <c r="BO124" s="176"/>
      <c r="BP124" s="158" t="str">
        <f t="shared" si="368"/>
        <v/>
      </c>
      <c r="BQ124" s="158" t="str">
        <f t="shared" si="369"/>
        <v/>
      </c>
      <c r="BR124" s="158" t="str">
        <f t="shared" si="370"/>
        <v/>
      </c>
      <c r="BS124" s="158" t="str">
        <f>IF(AND(Sufficient_data="Yes",Include_study?="Yes"),IF(Add_0_5="Yes",(a_+d_+1)*(ab_+0.5)*(c_+0.5)/(Number_of_subjects+2)^2,(a_+d_)*b_*c_/Number_of_subjects^2),"")</f>
        <v/>
      </c>
      <c r="BT124" s="158" t="str">
        <f t="shared" si="371"/>
        <v/>
      </c>
      <c r="BU124" s="158" t="str">
        <f t="shared" si="372"/>
        <v/>
      </c>
      <c r="BV124" s="158" t="str">
        <f t="shared" si="373"/>
        <v/>
      </c>
      <c r="BW124" s="69" t="str">
        <f t="shared" si="374"/>
        <v/>
      </c>
      <c r="BX124" s="137" t="str">
        <f t="shared" si="375"/>
        <v/>
      </c>
      <c r="BY124" s="95" t="str">
        <f t="shared" si="376"/>
        <v/>
      </c>
      <c r="CD124" s="176"/>
      <c r="CE124" s="130" t="str">
        <f t="shared" si="377"/>
        <v/>
      </c>
      <c r="CF124" s="39" t="str">
        <f t="shared" si="378"/>
        <v/>
      </c>
      <c r="CG124" s="39" t="str">
        <f t="shared" si="379"/>
        <v/>
      </c>
      <c r="CH124" s="39" t="str">
        <f t="shared" si="380"/>
        <v/>
      </c>
      <c r="CI124" s="39" t="str">
        <f t="shared" si="381"/>
        <v/>
      </c>
      <c r="CJ124" s="39" t="str">
        <f t="shared" si="287"/>
        <v/>
      </c>
      <c r="CK124" s="95" t="str">
        <f t="shared" si="382"/>
        <v/>
      </c>
      <c r="CP124" s="176"/>
      <c r="CQ124" s="99" t="str">
        <f t="shared" si="383"/>
        <v/>
      </c>
      <c r="CX124" s="196"/>
      <c r="CY124" s="89" t="e">
        <f t="shared" si="384"/>
        <v>#N/A</v>
      </c>
      <c r="CZ124" s="136" t="str">
        <f t="shared" si="385"/>
        <v/>
      </c>
      <c r="DA124" s="140" t="str">
        <f t="shared" si="386"/>
        <v/>
      </c>
      <c r="DB124" s="39" t="str">
        <f t="shared" si="387"/>
        <v/>
      </c>
      <c r="DC124" s="39" t="str">
        <f t="shared" si="388"/>
        <v/>
      </c>
      <c r="DD124" s="39" t="str">
        <f t="shared" si="389"/>
        <v/>
      </c>
      <c r="DE124" s="39" t="str">
        <f t="shared" si="390"/>
        <v/>
      </c>
      <c r="DF124" s="141" t="str">
        <f t="shared" si="391"/>
        <v/>
      </c>
      <c r="DG124" s="39" t="str">
        <f t="shared" si="392"/>
        <v/>
      </c>
      <c r="DH124" s="39" t="str">
        <f t="shared" si="393"/>
        <v/>
      </c>
      <c r="DI124" s="39" t="str">
        <f t="shared" si="394"/>
        <v/>
      </c>
      <c r="DJ124" s="74" t="str">
        <f t="shared" si="395"/>
        <v/>
      </c>
      <c r="DK124" s="45"/>
      <c r="DL124" s="84" t="e">
        <f t="shared" si="423"/>
        <v>#N/A</v>
      </c>
      <c r="DM124" s="39" t="e">
        <f t="shared" si="396"/>
        <v>#N/A</v>
      </c>
      <c r="DN124" s="74" t="e">
        <f t="shared" si="397"/>
        <v>#N/A</v>
      </c>
      <c r="DO124" s="45"/>
      <c r="DP124" s="89" t="str">
        <f t="shared" si="326"/>
        <v/>
      </c>
      <c r="DQ124" s="26" t="str">
        <f>IF(AND(Sufficient_data="Yes",Subgroup&lt;&gt;""),IF(COUNTIFS(Input!J$2:J123,"="&amp;"Yes",Input!C$2:C123,"="&amp;"Yes",Input!K$2:K123,"="&amp;Subgroup)&gt;0,"",Subgroup),"")</f>
        <v/>
      </c>
      <c r="DR124" s="7" t="str">
        <f t="shared" si="327"/>
        <v/>
      </c>
      <c r="DS124" s="7" t="str">
        <f t="shared" si="398"/>
        <v/>
      </c>
      <c r="DT124" s="19" t="str">
        <f t="shared" si="399"/>
        <v/>
      </c>
      <c r="DU124" s="12" t="str">
        <f t="shared" si="424"/>
        <v/>
      </c>
      <c r="DV124" s="11" t="str">
        <f t="shared" si="425"/>
        <v/>
      </c>
      <c r="DW124" s="12" t="str">
        <f t="shared" si="426"/>
        <v/>
      </c>
      <c r="DX124" s="12" t="str">
        <f t="shared" si="400"/>
        <v/>
      </c>
      <c r="DY124" s="19" t="str">
        <f t="shared" si="427"/>
        <v/>
      </c>
      <c r="DZ124" s="12" t="str">
        <f t="shared" si="428"/>
        <v/>
      </c>
      <c r="EA124" s="19" t="str">
        <f t="shared" si="401"/>
        <v/>
      </c>
      <c r="EB124" s="7" t="str">
        <f t="shared" si="402"/>
        <v/>
      </c>
      <c r="EC124" s="19" t="str">
        <f t="shared" si="403"/>
        <v/>
      </c>
      <c r="ED124" s="19" t="str">
        <f t="shared" si="404"/>
        <v/>
      </c>
      <c r="EE124" s="19" t="str">
        <f t="shared" si="429"/>
        <v/>
      </c>
      <c r="EF124" s="19" t="str">
        <f t="shared" si="430"/>
        <v/>
      </c>
      <c r="EG124" s="19" t="str">
        <f t="shared" si="431"/>
        <v/>
      </c>
      <c r="EH124" s="19" t="str">
        <f t="shared" si="432"/>
        <v/>
      </c>
      <c r="EI124" s="19" t="str">
        <f t="shared" si="433"/>
        <v/>
      </c>
      <c r="EJ124" s="19" t="str">
        <f t="shared" si="405"/>
        <v/>
      </c>
      <c r="EK124" s="19" t="str">
        <f t="shared" si="406"/>
        <v/>
      </c>
      <c r="EL124" s="19" t="str">
        <f t="shared" si="434"/>
        <v/>
      </c>
      <c r="EM124" s="19" t="str">
        <f t="shared" si="435"/>
        <v/>
      </c>
      <c r="EN124" s="19" t="str">
        <f t="shared" si="436"/>
        <v/>
      </c>
      <c r="EO124" s="19" t="str">
        <f t="shared" si="437"/>
        <v/>
      </c>
      <c r="EP124" s="19" t="str">
        <f t="shared" si="438"/>
        <v/>
      </c>
      <c r="EQ124" s="19" t="e">
        <f t="shared" si="439"/>
        <v>#N/A</v>
      </c>
      <c r="ER124" s="11" t="str">
        <f t="shared" si="328"/>
        <v/>
      </c>
      <c r="ES124" s="19" t="str">
        <f t="shared" si="329"/>
        <v/>
      </c>
      <c r="ET124" s="156" t="str">
        <f t="shared" si="407"/>
        <v/>
      </c>
      <c r="EU124" s="39" t="str">
        <f t="shared" si="440"/>
        <v/>
      </c>
      <c r="EV124" s="74" t="str">
        <f t="shared" si="408"/>
        <v/>
      </c>
      <c r="FA124" s="196"/>
      <c r="FB124" s="84" t="e">
        <f>IF(AND(Include_study?="Yes",Sufficient_data="Yes",Moderator&lt;&gt;""),'Moderator Analysis'!E124,NA())</f>
        <v>#N/A</v>
      </c>
      <c r="FC124" s="39" t="e">
        <f>IF(AND(Include_study?="Yes",Sufficient_data="Yes",Moderator&lt;&gt;""),'Moderator Analysis'!F124,NA())</f>
        <v>#N/A</v>
      </c>
      <c r="FD124" s="39" t="str">
        <f t="shared" si="409"/>
        <v/>
      </c>
      <c r="FE124" s="39" t="str">
        <f t="shared" si="410"/>
        <v/>
      </c>
      <c r="FF124" s="39" t="str">
        <f>IF(AND(Include_study?="Yes",Sufficient_data="Yes",Moderator&lt;&gt;""),'Moderator Analysis'!F:F-FP$2,"")</f>
        <v/>
      </c>
      <c r="FG124" s="39" t="str">
        <f>IF(AND(Include_study?="Yes",Sufficient_data="Yes",Moderator&lt;&gt;""),'Moderator Analysis'!E:E-FP$3,"")</f>
        <v/>
      </c>
      <c r="FH124" s="74" t="str">
        <f>IF(AND(Include_study?="Yes",Sufficient_data="Yes",Moderator&lt;&gt;""),FE:FE*('Moderator Analysis'!F:F-FP$5-FP$4*'Moderator Analysis'!E:E)^2,"")</f>
        <v/>
      </c>
      <c r="FI124" s="128"/>
      <c r="FJ124" s="92" t="str">
        <f t="shared" si="411"/>
        <v/>
      </c>
      <c r="FK124" s="137" t="str">
        <f>IF(AND(Include_study?="Yes",Sufficient_data="Yes",Moderator&lt;&gt;""),'Moderator Analysis'!F:F-'Moderator Analysis'!J$37,"")</f>
        <v/>
      </c>
      <c r="FL124" s="137" t="str">
        <f>IF(AND(Include_study?="Yes",Sufficient_data="Yes",Moderator&lt;&gt;""),'Moderator Analysis'!E:E-SUMPRODUCT('Moderator Analysis'!E:E,FJ:FJ)/SUM(FJ:FJ),"")</f>
        <v/>
      </c>
      <c r="FM124" s="95" t="str">
        <f>IF(AND(Include_study?="Yes",Sufficient_data="Yes",Moderator&lt;&gt;""),FJ:FJ*('Moderator Analysis'!F:F-'Moderator Analysis'!J$29-'Moderator Analysis'!J$30*'Moderator Analysis'!E:E)^2,"")</f>
        <v/>
      </c>
      <c r="FR124" s="196"/>
      <c r="FS124" s="182"/>
      <c r="FT12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4" s="39" t="str">
        <f>IF(AND(Include_study?="Yes",Sufficient_data="Yes"),1/('Publication Bias Analysis'!F:F^2+IF(Additional_model="Fixed effect",0,Calculations!GH$12)),"")</f>
        <v/>
      </c>
      <c r="FV124" s="39" t="str">
        <f>IF(AND(Include_study?="Yes",Sufficient_data="Yes"),1/('Publication Bias Analysis'!F:F^2+IF(Additional_model="Fixed effect",0,'Publication Bias Analysis'!L$32)),"")</f>
        <v/>
      </c>
      <c r="FW124" s="39" t="str">
        <f>IF(AND(Include_study?="Yes",Sufficient_data="Yes"),'Publication Bias Analysis'!E:E-'Publication Bias Analysis'!I$37,"")</f>
        <v/>
      </c>
      <c r="FX124" s="39" t="str">
        <f>IF(AND(Include_study?="Yes",Sufficient_data="Yes"),IF(Additional_model="Fixed effect",1/'Publication Bias Analysis'!F:F,1/SQRT('Publication Bias Analysis'!F:F^2+GH$12)),"")</f>
        <v/>
      </c>
      <c r="FY12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4" s="136" t="str">
        <f t="shared" si="412"/>
        <v/>
      </c>
      <c r="GA124" s="144" t="str">
        <f>IF(AND(Include_study?="Yes",Sufficient_data="Yes"),FZ:FZ+IF(GL:GL&lt;0,-1,1)*COUNTIF(FZ$2:FZ123,FZ:FZ),"")</f>
        <v/>
      </c>
      <c r="GB124" s="144" t="str">
        <f>IF(AND(Include_study?="Yes",Sufficient_data="Yes"),RANK(GP:GP,GP:GP,1)*IF(GO:GO&lt;0,-1,1)+IF(GO:GO&lt;0,-1,1)*COUNTIF(FZ$2:FZ123,FZ:FZ),"")</f>
        <v/>
      </c>
      <c r="GC124" s="144" t="str">
        <f>IF(AND(Include_study?="Yes",Sufficient_data="Yes"),RANK(GS:GS,GS:GS,1)*IF(GR:GR&lt;0,-1,1)+IF(GR:GR&lt;0,-1,1)*COUNTIF(FZ$2:FZ123,FZ:FZ),"")</f>
        <v/>
      </c>
      <c r="GD124" s="39" t="e">
        <f>IF(AND(Include_study?="Yes",Sufficient_data="Yes"),'Publication Bias Analysis'!E124,NA())</f>
        <v>#N/A</v>
      </c>
      <c r="GE124" s="74" t="e">
        <f>IF(AND(Include_study?="Yes",Sufficient_data="Yes"),'Publication Bias Analysis'!F124,NA())</f>
        <v>#N/A</v>
      </c>
      <c r="GK124" s="176"/>
      <c r="GL12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4" s="39" t="str">
        <f t="shared" si="413"/>
        <v/>
      </c>
      <c r="GN12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4" s="39" t="str">
        <f>IF(AND(Include_study?="Yes",Sufficient_data="Yes"),IF('Publication Bias Analysis'!L$38="Left",'Publication Bias Analysis'!E:E-GW$3,GW$3-'Publication Bias Analysis'!E:E),"")</f>
        <v/>
      </c>
      <c r="GP124" s="39" t="str">
        <f t="shared" si="330"/>
        <v/>
      </c>
      <c r="GQ12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4" s="39" t="str">
        <f>IF(AND(Include_study?="Yes",Sufficient_data="Yes"),IF('Publication Bias Analysis'!L$38="Left",'Publication Bias Analysis'!E:E-GW$10,GW$10-'Publication Bias Analysis'!E:E),"")</f>
        <v/>
      </c>
      <c r="GS124" s="39" t="str">
        <f t="shared" si="331"/>
        <v/>
      </c>
      <c r="GT12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4" s="176"/>
      <c r="HL124" s="69" t="str">
        <f t="shared" si="319"/>
        <v/>
      </c>
      <c r="HM124" s="74" t="str">
        <f>IF(AND(Include_study?="Yes",Sufficient_data="Yes"),Z_score-('Publication Bias Analysis'!P$3+'Publication Bias Analysis'!P$4*Inverse_standard_error),"")</f>
        <v/>
      </c>
      <c r="HO124" s="176"/>
      <c r="HP124" s="69" t="str">
        <f>IF(AND(Include_study?="Yes",Sufficient_data="Yes"),(GD:GD-SUMPRODUCT(Calculations!FT:FT,'Publication Bias Analysis'!E:E)/SUM(Calculations!FT:FT))/SQRT(Calculations!HQ:HQ),"")</f>
        <v/>
      </c>
      <c r="HQ124" s="69" t="str">
        <f>IF(AND(Include_study?="Yes",Sufficient_data="Yes"),GE:GE^2-1/SUM(Calculations!FT:FT),"")</f>
        <v/>
      </c>
      <c r="HR124" s="7" t="str">
        <f t="shared" si="441"/>
        <v/>
      </c>
      <c r="HS124" s="7" t="str">
        <f t="shared" si="442"/>
        <v/>
      </c>
      <c r="HT124" s="7" t="str">
        <f>IF(AND(Include_study?="Yes",Sufficient_data="Yes"),COUNTIFS(HR$2:HR123,"&lt;"&amp;HR124,HS$2:HS123,"&lt;"&amp;HS124)+COUNTIFS(HR125:HR$201,"&lt;"&amp;HR124,HS125:HS$201,"&lt;"&amp;HS124)+COUNTIFS(HR$2:HR123,"&gt;"&amp;HR124,HS$2:HS123,"&gt;"&amp;HS124)+COUNTIFS(HR125:HR$201,"&gt;"&amp;HR124,HS125:HS$201,"&gt;"&amp;HS124),"")</f>
        <v/>
      </c>
      <c r="HU124" s="104" t="str">
        <f>IF(AND(Include_study?="Yes",Sufficient_data="Yes"),COUNTIFS(HR$2:HR123,"&lt;"&amp;HR124,HS$2:HS123,"&gt;"&amp;HS124)+COUNTIFS(HR125:HR$201,"&lt;"&amp;HR124,HS125:HS$201,"&gt;"&amp;HS124)+COUNTIFS(HR$2:HR123,"&gt;"&amp;HR124,HS$2:HS123,"&lt;"&amp;HS124)+COUNTIFS(HR125:HR$201,"&gt;"&amp;HR124,HS125:HS$201,"&lt;"&amp;HS124),"")</f>
        <v/>
      </c>
      <c r="HW124" s="176"/>
      <c r="IB124" s="176"/>
      <c r="IC124" s="146" t="e">
        <f t="shared" si="414"/>
        <v>#N/A</v>
      </c>
      <c r="ID124" s="137" t="e">
        <f t="shared" si="415"/>
        <v>#N/A</v>
      </c>
      <c r="IE124" s="137" t="str">
        <f t="shared" si="416"/>
        <v/>
      </c>
      <c r="IF124" s="95" t="str">
        <f t="shared" si="417"/>
        <v/>
      </c>
      <c r="IK124" s="176"/>
      <c r="IL124" s="69" t="e">
        <f>IF(AND(Include_study?="Yes",Sufficient_data="Yes"),'Publication Bias Analysis'!AV:AV,NA())</f>
        <v>#N/A</v>
      </c>
      <c r="IM124" s="158" t="e">
        <f>IF(AND(Sufficient_data="Yes",Include_study?="Yes"),'Publication Bias Analysis'!AU:AU,NA())</f>
        <v>#N/A</v>
      </c>
      <c r="IN124" s="69" t="str">
        <f t="shared" si="418"/>
        <v/>
      </c>
      <c r="IO124" s="74" t="str">
        <f>IF(AND(Include_study?="Yes",Sufficient_data="Yes"),Z_score-('Publication Bias Analysis'!AY$30+'Publication Bias Analysis'!AY$31*Inverse_standard_error),"")</f>
        <v/>
      </c>
      <c r="IU124" s="176"/>
      <c r="IV124" s="7" t="str">
        <f>IF('Publication Bias Analysis'!BG:BG&lt;&gt;"",RANK('Publication Bias Analysis'!BG:BG,'Publication Bias Analysis'!BG:BG,1)+COUNTIF('Publication Bias Analysis'!BG$2:BG123,'Publication Bias Analysis'!BG124),"")</f>
        <v/>
      </c>
      <c r="IW124" s="124" t="str">
        <f t="shared" si="419"/>
        <v/>
      </c>
      <c r="IX124" s="125" t="e">
        <f>IF('Publication Bias Analysis'!BF124&lt;&gt;"",'Publication Bias Analysis'!BF124,NA())</f>
        <v>#N/A</v>
      </c>
      <c r="IY124" s="125" t="e">
        <f>IF('Publication Bias Analysis'!BG124&lt;&gt;"",'Publication Bias Analysis'!BG124,NA())</f>
        <v>#N/A</v>
      </c>
      <c r="IZ124" s="69" t="str">
        <f>IF(AND(Include_study?="Yes",Sufficient_data="Yes"),'Publication Bias Analysis'!BF:BF-AVERAGE('Publication Bias Analysis'!BF:BF),"")</f>
        <v/>
      </c>
      <c r="JA124" s="74" t="str">
        <f>IF(AND(Include_study?="Yes",Sufficient_data="Yes"),'Publication Bias Analysis'!BG:BG-('Publication Bias Analysis'!BJ$30+'Publication Bias Analysis'!BJ$31*'Publication Bias Analysis'!BF:BF),"")</f>
        <v/>
      </c>
      <c r="JG124" s="176"/>
      <c r="JH124" s="39" t="str">
        <f t="shared" si="420"/>
        <v/>
      </c>
      <c r="JI124" s="148" t="str">
        <f t="shared" si="332"/>
        <v/>
      </c>
      <c r="JJ124" s="74" t="str">
        <f t="shared" si="333"/>
        <v/>
      </c>
    </row>
    <row r="125" spans="1:270" x14ac:dyDescent="0.2">
      <c r="A125" s="56" t="str">
        <f t="shared" si="334"/>
        <v/>
      </c>
      <c r="B125" s="7" t="str">
        <f>IF(AND(Include_study?="Yes",Sufficient_data="Yes"),IF(Input!a_&lt;&gt;"",Input!a_,Input!n1_-Input!b_),"")</f>
        <v/>
      </c>
      <c r="C125" s="7" t="str">
        <f>IF(AND(Include_study?="Yes",Sufficient_data="Yes"),IF(Input!b_&lt;&gt;"",Input!b_,Input!n1_-Input!a_),"")</f>
        <v/>
      </c>
      <c r="D125" s="7" t="str">
        <f>IF(AND(Include_study?="Yes",Sufficient_data="Yes"),IF(Input!c_&lt;&gt;"",Input!c_,Input!n2_-Input!d_),"")</f>
        <v/>
      </c>
      <c r="E125" s="7" t="str">
        <f>IF(AND(Include_study?="Yes",Sufficient_data="Yes"),IF(Input!d_&lt;&gt;"",Input!d_,Input!n2_-Input!c_),"")</f>
        <v/>
      </c>
      <c r="F125" s="74" t="str">
        <f t="shared" si="335"/>
        <v/>
      </c>
      <c r="H125" s="196"/>
      <c r="I125" s="182"/>
      <c r="J125" s="146" t="str">
        <f t="shared" si="245"/>
        <v/>
      </c>
      <c r="K125" s="39" t="str">
        <f t="shared" si="336"/>
        <v/>
      </c>
      <c r="L125" s="39" t="str">
        <f t="shared" si="337"/>
        <v/>
      </c>
      <c r="M125" s="39" t="str">
        <f t="shared" si="338"/>
        <v/>
      </c>
      <c r="N125" s="74" t="str">
        <f t="shared" si="339"/>
        <v/>
      </c>
      <c r="P125" s="176"/>
      <c r="Q125" s="130" t="str">
        <f t="shared" si="340"/>
        <v/>
      </c>
      <c r="R125" s="39" t="str">
        <f t="shared" si="341"/>
        <v/>
      </c>
      <c r="S125" s="39" t="str">
        <f t="shared" si="342"/>
        <v/>
      </c>
      <c r="T125" s="74" t="str">
        <f t="shared" si="343"/>
        <v/>
      </c>
      <c r="V125" s="176"/>
      <c r="W125" s="130" t="str">
        <f t="shared" si="344"/>
        <v/>
      </c>
      <c r="X125" s="39" t="str">
        <f t="shared" si="345"/>
        <v/>
      </c>
      <c r="Y125" s="39" t="str">
        <f t="shared" si="346"/>
        <v/>
      </c>
      <c r="Z125" s="74" t="str">
        <f t="shared" si="347"/>
        <v/>
      </c>
      <c r="AB125" s="176"/>
      <c r="AC125" s="130" t="str">
        <f t="shared" si="348"/>
        <v/>
      </c>
      <c r="AD125" s="39" t="str">
        <f t="shared" si="349"/>
        <v/>
      </c>
      <c r="AE125" s="39" t="str">
        <f t="shared" si="350"/>
        <v/>
      </c>
      <c r="AF125" s="39" t="str">
        <f t="shared" si="351"/>
        <v/>
      </c>
      <c r="AG125" s="74" t="str">
        <f t="shared" si="352"/>
        <v/>
      </c>
      <c r="AI125" s="196"/>
      <c r="AJ12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5" s="136" t="str">
        <f>IF(AJ125&lt;&gt;"",IF(AJ125=0,COUNTIF(AJ$2:AJ124,0)+1,COUNTIF(AJ$2:AJ124,AJ125)+AJ125+COUNTIF(AJ:AJ,0)),"")</f>
        <v/>
      </c>
      <c r="AL125" s="136" t="str">
        <f t="shared" si="263"/>
        <v/>
      </c>
      <c r="AM125" s="155" t="str">
        <f>IF(AND(Include_study?="Yes",Sufficient_data="Yes",Input!Study_name&lt;&gt;""),Input!Study_name,"")</f>
        <v/>
      </c>
      <c r="AN125" s="136" t="str">
        <f t="shared" si="264"/>
        <v/>
      </c>
      <c r="AO125" s="19" t="str">
        <f t="shared" si="353"/>
        <v/>
      </c>
      <c r="AP125" s="158" t="str">
        <f t="shared" si="354"/>
        <v/>
      </c>
      <c r="AQ125" s="158" t="str">
        <f t="shared" si="355"/>
        <v/>
      </c>
      <c r="AR125" s="39" t="str">
        <f t="shared" si="356"/>
        <v/>
      </c>
      <c r="AS125" s="158" t="str">
        <f t="shared" si="357"/>
        <v/>
      </c>
      <c r="AT125" s="39" t="str">
        <f t="shared" si="358"/>
        <v/>
      </c>
      <c r="AU125" s="172" t="str">
        <f t="shared" si="359"/>
        <v/>
      </c>
      <c r="AV125" s="45"/>
      <c r="AW125" s="84" t="e">
        <f t="shared" si="360"/>
        <v>#N/A</v>
      </c>
      <c r="AX125" s="69" t="e">
        <f t="shared" si="361"/>
        <v>#N/A</v>
      </c>
      <c r="AY125" s="74" t="e">
        <f t="shared" si="362"/>
        <v>#N/A</v>
      </c>
      <c r="AZ125" s="45"/>
      <c r="BA125" s="45"/>
      <c r="BB125" s="45"/>
      <c r="BC125" s="45"/>
      <c r="BD125" s="196"/>
      <c r="BE125" s="182"/>
      <c r="BF125" s="69" t="str">
        <f t="shared" si="363"/>
        <v/>
      </c>
      <c r="BG125" s="69" t="str">
        <f t="shared" si="364"/>
        <v/>
      </c>
      <c r="BH125" s="69" t="str">
        <f t="shared" si="365"/>
        <v/>
      </c>
      <c r="BI125" s="39" t="str">
        <f t="shared" si="366"/>
        <v/>
      </c>
      <c r="BJ125" s="95" t="str">
        <f t="shared" si="367"/>
        <v/>
      </c>
      <c r="BO125" s="176"/>
      <c r="BP125" s="158" t="str">
        <f t="shared" si="368"/>
        <v/>
      </c>
      <c r="BQ125" s="158" t="str">
        <f t="shared" si="369"/>
        <v/>
      </c>
      <c r="BR125" s="158" t="str">
        <f t="shared" si="370"/>
        <v/>
      </c>
      <c r="BS125" s="158" t="str">
        <f>IF(AND(Sufficient_data="Yes",Include_study?="Yes"),IF(Add_0_5="Yes",(a_+d_+1)*(ab_+0.5)*(c_+0.5)/(Number_of_subjects+2)^2,(a_+d_)*b_*c_/Number_of_subjects^2),"")</f>
        <v/>
      </c>
      <c r="BT125" s="158" t="str">
        <f t="shared" si="371"/>
        <v/>
      </c>
      <c r="BU125" s="158" t="str">
        <f t="shared" si="372"/>
        <v/>
      </c>
      <c r="BV125" s="158" t="str">
        <f t="shared" si="373"/>
        <v/>
      </c>
      <c r="BW125" s="69" t="str">
        <f t="shared" si="374"/>
        <v/>
      </c>
      <c r="BX125" s="137" t="str">
        <f t="shared" si="375"/>
        <v/>
      </c>
      <c r="BY125" s="95" t="str">
        <f t="shared" si="376"/>
        <v/>
      </c>
      <c r="CD125" s="176"/>
      <c r="CE125" s="130" t="str">
        <f t="shared" si="377"/>
        <v/>
      </c>
      <c r="CF125" s="39" t="str">
        <f t="shared" si="378"/>
        <v/>
      </c>
      <c r="CG125" s="39" t="str">
        <f t="shared" si="379"/>
        <v/>
      </c>
      <c r="CH125" s="39" t="str">
        <f t="shared" si="380"/>
        <v/>
      </c>
      <c r="CI125" s="39" t="str">
        <f t="shared" si="381"/>
        <v/>
      </c>
      <c r="CJ125" s="39" t="str">
        <f t="shared" si="287"/>
        <v/>
      </c>
      <c r="CK125" s="95" t="str">
        <f t="shared" si="382"/>
        <v/>
      </c>
      <c r="CP125" s="176"/>
      <c r="CQ125" s="99" t="str">
        <f t="shared" si="383"/>
        <v/>
      </c>
      <c r="CX125" s="196"/>
      <c r="CY125" s="89" t="e">
        <f t="shared" si="384"/>
        <v>#N/A</v>
      </c>
      <c r="CZ125" s="136" t="str">
        <f t="shared" si="385"/>
        <v/>
      </c>
      <c r="DA125" s="140" t="str">
        <f t="shared" si="386"/>
        <v/>
      </c>
      <c r="DB125" s="39" t="str">
        <f t="shared" si="387"/>
        <v/>
      </c>
      <c r="DC125" s="39" t="str">
        <f t="shared" si="388"/>
        <v/>
      </c>
      <c r="DD125" s="39" t="str">
        <f t="shared" si="389"/>
        <v/>
      </c>
      <c r="DE125" s="39" t="str">
        <f t="shared" si="390"/>
        <v/>
      </c>
      <c r="DF125" s="141" t="str">
        <f t="shared" si="391"/>
        <v/>
      </c>
      <c r="DG125" s="39" t="str">
        <f t="shared" si="392"/>
        <v/>
      </c>
      <c r="DH125" s="39" t="str">
        <f t="shared" si="393"/>
        <v/>
      </c>
      <c r="DI125" s="39" t="str">
        <f t="shared" si="394"/>
        <v/>
      </c>
      <c r="DJ125" s="74" t="str">
        <f t="shared" si="395"/>
        <v/>
      </c>
      <c r="DK125" s="45"/>
      <c r="DL125" s="84" t="e">
        <f t="shared" si="423"/>
        <v>#N/A</v>
      </c>
      <c r="DM125" s="39" t="e">
        <f t="shared" si="396"/>
        <v>#N/A</v>
      </c>
      <c r="DN125" s="74" t="e">
        <f t="shared" si="397"/>
        <v>#N/A</v>
      </c>
      <c r="DO125" s="45"/>
      <c r="DP125" s="89" t="str">
        <f t="shared" si="326"/>
        <v/>
      </c>
      <c r="DQ125" s="26" t="str">
        <f>IF(AND(Sufficient_data="Yes",Subgroup&lt;&gt;""),IF(COUNTIFS(Input!J$2:J124,"="&amp;"Yes",Input!C$2:C124,"="&amp;"Yes",Input!K$2:K124,"="&amp;Subgroup)&gt;0,"",Subgroup),"")</f>
        <v/>
      </c>
      <c r="DR125" s="7" t="str">
        <f t="shared" si="327"/>
        <v/>
      </c>
      <c r="DS125" s="7" t="str">
        <f t="shared" si="398"/>
        <v/>
      </c>
      <c r="DT125" s="19" t="str">
        <f t="shared" si="399"/>
        <v/>
      </c>
      <c r="DU125" s="12" t="str">
        <f t="shared" si="424"/>
        <v/>
      </c>
      <c r="DV125" s="11" t="str">
        <f t="shared" si="425"/>
        <v/>
      </c>
      <c r="DW125" s="12" t="str">
        <f t="shared" si="426"/>
        <v/>
      </c>
      <c r="DX125" s="12" t="str">
        <f t="shared" si="400"/>
        <v/>
      </c>
      <c r="DY125" s="19" t="str">
        <f t="shared" si="427"/>
        <v/>
      </c>
      <c r="DZ125" s="12" t="str">
        <f t="shared" si="428"/>
        <v/>
      </c>
      <c r="EA125" s="19" t="str">
        <f t="shared" si="401"/>
        <v/>
      </c>
      <c r="EB125" s="7" t="str">
        <f t="shared" si="402"/>
        <v/>
      </c>
      <c r="EC125" s="19" t="str">
        <f t="shared" si="403"/>
        <v/>
      </c>
      <c r="ED125" s="19" t="str">
        <f t="shared" si="404"/>
        <v/>
      </c>
      <c r="EE125" s="19" t="str">
        <f t="shared" si="429"/>
        <v/>
      </c>
      <c r="EF125" s="19" t="str">
        <f t="shared" si="430"/>
        <v/>
      </c>
      <c r="EG125" s="19" t="str">
        <f t="shared" si="431"/>
        <v/>
      </c>
      <c r="EH125" s="19" t="str">
        <f t="shared" si="432"/>
        <v/>
      </c>
      <c r="EI125" s="19" t="str">
        <f t="shared" si="433"/>
        <v/>
      </c>
      <c r="EJ125" s="19" t="str">
        <f t="shared" si="405"/>
        <v/>
      </c>
      <c r="EK125" s="19" t="str">
        <f t="shared" si="406"/>
        <v/>
      </c>
      <c r="EL125" s="19" t="str">
        <f t="shared" si="434"/>
        <v/>
      </c>
      <c r="EM125" s="19" t="str">
        <f t="shared" si="435"/>
        <v/>
      </c>
      <c r="EN125" s="19" t="str">
        <f t="shared" si="436"/>
        <v/>
      </c>
      <c r="EO125" s="19" t="str">
        <f t="shared" si="437"/>
        <v/>
      </c>
      <c r="EP125" s="19" t="str">
        <f t="shared" si="438"/>
        <v/>
      </c>
      <c r="EQ125" s="19" t="e">
        <f t="shared" si="439"/>
        <v>#N/A</v>
      </c>
      <c r="ER125" s="11" t="str">
        <f t="shared" si="328"/>
        <v/>
      </c>
      <c r="ES125" s="19" t="str">
        <f t="shared" si="329"/>
        <v/>
      </c>
      <c r="ET125" s="156" t="str">
        <f t="shared" si="407"/>
        <v/>
      </c>
      <c r="EU125" s="39" t="str">
        <f t="shared" si="440"/>
        <v/>
      </c>
      <c r="EV125" s="74" t="str">
        <f t="shared" si="408"/>
        <v/>
      </c>
      <c r="FA125" s="196"/>
      <c r="FB125" s="84" t="e">
        <f>IF(AND(Include_study?="Yes",Sufficient_data="Yes",Moderator&lt;&gt;""),'Moderator Analysis'!E125,NA())</f>
        <v>#N/A</v>
      </c>
      <c r="FC125" s="39" t="e">
        <f>IF(AND(Include_study?="Yes",Sufficient_data="Yes",Moderator&lt;&gt;""),'Moderator Analysis'!F125,NA())</f>
        <v>#N/A</v>
      </c>
      <c r="FD125" s="39" t="str">
        <f t="shared" si="409"/>
        <v/>
      </c>
      <c r="FE125" s="39" t="str">
        <f t="shared" si="410"/>
        <v/>
      </c>
      <c r="FF125" s="39" t="str">
        <f>IF(AND(Include_study?="Yes",Sufficient_data="Yes",Moderator&lt;&gt;""),'Moderator Analysis'!F:F-FP$2,"")</f>
        <v/>
      </c>
      <c r="FG125" s="39" t="str">
        <f>IF(AND(Include_study?="Yes",Sufficient_data="Yes",Moderator&lt;&gt;""),'Moderator Analysis'!E:E-FP$3,"")</f>
        <v/>
      </c>
      <c r="FH125" s="74" t="str">
        <f>IF(AND(Include_study?="Yes",Sufficient_data="Yes",Moderator&lt;&gt;""),FE:FE*('Moderator Analysis'!F:F-FP$5-FP$4*'Moderator Analysis'!E:E)^2,"")</f>
        <v/>
      </c>
      <c r="FI125" s="128"/>
      <c r="FJ125" s="92" t="str">
        <f t="shared" si="411"/>
        <v/>
      </c>
      <c r="FK125" s="137" t="str">
        <f>IF(AND(Include_study?="Yes",Sufficient_data="Yes",Moderator&lt;&gt;""),'Moderator Analysis'!F:F-'Moderator Analysis'!J$37,"")</f>
        <v/>
      </c>
      <c r="FL125" s="137" t="str">
        <f>IF(AND(Include_study?="Yes",Sufficient_data="Yes",Moderator&lt;&gt;""),'Moderator Analysis'!E:E-SUMPRODUCT('Moderator Analysis'!E:E,FJ:FJ)/SUM(FJ:FJ),"")</f>
        <v/>
      </c>
      <c r="FM125" s="95" t="str">
        <f>IF(AND(Include_study?="Yes",Sufficient_data="Yes",Moderator&lt;&gt;""),FJ:FJ*('Moderator Analysis'!F:F-'Moderator Analysis'!J$29-'Moderator Analysis'!J$30*'Moderator Analysis'!E:E)^2,"")</f>
        <v/>
      </c>
      <c r="FR125" s="196"/>
      <c r="FS125" s="182"/>
      <c r="FT12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5" s="39" t="str">
        <f>IF(AND(Include_study?="Yes",Sufficient_data="Yes"),1/('Publication Bias Analysis'!F:F^2+IF(Additional_model="Fixed effect",0,Calculations!GH$12)),"")</f>
        <v/>
      </c>
      <c r="FV125" s="39" t="str">
        <f>IF(AND(Include_study?="Yes",Sufficient_data="Yes"),1/('Publication Bias Analysis'!F:F^2+IF(Additional_model="Fixed effect",0,'Publication Bias Analysis'!L$32)),"")</f>
        <v/>
      </c>
      <c r="FW125" s="39" t="str">
        <f>IF(AND(Include_study?="Yes",Sufficient_data="Yes"),'Publication Bias Analysis'!E:E-'Publication Bias Analysis'!I$37,"")</f>
        <v/>
      </c>
      <c r="FX125" s="39" t="str">
        <f>IF(AND(Include_study?="Yes",Sufficient_data="Yes"),IF(Additional_model="Fixed effect",1/'Publication Bias Analysis'!F:F,1/SQRT('Publication Bias Analysis'!F:F^2+GH$12)),"")</f>
        <v/>
      </c>
      <c r="FY12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5" s="136" t="str">
        <f t="shared" si="412"/>
        <v/>
      </c>
      <c r="GA125" s="144" t="str">
        <f>IF(AND(Include_study?="Yes",Sufficient_data="Yes"),FZ:FZ+IF(GL:GL&lt;0,-1,1)*COUNTIF(FZ$2:FZ124,FZ:FZ),"")</f>
        <v/>
      </c>
      <c r="GB125" s="144" t="str">
        <f>IF(AND(Include_study?="Yes",Sufficient_data="Yes"),RANK(GP:GP,GP:GP,1)*IF(GO:GO&lt;0,-1,1)+IF(GO:GO&lt;0,-1,1)*COUNTIF(FZ$2:FZ124,FZ:FZ),"")</f>
        <v/>
      </c>
      <c r="GC125" s="144" t="str">
        <f>IF(AND(Include_study?="Yes",Sufficient_data="Yes"),RANK(GS:GS,GS:GS,1)*IF(GR:GR&lt;0,-1,1)+IF(GR:GR&lt;0,-1,1)*COUNTIF(FZ$2:FZ124,FZ:FZ),"")</f>
        <v/>
      </c>
      <c r="GD125" s="39" t="e">
        <f>IF(AND(Include_study?="Yes",Sufficient_data="Yes"),'Publication Bias Analysis'!E125,NA())</f>
        <v>#N/A</v>
      </c>
      <c r="GE125" s="74" t="e">
        <f>IF(AND(Include_study?="Yes",Sufficient_data="Yes"),'Publication Bias Analysis'!F125,NA())</f>
        <v>#N/A</v>
      </c>
      <c r="GK125" s="176"/>
      <c r="GL12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5" s="39" t="str">
        <f t="shared" si="413"/>
        <v/>
      </c>
      <c r="GN12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5" s="39" t="str">
        <f>IF(AND(Include_study?="Yes",Sufficient_data="Yes"),IF('Publication Bias Analysis'!L$38="Left",'Publication Bias Analysis'!E:E-GW$3,GW$3-'Publication Bias Analysis'!E:E),"")</f>
        <v/>
      </c>
      <c r="GP125" s="39" t="str">
        <f t="shared" si="330"/>
        <v/>
      </c>
      <c r="GQ12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5" s="39" t="str">
        <f>IF(AND(Include_study?="Yes",Sufficient_data="Yes"),IF('Publication Bias Analysis'!L$38="Left",'Publication Bias Analysis'!E:E-GW$10,GW$10-'Publication Bias Analysis'!E:E),"")</f>
        <v/>
      </c>
      <c r="GS125" s="39" t="str">
        <f t="shared" si="331"/>
        <v/>
      </c>
      <c r="GT12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5" s="176"/>
      <c r="HL125" s="69" t="str">
        <f t="shared" si="319"/>
        <v/>
      </c>
      <c r="HM125" s="74" t="str">
        <f>IF(AND(Include_study?="Yes",Sufficient_data="Yes"),Z_score-('Publication Bias Analysis'!P$3+'Publication Bias Analysis'!P$4*Inverse_standard_error),"")</f>
        <v/>
      </c>
      <c r="HO125" s="176"/>
      <c r="HP125" s="69" t="str">
        <f>IF(AND(Include_study?="Yes",Sufficient_data="Yes"),(GD:GD-SUMPRODUCT(Calculations!FT:FT,'Publication Bias Analysis'!E:E)/SUM(Calculations!FT:FT))/SQRT(Calculations!HQ:HQ),"")</f>
        <v/>
      </c>
      <c r="HQ125" s="69" t="str">
        <f>IF(AND(Include_study?="Yes",Sufficient_data="Yes"),GE:GE^2-1/SUM(Calculations!FT:FT),"")</f>
        <v/>
      </c>
      <c r="HR125" s="7" t="str">
        <f t="shared" si="441"/>
        <v/>
      </c>
      <c r="HS125" s="7" t="str">
        <f t="shared" si="442"/>
        <v/>
      </c>
      <c r="HT125" s="7" t="str">
        <f>IF(AND(Include_study?="Yes",Sufficient_data="Yes"),COUNTIFS(HR$2:HR124,"&lt;"&amp;HR125,HS$2:HS124,"&lt;"&amp;HS125)+COUNTIFS(HR126:HR$201,"&lt;"&amp;HR125,HS126:HS$201,"&lt;"&amp;HS125)+COUNTIFS(HR$2:HR124,"&gt;"&amp;HR125,HS$2:HS124,"&gt;"&amp;HS125)+COUNTIFS(HR126:HR$201,"&gt;"&amp;HR125,HS126:HS$201,"&gt;"&amp;HS125),"")</f>
        <v/>
      </c>
      <c r="HU125" s="104" t="str">
        <f>IF(AND(Include_study?="Yes",Sufficient_data="Yes"),COUNTIFS(HR$2:HR124,"&lt;"&amp;HR125,HS$2:HS124,"&gt;"&amp;HS125)+COUNTIFS(HR126:HR$201,"&lt;"&amp;HR125,HS126:HS$201,"&gt;"&amp;HS125)+COUNTIFS(HR$2:HR124,"&gt;"&amp;HR125,HS$2:HS124,"&lt;"&amp;HS125)+COUNTIFS(HR126:HR$201,"&gt;"&amp;HR125,HS126:HS$201,"&lt;"&amp;HS125),"")</f>
        <v/>
      </c>
      <c r="HW125" s="176"/>
      <c r="IB125" s="176"/>
      <c r="IC125" s="146" t="e">
        <f t="shared" si="414"/>
        <v>#N/A</v>
      </c>
      <c r="ID125" s="137" t="e">
        <f t="shared" si="415"/>
        <v>#N/A</v>
      </c>
      <c r="IE125" s="137" t="str">
        <f t="shared" si="416"/>
        <v/>
      </c>
      <c r="IF125" s="95" t="str">
        <f t="shared" si="417"/>
        <v/>
      </c>
      <c r="IK125" s="176"/>
      <c r="IL125" s="69" t="e">
        <f>IF(AND(Include_study?="Yes",Sufficient_data="Yes"),'Publication Bias Analysis'!AV:AV,NA())</f>
        <v>#N/A</v>
      </c>
      <c r="IM125" s="158" t="e">
        <f>IF(AND(Sufficient_data="Yes",Include_study?="Yes"),'Publication Bias Analysis'!AU:AU,NA())</f>
        <v>#N/A</v>
      </c>
      <c r="IN125" s="69" t="str">
        <f t="shared" si="418"/>
        <v/>
      </c>
      <c r="IO125" s="74" t="str">
        <f>IF(AND(Include_study?="Yes",Sufficient_data="Yes"),Z_score-('Publication Bias Analysis'!AY$30+'Publication Bias Analysis'!AY$31*Inverse_standard_error),"")</f>
        <v/>
      </c>
      <c r="IU125" s="176"/>
      <c r="IV125" s="7" t="str">
        <f>IF('Publication Bias Analysis'!BG:BG&lt;&gt;"",RANK('Publication Bias Analysis'!BG:BG,'Publication Bias Analysis'!BG:BG,1)+COUNTIF('Publication Bias Analysis'!BG$2:BG124,'Publication Bias Analysis'!BG125),"")</f>
        <v/>
      </c>
      <c r="IW125" s="124" t="str">
        <f t="shared" si="419"/>
        <v/>
      </c>
      <c r="IX125" s="125" t="e">
        <f>IF('Publication Bias Analysis'!BF125&lt;&gt;"",'Publication Bias Analysis'!BF125,NA())</f>
        <v>#N/A</v>
      </c>
      <c r="IY125" s="125" t="e">
        <f>IF('Publication Bias Analysis'!BG125&lt;&gt;"",'Publication Bias Analysis'!BG125,NA())</f>
        <v>#N/A</v>
      </c>
      <c r="IZ125" s="69" t="str">
        <f>IF(AND(Include_study?="Yes",Sufficient_data="Yes"),'Publication Bias Analysis'!BF:BF-AVERAGE('Publication Bias Analysis'!BF:BF),"")</f>
        <v/>
      </c>
      <c r="JA125" s="74" t="str">
        <f>IF(AND(Include_study?="Yes",Sufficient_data="Yes"),'Publication Bias Analysis'!BG:BG-('Publication Bias Analysis'!BJ$30+'Publication Bias Analysis'!BJ$31*'Publication Bias Analysis'!BF:BF),"")</f>
        <v/>
      </c>
      <c r="JG125" s="176"/>
      <c r="JH125" s="39" t="str">
        <f t="shared" si="420"/>
        <v/>
      </c>
      <c r="JI125" s="148" t="str">
        <f t="shared" si="332"/>
        <v/>
      </c>
      <c r="JJ125" s="74" t="str">
        <f t="shared" si="333"/>
        <v/>
      </c>
    </row>
    <row r="126" spans="1:270" x14ac:dyDescent="0.2">
      <c r="A126" s="56" t="str">
        <f t="shared" si="334"/>
        <v/>
      </c>
      <c r="B126" s="7" t="str">
        <f>IF(AND(Include_study?="Yes",Sufficient_data="Yes"),IF(Input!a_&lt;&gt;"",Input!a_,Input!n1_-Input!b_),"")</f>
        <v/>
      </c>
      <c r="C126" s="7" t="str">
        <f>IF(AND(Include_study?="Yes",Sufficient_data="Yes"),IF(Input!b_&lt;&gt;"",Input!b_,Input!n1_-Input!a_),"")</f>
        <v/>
      </c>
      <c r="D126" s="7" t="str">
        <f>IF(AND(Include_study?="Yes",Sufficient_data="Yes"),IF(Input!c_&lt;&gt;"",Input!c_,Input!n2_-Input!d_),"")</f>
        <v/>
      </c>
      <c r="E126" s="7" t="str">
        <f>IF(AND(Include_study?="Yes",Sufficient_data="Yes"),IF(Input!d_&lt;&gt;"",Input!d_,Input!n2_-Input!c_),"")</f>
        <v/>
      </c>
      <c r="F126" s="74" t="str">
        <f t="shared" si="335"/>
        <v/>
      </c>
      <c r="H126" s="196"/>
      <c r="I126" s="182"/>
      <c r="J126" s="146" t="str">
        <f t="shared" si="245"/>
        <v/>
      </c>
      <c r="K126" s="39" t="str">
        <f t="shared" si="336"/>
        <v/>
      </c>
      <c r="L126" s="39" t="str">
        <f t="shared" si="337"/>
        <v/>
      </c>
      <c r="M126" s="39" t="str">
        <f t="shared" si="338"/>
        <v/>
      </c>
      <c r="N126" s="74" t="str">
        <f t="shared" si="339"/>
        <v/>
      </c>
      <c r="P126" s="176"/>
      <c r="Q126" s="130" t="str">
        <f t="shared" si="340"/>
        <v/>
      </c>
      <c r="R126" s="39" t="str">
        <f t="shared" si="341"/>
        <v/>
      </c>
      <c r="S126" s="39" t="str">
        <f t="shared" si="342"/>
        <v/>
      </c>
      <c r="T126" s="74" t="str">
        <f t="shared" si="343"/>
        <v/>
      </c>
      <c r="V126" s="176"/>
      <c r="W126" s="130" t="str">
        <f t="shared" si="344"/>
        <v/>
      </c>
      <c r="X126" s="39" t="str">
        <f t="shared" si="345"/>
        <v/>
      </c>
      <c r="Y126" s="39" t="str">
        <f t="shared" si="346"/>
        <v/>
      </c>
      <c r="Z126" s="74" t="str">
        <f t="shared" si="347"/>
        <v/>
      </c>
      <c r="AB126" s="176"/>
      <c r="AC126" s="130" t="str">
        <f t="shared" si="348"/>
        <v/>
      </c>
      <c r="AD126" s="39" t="str">
        <f t="shared" si="349"/>
        <v/>
      </c>
      <c r="AE126" s="39" t="str">
        <f t="shared" si="350"/>
        <v/>
      </c>
      <c r="AF126" s="39" t="str">
        <f t="shared" si="351"/>
        <v/>
      </c>
      <c r="AG126" s="74" t="str">
        <f t="shared" si="352"/>
        <v/>
      </c>
      <c r="AI126" s="196"/>
      <c r="AJ12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6" s="136" t="str">
        <f>IF(AJ126&lt;&gt;"",IF(AJ126=0,COUNTIF(AJ$2:AJ125,0)+1,COUNTIF(AJ$2:AJ125,AJ126)+AJ126+COUNTIF(AJ:AJ,0)),"")</f>
        <v/>
      </c>
      <c r="AL126" s="136" t="str">
        <f t="shared" si="263"/>
        <v/>
      </c>
      <c r="AM126" s="155" t="str">
        <f>IF(AND(Include_study?="Yes",Sufficient_data="Yes",Input!Study_name&lt;&gt;""),Input!Study_name,"")</f>
        <v/>
      </c>
      <c r="AN126" s="136" t="str">
        <f t="shared" si="264"/>
        <v/>
      </c>
      <c r="AO126" s="19" t="str">
        <f t="shared" si="353"/>
        <v/>
      </c>
      <c r="AP126" s="158" t="str">
        <f t="shared" si="354"/>
        <v/>
      </c>
      <c r="AQ126" s="158" t="str">
        <f t="shared" si="355"/>
        <v/>
      </c>
      <c r="AR126" s="39" t="str">
        <f t="shared" si="356"/>
        <v/>
      </c>
      <c r="AS126" s="158" t="str">
        <f t="shared" si="357"/>
        <v/>
      </c>
      <c r="AT126" s="39" t="str">
        <f t="shared" si="358"/>
        <v/>
      </c>
      <c r="AU126" s="172" t="str">
        <f t="shared" si="359"/>
        <v/>
      </c>
      <c r="AV126" s="45"/>
      <c r="AW126" s="84" t="e">
        <f t="shared" si="360"/>
        <v>#N/A</v>
      </c>
      <c r="AX126" s="69" t="e">
        <f t="shared" si="361"/>
        <v>#N/A</v>
      </c>
      <c r="AY126" s="74" t="e">
        <f t="shared" si="362"/>
        <v>#N/A</v>
      </c>
      <c r="AZ126" s="45"/>
      <c r="BA126" s="45"/>
      <c r="BB126" s="45"/>
      <c r="BC126" s="45"/>
      <c r="BD126" s="196"/>
      <c r="BE126" s="182"/>
      <c r="BF126" s="69" t="str">
        <f t="shared" si="363"/>
        <v/>
      </c>
      <c r="BG126" s="69" t="str">
        <f t="shared" si="364"/>
        <v/>
      </c>
      <c r="BH126" s="69" t="str">
        <f t="shared" si="365"/>
        <v/>
      </c>
      <c r="BI126" s="39" t="str">
        <f t="shared" si="366"/>
        <v/>
      </c>
      <c r="BJ126" s="95" t="str">
        <f t="shared" si="367"/>
        <v/>
      </c>
      <c r="BO126" s="176"/>
      <c r="BP126" s="158" t="str">
        <f t="shared" si="368"/>
        <v/>
      </c>
      <c r="BQ126" s="158" t="str">
        <f t="shared" si="369"/>
        <v/>
      </c>
      <c r="BR126" s="158" t="str">
        <f t="shared" si="370"/>
        <v/>
      </c>
      <c r="BS126" s="158" t="str">
        <f>IF(AND(Sufficient_data="Yes",Include_study?="Yes"),IF(Add_0_5="Yes",(a_+d_+1)*(ab_+0.5)*(c_+0.5)/(Number_of_subjects+2)^2,(a_+d_)*b_*c_/Number_of_subjects^2),"")</f>
        <v/>
      </c>
      <c r="BT126" s="158" t="str">
        <f t="shared" si="371"/>
        <v/>
      </c>
      <c r="BU126" s="158" t="str">
        <f t="shared" si="372"/>
        <v/>
      </c>
      <c r="BV126" s="158" t="str">
        <f t="shared" si="373"/>
        <v/>
      </c>
      <c r="BW126" s="69" t="str">
        <f t="shared" si="374"/>
        <v/>
      </c>
      <c r="BX126" s="137" t="str">
        <f t="shared" si="375"/>
        <v/>
      </c>
      <c r="BY126" s="95" t="str">
        <f t="shared" si="376"/>
        <v/>
      </c>
      <c r="CD126" s="176"/>
      <c r="CE126" s="130" t="str">
        <f t="shared" si="377"/>
        <v/>
      </c>
      <c r="CF126" s="39" t="str">
        <f t="shared" si="378"/>
        <v/>
      </c>
      <c r="CG126" s="39" t="str">
        <f t="shared" si="379"/>
        <v/>
      </c>
      <c r="CH126" s="39" t="str">
        <f t="shared" si="380"/>
        <v/>
      </c>
      <c r="CI126" s="39" t="str">
        <f t="shared" si="381"/>
        <v/>
      </c>
      <c r="CJ126" s="39" t="str">
        <f t="shared" si="287"/>
        <v/>
      </c>
      <c r="CK126" s="95" t="str">
        <f t="shared" si="382"/>
        <v/>
      </c>
      <c r="CP126" s="176"/>
      <c r="CQ126" s="99" t="str">
        <f t="shared" si="383"/>
        <v/>
      </c>
      <c r="CX126" s="196"/>
      <c r="CY126" s="89" t="e">
        <f t="shared" si="384"/>
        <v>#N/A</v>
      </c>
      <c r="CZ126" s="136" t="str">
        <f t="shared" si="385"/>
        <v/>
      </c>
      <c r="DA126" s="140" t="str">
        <f t="shared" si="386"/>
        <v/>
      </c>
      <c r="DB126" s="39" t="str">
        <f t="shared" si="387"/>
        <v/>
      </c>
      <c r="DC126" s="39" t="str">
        <f t="shared" si="388"/>
        <v/>
      </c>
      <c r="DD126" s="39" t="str">
        <f t="shared" si="389"/>
        <v/>
      </c>
      <c r="DE126" s="39" t="str">
        <f t="shared" si="390"/>
        <v/>
      </c>
      <c r="DF126" s="141" t="str">
        <f t="shared" si="391"/>
        <v/>
      </c>
      <c r="DG126" s="39" t="str">
        <f t="shared" si="392"/>
        <v/>
      </c>
      <c r="DH126" s="39" t="str">
        <f t="shared" si="393"/>
        <v/>
      </c>
      <c r="DI126" s="39" t="str">
        <f t="shared" si="394"/>
        <v/>
      </c>
      <c r="DJ126" s="74" t="str">
        <f t="shared" si="395"/>
        <v/>
      </c>
      <c r="DK126" s="45"/>
      <c r="DL126" s="84" t="e">
        <f t="shared" si="423"/>
        <v>#N/A</v>
      </c>
      <c r="DM126" s="39" t="e">
        <f t="shared" si="396"/>
        <v>#N/A</v>
      </c>
      <c r="DN126" s="74" t="e">
        <f t="shared" si="397"/>
        <v>#N/A</v>
      </c>
      <c r="DO126" s="45"/>
      <c r="DP126" s="89" t="str">
        <f t="shared" si="326"/>
        <v/>
      </c>
      <c r="DQ126" s="26" t="str">
        <f>IF(AND(Sufficient_data="Yes",Subgroup&lt;&gt;""),IF(COUNTIFS(Input!J$2:J125,"="&amp;"Yes",Input!C$2:C125,"="&amp;"Yes",Input!K$2:K125,"="&amp;Subgroup)&gt;0,"",Subgroup),"")</f>
        <v/>
      </c>
      <c r="DR126" s="7" t="str">
        <f t="shared" si="327"/>
        <v/>
      </c>
      <c r="DS126" s="7" t="str">
        <f t="shared" si="398"/>
        <v/>
      </c>
      <c r="DT126" s="19" t="str">
        <f t="shared" si="399"/>
        <v/>
      </c>
      <c r="DU126" s="12" t="str">
        <f t="shared" si="424"/>
        <v/>
      </c>
      <c r="DV126" s="11" t="str">
        <f t="shared" si="425"/>
        <v/>
      </c>
      <c r="DW126" s="12" t="str">
        <f t="shared" si="426"/>
        <v/>
      </c>
      <c r="DX126" s="12" t="str">
        <f t="shared" si="400"/>
        <v/>
      </c>
      <c r="DY126" s="19" t="str">
        <f t="shared" si="427"/>
        <v/>
      </c>
      <c r="DZ126" s="12" t="str">
        <f t="shared" si="428"/>
        <v/>
      </c>
      <c r="EA126" s="19" t="str">
        <f t="shared" si="401"/>
        <v/>
      </c>
      <c r="EB126" s="7" t="str">
        <f t="shared" si="402"/>
        <v/>
      </c>
      <c r="EC126" s="19" t="str">
        <f t="shared" si="403"/>
        <v/>
      </c>
      <c r="ED126" s="19" t="str">
        <f t="shared" si="404"/>
        <v/>
      </c>
      <c r="EE126" s="19" t="str">
        <f t="shared" si="429"/>
        <v/>
      </c>
      <c r="EF126" s="19" t="str">
        <f t="shared" si="430"/>
        <v/>
      </c>
      <c r="EG126" s="19" t="str">
        <f t="shared" si="431"/>
        <v/>
      </c>
      <c r="EH126" s="19" t="str">
        <f t="shared" si="432"/>
        <v/>
      </c>
      <c r="EI126" s="19" t="str">
        <f t="shared" si="433"/>
        <v/>
      </c>
      <c r="EJ126" s="19" t="str">
        <f t="shared" si="405"/>
        <v/>
      </c>
      <c r="EK126" s="19" t="str">
        <f t="shared" si="406"/>
        <v/>
      </c>
      <c r="EL126" s="19" t="str">
        <f t="shared" si="434"/>
        <v/>
      </c>
      <c r="EM126" s="19" t="str">
        <f t="shared" si="435"/>
        <v/>
      </c>
      <c r="EN126" s="19" t="str">
        <f t="shared" si="436"/>
        <v/>
      </c>
      <c r="EO126" s="19" t="str">
        <f t="shared" si="437"/>
        <v/>
      </c>
      <c r="EP126" s="19" t="str">
        <f t="shared" si="438"/>
        <v/>
      </c>
      <c r="EQ126" s="19" t="e">
        <f t="shared" si="439"/>
        <v>#N/A</v>
      </c>
      <c r="ER126" s="11" t="str">
        <f t="shared" si="328"/>
        <v/>
      </c>
      <c r="ES126" s="19" t="str">
        <f t="shared" si="329"/>
        <v/>
      </c>
      <c r="ET126" s="156" t="str">
        <f t="shared" si="407"/>
        <v/>
      </c>
      <c r="EU126" s="39" t="str">
        <f t="shared" si="440"/>
        <v/>
      </c>
      <c r="EV126" s="74" t="str">
        <f t="shared" si="408"/>
        <v/>
      </c>
      <c r="FA126" s="196"/>
      <c r="FB126" s="84" t="e">
        <f>IF(AND(Include_study?="Yes",Sufficient_data="Yes",Moderator&lt;&gt;""),'Moderator Analysis'!E126,NA())</f>
        <v>#N/A</v>
      </c>
      <c r="FC126" s="39" t="e">
        <f>IF(AND(Include_study?="Yes",Sufficient_data="Yes",Moderator&lt;&gt;""),'Moderator Analysis'!F126,NA())</f>
        <v>#N/A</v>
      </c>
      <c r="FD126" s="39" t="str">
        <f t="shared" si="409"/>
        <v/>
      </c>
      <c r="FE126" s="39" t="str">
        <f t="shared" si="410"/>
        <v/>
      </c>
      <c r="FF126" s="39" t="str">
        <f>IF(AND(Include_study?="Yes",Sufficient_data="Yes",Moderator&lt;&gt;""),'Moderator Analysis'!F:F-FP$2,"")</f>
        <v/>
      </c>
      <c r="FG126" s="39" t="str">
        <f>IF(AND(Include_study?="Yes",Sufficient_data="Yes",Moderator&lt;&gt;""),'Moderator Analysis'!E:E-FP$3,"")</f>
        <v/>
      </c>
      <c r="FH126" s="74" t="str">
        <f>IF(AND(Include_study?="Yes",Sufficient_data="Yes",Moderator&lt;&gt;""),FE:FE*('Moderator Analysis'!F:F-FP$5-FP$4*'Moderator Analysis'!E:E)^2,"")</f>
        <v/>
      </c>
      <c r="FI126" s="128"/>
      <c r="FJ126" s="92" t="str">
        <f t="shared" si="411"/>
        <v/>
      </c>
      <c r="FK126" s="137" t="str">
        <f>IF(AND(Include_study?="Yes",Sufficient_data="Yes",Moderator&lt;&gt;""),'Moderator Analysis'!F:F-'Moderator Analysis'!J$37,"")</f>
        <v/>
      </c>
      <c r="FL126" s="137" t="str">
        <f>IF(AND(Include_study?="Yes",Sufficient_data="Yes",Moderator&lt;&gt;""),'Moderator Analysis'!E:E-SUMPRODUCT('Moderator Analysis'!E:E,FJ:FJ)/SUM(FJ:FJ),"")</f>
        <v/>
      </c>
      <c r="FM126" s="95" t="str">
        <f>IF(AND(Include_study?="Yes",Sufficient_data="Yes",Moderator&lt;&gt;""),FJ:FJ*('Moderator Analysis'!F:F-'Moderator Analysis'!J$29-'Moderator Analysis'!J$30*'Moderator Analysis'!E:E)^2,"")</f>
        <v/>
      </c>
      <c r="FR126" s="196"/>
      <c r="FS126" s="182"/>
      <c r="FT12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6" s="39" t="str">
        <f>IF(AND(Include_study?="Yes",Sufficient_data="Yes"),1/('Publication Bias Analysis'!F:F^2+IF(Additional_model="Fixed effect",0,Calculations!GH$12)),"")</f>
        <v/>
      </c>
      <c r="FV126" s="39" t="str">
        <f>IF(AND(Include_study?="Yes",Sufficient_data="Yes"),1/('Publication Bias Analysis'!F:F^2+IF(Additional_model="Fixed effect",0,'Publication Bias Analysis'!L$32)),"")</f>
        <v/>
      </c>
      <c r="FW126" s="39" t="str">
        <f>IF(AND(Include_study?="Yes",Sufficient_data="Yes"),'Publication Bias Analysis'!E:E-'Publication Bias Analysis'!I$37,"")</f>
        <v/>
      </c>
      <c r="FX126" s="39" t="str">
        <f>IF(AND(Include_study?="Yes",Sufficient_data="Yes"),IF(Additional_model="Fixed effect",1/'Publication Bias Analysis'!F:F,1/SQRT('Publication Bias Analysis'!F:F^2+GH$12)),"")</f>
        <v/>
      </c>
      <c r="FY12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6" s="136" t="str">
        <f t="shared" si="412"/>
        <v/>
      </c>
      <c r="GA126" s="144" t="str">
        <f>IF(AND(Include_study?="Yes",Sufficient_data="Yes"),FZ:FZ+IF(GL:GL&lt;0,-1,1)*COUNTIF(FZ$2:FZ125,FZ:FZ),"")</f>
        <v/>
      </c>
      <c r="GB126" s="144" t="str">
        <f>IF(AND(Include_study?="Yes",Sufficient_data="Yes"),RANK(GP:GP,GP:GP,1)*IF(GO:GO&lt;0,-1,1)+IF(GO:GO&lt;0,-1,1)*COUNTIF(FZ$2:FZ125,FZ:FZ),"")</f>
        <v/>
      </c>
      <c r="GC126" s="144" t="str">
        <f>IF(AND(Include_study?="Yes",Sufficient_data="Yes"),RANK(GS:GS,GS:GS,1)*IF(GR:GR&lt;0,-1,1)+IF(GR:GR&lt;0,-1,1)*COUNTIF(FZ$2:FZ125,FZ:FZ),"")</f>
        <v/>
      </c>
      <c r="GD126" s="39" t="e">
        <f>IF(AND(Include_study?="Yes",Sufficient_data="Yes"),'Publication Bias Analysis'!E126,NA())</f>
        <v>#N/A</v>
      </c>
      <c r="GE126" s="74" t="e">
        <f>IF(AND(Include_study?="Yes",Sufficient_data="Yes"),'Publication Bias Analysis'!F126,NA())</f>
        <v>#N/A</v>
      </c>
      <c r="GK126" s="176"/>
      <c r="GL12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6" s="39" t="str">
        <f t="shared" si="413"/>
        <v/>
      </c>
      <c r="GN12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6" s="39" t="str">
        <f>IF(AND(Include_study?="Yes",Sufficient_data="Yes"),IF('Publication Bias Analysis'!L$38="Left",'Publication Bias Analysis'!E:E-GW$3,GW$3-'Publication Bias Analysis'!E:E),"")</f>
        <v/>
      </c>
      <c r="GP126" s="39" t="str">
        <f t="shared" si="330"/>
        <v/>
      </c>
      <c r="GQ12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6" s="39" t="str">
        <f>IF(AND(Include_study?="Yes",Sufficient_data="Yes"),IF('Publication Bias Analysis'!L$38="Left",'Publication Bias Analysis'!E:E-GW$10,GW$10-'Publication Bias Analysis'!E:E),"")</f>
        <v/>
      </c>
      <c r="GS126" s="39" t="str">
        <f t="shared" si="331"/>
        <v/>
      </c>
      <c r="GT12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6" s="176"/>
      <c r="HL126" s="69" t="str">
        <f t="shared" si="319"/>
        <v/>
      </c>
      <c r="HM126" s="74" t="str">
        <f>IF(AND(Include_study?="Yes",Sufficient_data="Yes"),Z_score-('Publication Bias Analysis'!P$3+'Publication Bias Analysis'!P$4*Inverse_standard_error),"")</f>
        <v/>
      </c>
      <c r="HO126" s="176"/>
      <c r="HP126" s="69" t="str">
        <f>IF(AND(Include_study?="Yes",Sufficient_data="Yes"),(GD:GD-SUMPRODUCT(Calculations!FT:FT,'Publication Bias Analysis'!E:E)/SUM(Calculations!FT:FT))/SQRT(Calculations!HQ:HQ),"")</f>
        <v/>
      </c>
      <c r="HQ126" s="69" t="str">
        <f>IF(AND(Include_study?="Yes",Sufficient_data="Yes"),GE:GE^2-1/SUM(Calculations!FT:FT),"")</f>
        <v/>
      </c>
      <c r="HR126" s="7" t="str">
        <f t="shared" si="441"/>
        <v/>
      </c>
      <c r="HS126" s="7" t="str">
        <f t="shared" si="442"/>
        <v/>
      </c>
      <c r="HT126" s="7" t="str">
        <f>IF(AND(Include_study?="Yes",Sufficient_data="Yes"),COUNTIFS(HR$2:HR125,"&lt;"&amp;HR126,HS$2:HS125,"&lt;"&amp;HS126)+COUNTIFS(HR127:HR$201,"&lt;"&amp;HR126,HS127:HS$201,"&lt;"&amp;HS126)+COUNTIFS(HR$2:HR125,"&gt;"&amp;HR126,HS$2:HS125,"&gt;"&amp;HS126)+COUNTIFS(HR127:HR$201,"&gt;"&amp;HR126,HS127:HS$201,"&gt;"&amp;HS126),"")</f>
        <v/>
      </c>
      <c r="HU126" s="104" t="str">
        <f>IF(AND(Include_study?="Yes",Sufficient_data="Yes"),COUNTIFS(HR$2:HR125,"&lt;"&amp;HR126,HS$2:HS125,"&gt;"&amp;HS126)+COUNTIFS(HR127:HR$201,"&lt;"&amp;HR126,HS127:HS$201,"&gt;"&amp;HS126)+COUNTIFS(HR$2:HR125,"&gt;"&amp;HR126,HS$2:HS125,"&lt;"&amp;HS126)+COUNTIFS(HR127:HR$201,"&gt;"&amp;HR126,HS127:HS$201,"&lt;"&amp;HS126),"")</f>
        <v/>
      </c>
      <c r="HW126" s="176"/>
      <c r="IB126" s="176"/>
      <c r="IC126" s="146" t="e">
        <f t="shared" si="414"/>
        <v>#N/A</v>
      </c>
      <c r="ID126" s="137" t="e">
        <f t="shared" si="415"/>
        <v>#N/A</v>
      </c>
      <c r="IE126" s="137" t="str">
        <f t="shared" si="416"/>
        <v/>
      </c>
      <c r="IF126" s="95" t="str">
        <f t="shared" si="417"/>
        <v/>
      </c>
      <c r="IK126" s="176"/>
      <c r="IL126" s="69" t="e">
        <f>IF(AND(Include_study?="Yes",Sufficient_data="Yes"),'Publication Bias Analysis'!AV:AV,NA())</f>
        <v>#N/A</v>
      </c>
      <c r="IM126" s="158" t="e">
        <f>IF(AND(Sufficient_data="Yes",Include_study?="Yes"),'Publication Bias Analysis'!AU:AU,NA())</f>
        <v>#N/A</v>
      </c>
      <c r="IN126" s="69" t="str">
        <f t="shared" si="418"/>
        <v/>
      </c>
      <c r="IO126" s="74" t="str">
        <f>IF(AND(Include_study?="Yes",Sufficient_data="Yes"),Z_score-('Publication Bias Analysis'!AY$30+'Publication Bias Analysis'!AY$31*Inverse_standard_error),"")</f>
        <v/>
      </c>
      <c r="IU126" s="176"/>
      <c r="IV126" s="7" t="str">
        <f>IF('Publication Bias Analysis'!BG:BG&lt;&gt;"",RANK('Publication Bias Analysis'!BG:BG,'Publication Bias Analysis'!BG:BG,1)+COUNTIF('Publication Bias Analysis'!BG$2:BG125,'Publication Bias Analysis'!BG126),"")</f>
        <v/>
      </c>
      <c r="IW126" s="124" t="str">
        <f t="shared" si="419"/>
        <v/>
      </c>
      <c r="IX126" s="125" t="e">
        <f>IF('Publication Bias Analysis'!BF126&lt;&gt;"",'Publication Bias Analysis'!BF126,NA())</f>
        <v>#N/A</v>
      </c>
      <c r="IY126" s="125" t="e">
        <f>IF('Publication Bias Analysis'!BG126&lt;&gt;"",'Publication Bias Analysis'!BG126,NA())</f>
        <v>#N/A</v>
      </c>
      <c r="IZ126" s="69" t="str">
        <f>IF(AND(Include_study?="Yes",Sufficient_data="Yes"),'Publication Bias Analysis'!BF:BF-AVERAGE('Publication Bias Analysis'!BF:BF),"")</f>
        <v/>
      </c>
      <c r="JA126" s="74" t="str">
        <f>IF(AND(Include_study?="Yes",Sufficient_data="Yes"),'Publication Bias Analysis'!BG:BG-('Publication Bias Analysis'!BJ$30+'Publication Bias Analysis'!BJ$31*'Publication Bias Analysis'!BF:BF),"")</f>
        <v/>
      </c>
      <c r="JG126" s="176"/>
      <c r="JH126" s="39" t="str">
        <f t="shared" si="420"/>
        <v/>
      </c>
      <c r="JI126" s="148" t="str">
        <f t="shared" si="332"/>
        <v/>
      </c>
      <c r="JJ126" s="74" t="str">
        <f t="shared" si="333"/>
        <v/>
      </c>
    </row>
    <row r="127" spans="1:270" x14ac:dyDescent="0.2">
      <c r="A127" s="56" t="str">
        <f t="shared" si="334"/>
        <v/>
      </c>
      <c r="B127" s="7" t="str">
        <f>IF(AND(Include_study?="Yes",Sufficient_data="Yes"),IF(Input!a_&lt;&gt;"",Input!a_,Input!n1_-Input!b_),"")</f>
        <v/>
      </c>
      <c r="C127" s="7" t="str">
        <f>IF(AND(Include_study?="Yes",Sufficient_data="Yes"),IF(Input!b_&lt;&gt;"",Input!b_,Input!n1_-Input!a_),"")</f>
        <v/>
      </c>
      <c r="D127" s="7" t="str">
        <f>IF(AND(Include_study?="Yes",Sufficient_data="Yes"),IF(Input!c_&lt;&gt;"",Input!c_,Input!n2_-Input!d_),"")</f>
        <v/>
      </c>
      <c r="E127" s="7" t="str">
        <f>IF(AND(Include_study?="Yes",Sufficient_data="Yes"),IF(Input!d_&lt;&gt;"",Input!d_,Input!n2_-Input!c_),"")</f>
        <v/>
      </c>
      <c r="F127" s="74" t="str">
        <f t="shared" si="335"/>
        <v/>
      </c>
      <c r="H127" s="196"/>
      <c r="I127" s="182"/>
      <c r="J127" s="146" t="str">
        <f t="shared" si="245"/>
        <v/>
      </c>
      <c r="K127" s="39" t="str">
        <f t="shared" si="336"/>
        <v/>
      </c>
      <c r="L127" s="39" t="str">
        <f t="shared" si="337"/>
        <v/>
      </c>
      <c r="M127" s="39" t="str">
        <f t="shared" si="338"/>
        <v/>
      </c>
      <c r="N127" s="74" t="str">
        <f t="shared" si="339"/>
        <v/>
      </c>
      <c r="P127" s="176"/>
      <c r="Q127" s="130" t="str">
        <f t="shared" si="340"/>
        <v/>
      </c>
      <c r="R127" s="39" t="str">
        <f t="shared" si="341"/>
        <v/>
      </c>
      <c r="S127" s="39" t="str">
        <f t="shared" si="342"/>
        <v/>
      </c>
      <c r="T127" s="74" t="str">
        <f t="shared" si="343"/>
        <v/>
      </c>
      <c r="V127" s="176"/>
      <c r="W127" s="130" t="str">
        <f t="shared" si="344"/>
        <v/>
      </c>
      <c r="X127" s="39" t="str">
        <f t="shared" si="345"/>
        <v/>
      </c>
      <c r="Y127" s="39" t="str">
        <f t="shared" si="346"/>
        <v/>
      </c>
      <c r="Z127" s="74" t="str">
        <f t="shared" si="347"/>
        <v/>
      </c>
      <c r="AB127" s="176"/>
      <c r="AC127" s="130" t="str">
        <f t="shared" si="348"/>
        <v/>
      </c>
      <c r="AD127" s="39" t="str">
        <f t="shared" si="349"/>
        <v/>
      </c>
      <c r="AE127" s="39" t="str">
        <f t="shared" si="350"/>
        <v/>
      </c>
      <c r="AF127" s="39" t="str">
        <f t="shared" si="351"/>
        <v/>
      </c>
      <c r="AG127" s="74" t="str">
        <f t="shared" si="352"/>
        <v/>
      </c>
      <c r="AI127" s="196"/>
      <c r="AJ12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7" s="136" t="str">
        <f>IF(AJ127&lt;&gt;"",IF(AJ127=0,COUNTIF(AJ$2:AJ126,0)+1,COUNTIF(AJ$2:AJ126,AJ127)+AJ127+COUNTIF(AJ:AJ,0)),"")</f>
        <v/>
      </c>
      <c r="AL127" s="136" t="str">
        <f t="shared" si="263"/>
        <v/>
      </c>
      <c r="AM127" s="155" t="str">
        <f>IF(AND(Include_study?="Yes",Sufficient_data="Yes",Input!Study_name&lt;&gt;""),Input!Study_name,"")</f>
        <v/>
      </c>
      <c r="AN127" s="136" t="str">
        <f t="shared" si="264"/>
        <v/>
      </c>
      <c r="AO127" s="19" t="str">
        <f t="shared" si="353"/>
        <v/>
      </c>
      <c r="AP127" s="158" t="str">
        <f t="shared" si="354"/>
        <v/>
      </c>
      <c r="AQ127" s="158" t="str">
        <f t="shared" si="355"/>
        <v/>
      </c>
      <c r="AR127" s="39" t="str">
        <f t="shared" si="356"/>
        <v/>
      </c>
      <c r="AS127" s="158" t="str">
        <f t="shared" si="357"/>
        <v/>
      </c>
      <c r="AT127" s="39" t="str">
        <f t="shared" si="358"/>
        <v/>
      </c>
      <c r="AU127" s="172" t="str">
        <f t="shared" si="359"/>
        <v/>
      </c>
      <c r="AV127" s="45"/>
      <c r="AW127" s="84" t="e">
        <f t="shared" si="360"/>
        <v>#N/A</v>
      </c>
      <c r="AX127" s="69" t="e">
        <f t="shared" si="361"/>
        <v>#N/A</v>
      </c>
      <c r="AY127" s="74" t="e">
        <f t="shared" si="362"/>
        <v>#N/A</v>
      </c>
      <c r="AZ127" s="45"/>
      <c r="BA127" s="45"/>
      <c r="BB127" s="45"/>
      <c r="BC127" s="45"/>
      <c r="BD127" s="196"/>
      <c r="BE127" s="182"/>
      <c r="BF127" s="69" t="str">
        <f t="shared" si="363"/>
        <v/>
      </c>
      <c r="BG127" s="69" t="str">
        <f t="shared" si="364"/>
        <v/>
      </c>
      <c r="BH127" s="69" t="str">
        <f t="shared" si="365"/>
        <v/>
      </c>
      <c r="BI127" s="39" t="str">
        <f t="shared" si="366"/>
        <v/>
      </c>
      <c r="BJ127" s="95" t="str">
        <f t="shared" si="367"/>
        <v/>
      </c>
      <c r="BO127" s="176"/>
      <c r="BP127" s="158" t="str">
        <f t="shared" si="368"/>
        <v/>
      </c>
      <c r="BQ127" s="158" t="str">
        <f t="shared" si="369"/>
        <v/>
      </c>
      <c r="BR127" s="158" t="str">
        <f t="shared" si="370"/>
        <v/>
      </c>
      <c r="BS127" s="158" t="str">
        <f>IF(AND(Sufficient_data="Yes",Include_study?="Yes"),IF(Add_0_5="Yes",(a_+d_+1)*(ab_+0.5)*(c_+0.5)/(Number_of_subjects+2)^2,(a_+d_)*b_*c_/Number_of_subjects^2),"")</f>
        <v/>
      </c>
      <c r="BT127" s="158" t="str">
        <f t="shared" si="371"/>
        <v/>
      </c>
      <c r="BU127" s="158" t="str">
        <f t="shared" si="372"/>
        <v/>
      </c>
      <c r="BV127" s="158" t="str">
        <f t="shared" si="373"/>
        <v/>
      </c>
      <c r="BW127" s="69" t="str">
        <f t="shared" si="374"/>
        <v/>
      </c>
      <c r="BX127" s="137" t="str">
        <f t="shared" si="375"/>
        <v/>
      </c>
      <c r="BY127" s="95" t="str">
        <f t="shared" si="376"/>
        <v/>
      </c>
      <c r="CD127" s="176"/>
      <c r="CE127" s="130" t="str">
        <f t="shared" si="377"/>
        <v/>
      </c>
      <c r="CF127" s="39" t="str">
        <f t="shared" si="378"/>
        <v/>
      </c>
      <c r="CG127" s="39" t="str">
        <f t="shared" si="379"/>
        <v/>
      </c>
      <c r="CH127" s="39" t="str">
        <f t="shared" si="380"/>
        <v/>
      </c>
      <c r="CI127" s="39" t="str">
        <f t="shared" si="381"/>
        <v/>
      </c>
      <c r="CJ127" s="39" t="str">
        <f t="shared" si="287"/>
        <v/>
      </c>
      <c r="CK127" s="95" t="str">
        <f t="shared" si="382"/>
        <v/>
      </c>
      <c r="CP127" s="176"/>
      <c r="CQ127" s="99" t="str">
        <f t="shared" si="383"/>
        <v/>
      </c>
      <c r="CX127" s="196"/>
      <c r="CY127" s="89" t="e">
        <f t="shared" si="384"/>
        <v>#N/A</v>
      </c>
      <c r="CZ127" s="136" t="str">
        <f t="shared" si="385"/>
        <v/>
      </c>
      <c r="DA127" s="140" t="str">
        <f t="shared" si="386"/>
        <v/>
      </c>
      <c r="DB127" s="39" t="str">
        <f t="shared" si="387"/>
        <v/>
      </c>
      <c r="DC127" s="39" t="str">
        <f t="shared" si="388"/>
        <v/>
      </c>
      <c r="DD127" s="39" t="str">
        <f t="shared" si="389"/>
        <v/>
      </c>
      <c r="DE127" s="39" t="str">
        <f t="shared" si="390"/>
        <v/>
      </c>
      <c r="DF127" s="141" t="str">
        <f t="shared" si="391"/>
        <v/>
      </c>
      <c r="DG127" s="39" t="str">
        <f t="shared" si="392"/>
        <v/>
      </c>
      <c r="DH127" s="39" t="str">
        <f t="shared" si="393"/>
        <v/>
      </c>
      <c r="DI127" s="39" t="str">
        <f t="shared" si="394"/>
        <v/>
      </c>
      <c r="DJ127" s="74" t="str">
        <f t="shared" si="395"/>
        <v/>
      </c>
      <c r="DK127" s="45"/>
      <c r="DL127" s="84" t="e">
        <f t="shared" si="423"/>
        <v>#N/A</v>
      </c>
      <c r="DM127" s="39" t="e">
        <f t="shared" si="396"/>
        <v>#N/A</v>
      </c>
      <c r="DN127" s="74" t="e">
        <f t="shared" si="397"/>
        <v>#N/A</v>
      </c>
      <c r="DO127" s="45"/>
      <c r="DP127" s="89" t="str">
        <f t="shared" si="326"/>
        <v/>
      </c>
      <c r="DQ127" s="26" t="str">
        <f>IF(AND(Sufficient_data="Yes",Subgroup&lt;&gt;""),IF(COUNTIFS(Input!J$2:J126,"="&amp;"Yes",Input!C$2:C126,"="&amp;"Yes",Input!K$2:K126,"="&amp;Subgroup)&gt;0,"",Subgroup),"")</f>
        <v/>
      </c>
      <c r="DR127" s="7" t="str">
        <f t="shared" si="327"/>
        <v/>
      </c>
      <c r="DS127" s="7" t="str">
        <f t="shared" si="398"/>
        <v/>
      </c>
      <c r="DT127" s="19" t="str">
        <f t="shared" si="399"/>
        <v/>
      </c>
      <c r="DU127" s="12" t="str">
        <f t="shared" si="424"/>
        <v/>
      </c>
      <c r="DV127" s="11" t="str">
        <f t="shared" si="425"/>
        <v/>
      </c>
      <c r="DW127" s="12" t="str">
        <f t="shared" si="426"/>
        <v/>
      </c>
      <c r="DX127" s="12" t="str">
        <f t="shared" si="400"/>
        <v/>
      </c>
      <c r="DY127" s="19" t="str">
        <f t="shared" si="427"/>
        <v/>
      </c>
      <c r="DZ127" s="12" t="str">
        <f t="shared" si="428"/>
        <v/>
      </c>
      <c r="EA127" s="19" t="str">
        <f t="shared" si="401"/>
        <v/>
      </c>
      <c r="EB127" s="7" t="str">
        <f t="shared" si="402"/>
        <v/>
      </c>
      <c r="EC127" s="19" t="str">
        <f t="shared" si="403"/>
        <v/>
      </c>
      <c r="ED127" s="19" t="str">
        <f t="shared" si="404"/>
        <v/>
      </c>
      <c r="EE127" s="19" t="str">
        <f t="shared" si="429"/>
        <v/>
      </c>
      <c r="EF127" s="19" t="str">
        <f t="shared" si="430"/>
        <v/>
      </c>
      <c r="EG127" s="19" t="str">
        <f t="shared" si="431"/>
        <v/>
      </c>
      <c r="EH127" s="19" t="str">
        <f t="shared" si="432"/>
        <v/>
      </c>
      <c r="EI127" s="19" t="str">
        <f t="shared" si="433"/>
        <v/>
      </c>
      <c r="EJ127" s="19" t="str">
        <f t="shared" si="405"/>
        <v/>
      </c>
      <c r="EK127" s="19" t="str">
        <f t="shared" si="406"/>
        <v/>
      </c>
      <c r="EL127" s="19" t="str">
        <f t="shared" si="434"/>
        <v/>
      </c>
      <c r="EM127" s="19" t="str">
        <f t="shared" si="435"/>
        <v/>
      </c>
      <c r="EN127" s="19" t="str">
        <f t="shared" si="436"/>
        <v/>
      </c>
      <c r="EO127" s="19" t="str">
        <f t="shared" si="437"/>
        <v/>
      </c>
      <c r="EP127" s="19" t="str">
        <f t="shared" si="438"/>
        <v/>
      </c>
      <c r="EQ127" s="19" t="e">
        <f t="shared" si="439"/>
        <v>#N/A</v>
      </c>
      <c r="ER127" s="11" t="str">
        <f t="shared" si="328"/>
        <v/>
      </c>
      <c r="ES127" s="19" t="str">
        <f t="shared" si="329"/>
        <v/>
      </c>
      <c r="ET127" s="156" t="str">
        <f t="shared" si="407"/>
        <v/>
      </c>
      <c r="EU127" s="39" t="str">
        <f t="shared" si="440"/>
        <v/>
      </c>
      <c r="EV127" s="74" t="str">
        <f t="shared" si="408"/>
        <v/>
      </c>
      <c r="FA127" s="196"/>
      <c r="FB127" s="84" t="e">
        <f>IF(AND(Include_study?="Yes",Sufficient_data="Yes",Moderator&lt;&gt;""),'Moderator Analysis'!E127,NA())</f>
        <v>#N/A</v>
      </c>
      <c r="FC127" s="39" t="e">
        <f>IF(AND(Include_study?="Yes",Sufficient_data="Yes",Moderator&lt;&gt;""),'Moderator Analysis'!F127,NA())</f>
        <v>#N/A</v>
      </c>
      <c r="FD127" s="39" t="str">
        <f t="shared" si="409"/>
        <v/>
      </c>
      <c r="FE127" s="39" t="str">
        <f t="shared" si="410"/>
        <v/>
      </c>
      <c r="FF127" s="39" t="str">
        <f>IF(AND(Include_study?="Yes",Sufficient_data="Yes",Moderator&lt;&gt;""),'Moderator Analysis'!F:F-FP$2,"")</f>
        <v/>
      </c>
      <c r="FG127" s="39" t="str">
        <f>IF(AND(Include_study?="Yes",Sufficient_data="Yes",Moderator&lt;&gt;""),'Moderator Analysis'!E:E-FP$3,"")</f>
        <v/>
      </c>
      <c r="FH127" s="74" t="str">
        <f>IF(AND(Include_study?="Yes",Sufficient_data="Yes",Moderator&lt;&gt;""),FE:FE*('Moderator Analysis'!F:F-FP$5-FP$4*'Moderator Analysis'!E:E)^2,"")</f>
        <v/>
      </c>
      <c r="FI127" s="128"/>
      <c r="FJ127" s="92" t="str">
        <f t="shared" si="411"/>
        <v/>
      </c>
      <c r="FK127" s="137" t="str">
        <f>IF(AND(Include_study?="Yes",Sufficient_data="Yes",Moderator&lt;&gt;""),'Moderator Analysis'!F:F-'Moderator Analysis'!J$37,"")</f>
        <v/>
      </c>
      <c r="FL127" s="137" t="str">
        <f>IF(AND(Include_study?="Yes",Sufficient_data="Yes",Moderator&lt;&gt;""),'Moderator Analysis'!E:E-SUMPRODUCT('Moderator Analysis'!E:E,FJ:FJ)/SUM(FJ:FJ),"")</f>
        <v/>
      </c>
      <c r="FM127" s="95" t="str">
        <f>IF(AND(Include_study?="Yes",Sufficient_data="Yes",Moderator&lt;&gt;""),FJ:FJ*('Moderator Analysis'!F:F-'Moderator Analysis'!J$29-'Moderator Analysis'!J$30*'Moderator Analysis'!E:E)^2,"")</f>
        <v/>
      </c>
      <c r="FR127" s="196"/>
      <c r="FS127" s="182"/>
      <c r="FT12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7" s="39" t="str">
        <f>IF(AND(Include_study?="Yes",Sufficient_data="Yes"),1/('Publication Bias Analysis'!F:F^2+IF(Additional_model="Fixed effect",0,Calculations!GH$12)),"")</f>
        <v/>
      </c>
      <c r="FV127" s="39" t="str">
        <f>IF(AND(Include_study?="Yes",Sufficient_data="Yes"),1/('Publication Bias Analysis'!F:F^2+IF(Additional_model="Fixed effect",0,'Publication Bias Analysis'!L$32)),"")</f>
        <v/>
      </c>
      <c r="FW127" s="39" t="str">
        <f>IF(AND(Include_study?="Yes",Sufficient_data="Yes"),'Publication Bias Analysis'!E:E-'Publication Bias Analysis'!I$37,"")</f>
        <v/>
      </c>
      <c r="FX127" s="39" t="str">
        <f>IF(AND(Include_study?="Yes",Sufficient_data="Yes"),IF(Additional_model="Fixed effect",1/'Publication Bias Analysis'!F:F,1/SQRT('Publication Bias Analysis'!F:F^2+GH$12)),"")</f>
        <v/>
      </c>
      <c r="FY12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7" s="136" t="str">
        <f t="shared" si="412"/>
        <v/>
      </c>
      <c r="GA127" s="144" t="str">
        <f>IF(AND(Include_study?="Yes",Sufficient_data="Yes"),FZ:FZ+IF(GL:GL&lt;0,-1,1)*COUNTIF(FZ$2:FZ126,FZ:FZ),"")</f>
        <v/>
      </c>
      <c r="GB127" s="144" t="str">
        <f>IF(AND(Include_study?="Yes",Sufficient_data="Yes"),RANK(GP:GP,GP:GP,1)*IF(GO:GO&lt;0,-1,1)+IF(GO:GO&lt;0,-1,1)*COUNTIF(FZ$2:FZ126,FZ:FZ),"")</f>
        <v/>
      </c>
      <c r="GC127" s="144" t="str">
        <f>IF(AND(Include_study?="Yes",Sufficient_data="Yes"),RANK(GS:GS,GS:GS,1)*IF(GR:GR&lt;0,-1,1)+IF(GR:GR&lt;0,-1,1)*COUNTIF(FZ$2:FZ126,FZ:FZ),"")</f>
        <v/>
      </c>
      <c r="GD127" s="39" t="e">
        <f>IF(AND(Include_study?="Yes",Sufficient_data="Yes"),'Publication Bias Analysis'!E127,NA())</f>
        <v>#N/A</v>
      </c>
      <c r="GE127" s="74" t="e">
        <f>IF(AND(Include_study?="Yes",Sufficient_data="Yes"),'Publication Bias Analysis'!F127,NA())</f>
        <v>#N/A</v>
      </c>
      <c r="GK127" s="176"/>
      <c r="GL12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7" s="39" t="str">
        <f t="shared" si="413"/>
        <v/>
      </c>
      <c r="GN12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7" s="39" t="str">
        <f>IF(AND(Include_study?="Yes",Sufficient_data="Yes"),IF('Publication Bias Analysis'!L$38="Left",'Publication Bias Analysis'!E:E-GW$3,GW$3-'Publication Bias Analysis'!E:E),"")</f>
        <v/>
      </c>
      <c r="GP127" s="39" t="str">
        <f t="shared" si="330"/>
        <v/>
      </c>
      <c r="GQ12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7" s="39" t="str">
        <f>IF(AND(Include_study?="Yes",Sufficient_data="Yes"),IF('Publication Bias Analysis'!L$38="Left",'Publication Bias Analysis'!E:E-GW$10,GW$10-'Publication Bias Analysis'!E:E),"")</f>
        <v/>
      </c>
      <c r="GS127" s="39" t="str">
        <f t="shared" si="331"/>
        <v/>
      </c>
      <c r="GT12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7" s="176"/>
      <c r="HL127" s="69" t="str">
        <f t="shared" si="319"/>
        <v/>
      </c>
      <c r="HM127" s="74" t="str">
        <f>IF(AND(Include_study?="Yes",Sufficient_data="Yes"),Z_score-('Publication Bias Analysis'!P$3+'Publication Bias Analysis'!P$4*Inverse_standard_error),"")</f>
        <v/>
      </c>
      <c r="HO127" s="176"/>
      <c r="HP127" s="69" t="str">
        <f>IF(AND(Include_study?="Yes",Sufficient_data="Yes"),(GD:GD-SUMPRODUCT(Calculations!FT:FT,'Publication Bias Analysis'!E:E)/SUM(Calculations!FT:FT))/SQRT(Calculations!HQ:HQ),"")</f>
        <v/>
      </c>
      <c r="HQ127" s="69" t="str">
        <f>IF(AND(Include_study?="Yes",Sufficient_data="Yes"),GE:GE^2-1/SUM(Calculations!FT:FT),"")</f>
        <v/>
      </c>
      <c r="HR127" s="7" t="str">
        <f t="shared" si="441"/>
        <v/>
      </c>
      <c r="HS127" s="7" t="str">
        <f t="shared" si="442"/>
        <v/>
      </c>
      <c r="HT127" s="7" t="str">
        <f>IF(AND(Include_study?="Yes",Sufficient_data="Yes"),COUNTIFS(HR$2:HR126,"&lt;"&amp;HR127,HS$2:HS126,"&lt;"&amp;HS127)+COUNTIFS(HR128:HR$201,"&lt;"&amp;HR127,HS128:HS$201,"&lt;"&amp;HS127)+COUNTIFS(HR$2:HR126,"&gt;"&amp;HR127,HS$2:HS126,"&gt;"&amp;HS127)+COUNTIFS(HR128:HR$201,"&gt;"&amp;HR127,HS128:HS$201,"&gt;"&amp;HS127),"")</f>
        <v/>
      </c>
      <c r="HU127" s="104" t="str">
        <f>IF(AND(Include_study?="Yes",Sufficient_data="Yes"),COUNTIFS(HR$2:HR126,"&lt;"&amp;HR127,HS$2:HS126,"&gt;"&amp;HS127)+COUNTIFS(HR128:HR$201,"&lt;"&amp;HR127,HS128:HS$201,"&gt;"&amp;HS127)+COUNTIFS(HR$2:HR126,"&gt;"&amp;HR127,HS$2:HS126,"&lt;"&amp;HS127)+COUNTIFS(HR128:HR$201,"&gt;"&amp;HR127,HS128:HS$201,"&lt;"&amp;HS127),"")</f>
        <v/>
      </c>
      <c r="HW127" s="176"/>
      <c r="IB127" s="176"/>
      <c r="IC127" s="146" t="e">
        <f t="shared" si="414"/>
        <v>#N/A</v>
      </c>
      <c r="ID127" s="137" t="e">
        <f t="shared" si="415"/>
        <v>#N/A</v>
      </c>
      <c r="IE127" s="137" t="str">
        <f t="shared" si="416"/>
        <v/>
      </c>
      <c r="IF127" s="95" t="str">
        <f t="shared" si="417"/>
        <v/>
      </c>
      <c r="IK127" s="176"/>
      <c r="IL127" s="69" t="e">
        <f>IF(AND(Include_study?="Yes",Sufficient_data="Yes"),'Publication Bias Analysis'!AV:AV,NA())</f>
        <v>#N/A</v>
      </c>
      <c r="IM127" s="158" t="e">
        <f>IF(AND(Sufficient_data="Yes",Include_study?="Yes"),'Publication Bias Analysis'!AU:AU,NA())</f>
        <v>#N/A</v>
      </c>
      <c r="IN127" s="69" t="str">
        <f t="shared" si="418"/>
        <v/>
      </c>
      <c r="IO127" s="74" t="str">
        <f>IF(AND(Include_study?="Yes",Sufficient_data="Yes"),Z_score-('Publication Bias Analysis'!AY$30+'Publication Bias Analysis'!AY$31*Inverse_standard_error),"")</f>
        <v/>
      </c>
      <c r="IU127" s="176"/>
      <c r="IV127" s="7" t="str">
        <f>IF('Publication Bias Analysis'!BG:BG&lt;&gt;"",RANK('Publication Bias Analysis'!BG:BG,'Publication Bias Analysis'!BG:BG,1)+COUNTIF('Publication Bias Analysis'!BG$2:BG126,'Publication Bias Analysis'!BG127),"")</f>
        <v/>
      </c>
      <c r="IW127" s="124" t="str">
        <f t="shared" si="419"/>
        <v/>
      </c>
      <c r="IX127" s="125" t="e">
        <f>IF('Publication Bias Analysis'!BF127&lt;&gt;"",'Publication Bias Analysis'!BF127,NA())</f>
        <v>#N/A</v>
      </c>
      <c r="IY127" s="125" t="e">
        <f>IF('Publication Bias Analysis'!BG127&lt;&gt;"",'Publication Bias Analysis'!BG127,NA())</f>
        <v>#N/A</v>
      </c>
      <c r="IZ127" s="69" t="str">
        <f>IF(AND(Include_study?="Yes",Sufficient_data="Yes"),'Publication Bias Analysis'!BF:BF-AVERAGE('Publication Bias Analysis'!BF:BF),"")</f>
        <v/>
      </c>
      <c r="JA127" s="74" t="str">
        <f>IF(AND(Include_study?="Yes",Sufficient_data="Yes"),'Publication Bias Analysis'!BG:BG-('Publication Bias Analysis'!BJ$30+'Publication Bias Analysis'!BJ$31*'Publication Bias Analysis'!BF:BF),"")</f>
        <v/>
      </c>
      <c r="JG127" s="176"/>
      <c r="JH127" s="39" t="str">
        <f t="shared" si="420"/>
        <v/>
      </c>
      <c r="JI127" s="148" t="str">
        <f t="shared" si="332"/>
        <v/>
      </c>
      <c r="JJ127" s="74" t="str">
        <f t="shared" si="333"/>
        <v/>
      </c>
    </row>
    <row r="128" spans="1:270" x14ac:dyDescent="0.2">
      <c r="A128" s="56" t="str">
        <f t="shared" si="334"/>
        <v/>
      </c>
      <c r="B128" s="7" t="str">
        <f>IF(AND(Include_study?="Yes",Sufficient_data="Yes"),IF(Input!a_&lt;&gt;"",Input!a_,Input!n1_-Input!b_),"")</f>
        <v/>
      </c>
      <c r="C128" s="7" t="str">
        <f>IF(AND(Include_study?="Yes",Sufficient_data="Yes"),IF(Input!b_&lt;&gt;"",Input!b_,Input!n1_-Input!a_),"")</f>
        <v/>
      </c>
      <c r="D128" s="7" t="str">
        <f>IF(AND(Include_study?="Yes",Sufficient_data="Yes"),IF(Input!c_&lt;&gt;"",Input!c_,Input!n2_-Input!d_),"")</f>
        <v/>
      </c>
      <c r="E128" s="7" t="str">
        <f>IF(AND(Include_study?="Yes",Sufficient_data="Yes"),IF(Input!d_&lt;&gt;"",Input!d_,Input!n2_-Input!c_),"")</f>
        <v/>
      </c>
      <c r="F128" s="74" t="str">
        <f t="shared" si="335"/>
        <v/>
      </c>
      <c r="H128" s="196"/>
      <c r="I128" s="182"/>
      <c r="J128" s="146" t="str">
        <f t="shared" si="245"/>
        <v/>
      </c>
      <c r="K128" s="39" t="str">
        <f t="shared" si="336"/>
        <v/>
      </c>
      <c r="L128" s="39" t="str">
        <f t="shared" si="337"/>
        <v/>
      </c>
      <c r="M128" s="39" t="str">
        <f t="shared" si="338"/>
        <v/>
      </c>
      <c r="N128" s="74" t="str">
        <f t="shared" si="339"/>
        <v/>
      </c>
      <c r="P128" s="176"/>
      <c r="Q128" s="130" t="str">
        <f t="shared" si="340"/>
        <v/>
      </c>
      <c r="R128" s="39" t="str">
        <f t="shared" si="341"/>
        <v/>
      </c>
      <c r="S128" s="39" t="str">
        <f t="shared" si="342"/>
        <v/>
      </c>
      <c r="T128" s="74" t="str">
        <f t="shared" si="343"/>
        <v/>
      </c>
      <c r="V128" s="176"/>
      <c r="W128" s="130" t="str">
        <f t="shared" si="344"/>
        <v/>
      </c>
      <c r="X128" s="39" t="str">
        <f t="shared" si="345"/>
        <v/>
      </c>
      <c r="Y128" s="39" t="str">
        <f t="shared" si="346"/>
        <v/>
      </c>
      <c r="Z128" s="74" t="str">
        <f t="shared" si="347"/>
        <v/>
      </c>
      <c r="AB128" s="176"/>
      <c r="AC128" s="130" t="str">
        <f t="shared" si="348"/>
        <v/>
      </c>
      <c r="AD128" s="39" t="str">
        <f t="shared" si="349"/>
        <v/>
      </c>
      <c r="AE128" s="39" t="str">
        <f t="shared" si="350"/>
        <v/>
      </c>
      <c r="AF128" s="39" t="str">
        <f t="shared" si="351"/>
        <v/>
      </c>
      <c r="AG128" s="74" t="str">
        <f t="shared" si="352"/>
        <v/>
      </c>
      <c r="AI128" s="196"/>
      <c r="AJ12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8" s="136" t="str">
        <f>IF(AJ128&lt;&gt;"",IF(AJ128=0,COUNTIF(AJ$2:AJ127,0)+1,COUNTIF(AJ$2:AJ127,AJ128)+AJ128+COUNTIF(AJ:AJ,0)),"")</f>
        <v/>
      </c>
      <c r="AL128" s="136" t="str">
        <f t="shared" si="263"/>
        <v/>
      </c>
      <c r="AM128" s="155" t="str">
        <f>IF(AND(Include_study?="Yes",Sufficient_data="Yes",Input!Study_name&lt;&gt;""),Input!Study_name,"")</f>
        <v/>
      </c>
      <c r="AN128" s="136" t="str">
        <f t="shared" si="264"/>
        <v/>
      </c>
      <c r="AO128" s="19" t="str">
        <f t="shared" si="353"/>
        <v/>
      </c>
      <c r="AP128" s="158" t="str">
        <f t="shared" si="354"/>
        <v/>
      </c>
      <c r="AQ128" s="158" t="str">
        <f t="shared" si="355"/>
        <v/>
      </c>
      <c r="AR128" s="39" t="str">
        <f t="shared" si="356"/>
        <v/>
      </c>
      <c r="AS128" s="158" t="str">
        <f t="shared" si="357"/>
        <v/>
      </c>
      <c r="AT128" s="39" t="str">
        <f t="shared" si="358"/>
        <v/>
      </c>
      <c r="AU128" s="172" t="str">
        <f t="shared" si="359"/>
        <v/>
      </c>
      <c r="AV128" s="45"/>
      <c r="AW128" s="84" t="e">
        <f t="shared" si="360"/>
        <v>#N/A</v>
      </c>
      <c r="AX128" s="69" t="e">
        <f t="shared" si="361"/>
        <v>#N/A</v>
      </c>
      <c r="AY128" s="74" t="e">
        <f t="shared" si="362"/>
        <v>#N/A</v>
      </c>
      <c r="AZ128" s="45"/>
      <c r="BA128" s="45"/>
      <c r="BB128" s="45"/>
      <c r="BC128" s="45"/>
      <c r="BD128" s="196"/>
      <c r="BE128" s="182"/>
      <c r="BF128" s="69" t="str">
        <f t="shared" si="363"/>
        <v/>
      </c>
      <c r="BG128" s="69" t="str">
        <f t="shared" si="364"/>
        <v/>
      </c>
      <c r="BH128" s="69" t="str">
        <f t="shared" si="365"/>
        <v/>
      </c>
      <c r="BI128" s="39" t="str">
        <f t="shared" si="366"/>
        <v/>
      </c>
      <c r="BJ128" s="95" t="str">
        <f t="shared" si="367"/>
        <v/>
      </c>
      <c r="BO128" s="176"/>
      <c r="BP128" s="158" t="str">
        <f t="shared" si="368"/>
        <v/>
      </c>
      <c r="BQ128" s="158" t="str">
        <f t="shared" si="369"/>
        <v/>
      </c>
      <c r="BR128" s="158" t="str">
        <f t="shared" si="370"/>
        <v/>
      </c>
      <c r="BS128" s="158" t="str">
        <f>IF(AND(Sufficient_data="Yes",Include_study?="Yes"),IF(Add_0_5="Yes",(a_+d_+1)*(ab_+0.5)*(c_+0.5)/(Number_of_subjects+2)^2,(a_+d_)*b_*c_/Number_of_subjects^2),"")</f>
        <v/>
      </c>
      <c r="BT128" s="158" t="str">
        <f t="shared" si="371"/>
        <v/>
      </c>
      <c r="BU128" s="158" t="str">
        <f t="shared" si="372"/>
        <v/>
      </c>
      <c r="BV128" s="158" t="str">
        <f t="shared" si="373"/>
        <v/>
      </c>
      <c r="BW128" s="69" t="str">
        <f t="shared" si="374"/>
        <v/>
      </c>
      <c r="BX128" s="137" t="str">
        <f t="shared" si="375"/>
        <v/>
      </c>
      <c r="BY128" s="95" t="str">
        <f t="shared" si="376"/>
        <v/>
      </c>
      <c r="CD128" s="176"/>
      <c r="CE128" s="130" t="str">
        <f t="shared" si="377"/>
        <v/>
      </c>
      <c r="CF128" s="39" t="str">
        <f t="shared" si="378"/>
        <v/>
      </c>
      <c r="CG128" s="39" t="str">
        <f t="shared" si="379"/>
        <v/>
      </c>
      <c r="CH128" s="39" t="str">
        <f t="shared" si="380"/>
        <v/>
      </c>
      <c r="CI128" s="39" t="str">
        <f t="shared" si="381"/>
        <v/>
      </c>
      <c r="CJ128" s="39" t="str">
        <f t="shared" si="287"/>
        <v/>
      </c>
      <c r="CK128" s="95" t="str">
        <f t="shared" si="382"/>
        <v/>
      </c>
      <c r="CP128" s="176"/>
      <c r="CQ128" s="99" t="str">
        <f t="shared" si="383"/>
        <v/>
      </c>
      <c r="CX128" s="196"/>
      <c r="CY128" s="89" t="e">
        <f t="shared" si="384"/>
        <v>#N/A</v>
      </c>
      <c r="CZ128" s="136" t="str">
        <f t="shared" si="385"/>
        <v/>
      </c>
      <c r="DA128" s="140" t="str">
        <f t="shared" si="386"/>
        <v/>
      </c>
      <c r="DB128" s="39" t="str">
        <f t="shared" si="387"/>
        <v/>
      </c>
      <c r="DC128" s="39" t="str">
        <f t="shared" si="388"/>
        <v/>
      </c>
      <c r="DD128" s="39" t="str">
        <f t="shared" si="389"/>
        <v/>
      </c>
      <c r="DE128" s="39" t="str">
        <f t="shared" si="390"/>
        <v/>
      </c>
      <c r="DF128" s="141" t="str">
        <f t="shared" si="391"/>
        <v/>
      </c>
      <c r="DG128" s="39" t="str">
        <f t="shared" si="392"/>
        <v/>
      </c>
      <c r="DH128" s="39" t="str">
        <f t="shared" si="393"/>
        <v/>
      </c>
      <c r="DI128" s="39" t="str">
        <f t="shared" si="394"/>
        <v/>
      </c>
      <c r="DJ128" s="74" t="str">
        <f t="shared" si="395"/>
        <v/>
      </c>
      <c r="DK128" s="45"/>
      <c r="DL128" s="84" t="e">
        <f t="shared" si="423"/>
        <v>#N/A</v>
      </c>
      <c r="DM128" s="39" t="e">
        <f t="shared" si="396"/>
        <v>#N/A</v>
      </c>
      <c r="DN128" s="74" t="e">
        <f t="shared" si="397"/>
        <v>#N/A</v>
      </c>
      <c r="DO128" s="45"/>
      <c r="DP128" s="89" t="str">
        <f t="shared" si="326"/>
        <v/>
      </c>
      <c r="DQ128" s="26" t="str">
        <f>IF(AND(Sufficient_data="Yes",Subgroup&lt;&gt;""),IF(COUNTIFS(Input!J$2:J127,"="&amp;"Yes",Input!C$2:C127,"="&amp;"Yes",Input!K$2:K127,"="&amp;Subgroup)&gt;0,"",Subgroup),"")</f>
        <v/>
      </c>
      <c r="DR128" s="7" t="str">
        <f t="shared" si="327"/>
        <v/>
      </c>
      <c r="DS128" s="7" t="str">
        <f t="shared" si="398"/>
        <v/>
      </c>
      <c r="DT128" s="19" t="str">
        <f t="shared" si="399"/>
        <v/>
      </c>
      <c r="DU128" s="12" t="str">
        <f t="shared" si="424"/>
        <v/>
      </c>
      <c r="DV128" s="11" t="str">
        <f t="shared" si="425"/>
        <v/>
      </c>
      <c r="DW128" s="12" t="str">
        <f t="shared" si="426"/>
        <v/>
      </c>
      <c r="DX128" s="12" t="str">
        <f t="shared" si="400"/>
        <v/>
      </c>
      <c r="DY128" s="19" t="str">
        <f t="shared" si="427"/>
        <v/>
      </c>
      <c r="DZ128" s="12" t="str">
        <f t="shared" si="428"/>
        <v/>
      </c>
      <c r="EA128" s="19" t="str">
        <f t="shared" si="401"/>
        <v/>
      </c>
      <c r="EB128" s="7" t="str">
        <f t="shared" si="402"/>
        <v/>
      </c>
      <c r="EC128" s="19" t="str">
        <f t="shared" si="403"/>
        <v/>
      </c>
      <c r="ED128" s="19" t="str">
        <f t="shared" si="404"/>
        <v/>
      </c>
      <c r="EE128" s="19" t="str">
        <f t="shared" si="429"/>
        <v/>
      </c>
      <c r="EF128" s="19" t="str">
        <f t="shared" si="430"/>
        <v/>
      </c>
      <c r="EG128" s="19" t="str">
        <f t="shared" si="431"/>
        <v/>
      </c>
      <c r="EH128" s="19" t="str">
        <f t="shared" si="432"/>
        <v/>
      </c>
      <c r="EI128" s="19" t="str">
        <f t="shared" si="433"/>
        <v/>
      </c>
      <c r="EJ128" s="19" t="str">
        <f t="shared" si="405"/>
        <v/>
      </c>
      <c r="EK128" s="19" t="str">
        <f t="shared" si="406"/>
        <v/>
      </c>
      <c r="EL128" s="19" t="str">
        <f t="shared" si="434"/>
        <v/>
      </c>
      <c r="EM128" s="19" t="str">
        <f t="shared" si="435"/>
        <v/>
      </c>
      <c r="EN128" s="19" t="str">
        <f t="shared" si="436"/>
        <v/>
      </c>
      <c r="EO128" s="19" t="str">
        <f t="shared" si="437"/>
        <v/>
      </c>
      <c r="EP128" s="19" t="str">
        <f t="shared" si="438"/>
        <v/>
      </c>
      <c r="EQ128" s="19" t="e">
        <f t="shared" si="439"/>
        <v>#N/A</v>
      </c>
      <c r="ER128" s="11" t="str">
        <f t="shared" si="328"/>
        <v/>
      </c>
      <c r="ES128" s="19" t="str">
        <f t="shared" si="329"/>
        <v/>
      </c>
      <c r="ET128" s="156" t="str">
        <f t="shared" si="407"/>
        <v/>
      </c>
      <c r="EU128" s="39" t="str">
        <f t="shared" si="440"/>
        <v/>
      </c>
      <c r="EV128" s="74" t="str">
        <f t="shared" si="408"/>
        <v/>
      </c>
      <c r="FA128" s="196"/>
      <c r="FB128" s="84" t="e">
        <f>IF(AND(Include_study?="Yes",Sufficient_data="Yes",Moderator&lt;&gt;""),'Moderator Analysis'!E128,NA())</f>
        <v>#N/A</v>
      </c>
      <c r="FC128" s="39" t="e">
        <f>IF(AND(Include_study?="Yes",Sufficient_data="Yes",Moderator&lt;&gt;""),'Moderator Analysis'!F128,NA())</f>
        <v>#N/A</v>
      </c>
      <c r="FD128" s="39" t="str">
        <f t="shared" si="409"/>
        <v/>
      </c>
      <c r="FE128" s="39" t="str">
        <f t="shared" si="410"/>
        <v/>
      </c>
      <c r="FF128" s="39" t="str">
        <f>IF(AND(Include_study?="Yes",Sufficient_data="Yes",Moderator&lt;&gt;""),'Moderator Analysis'!F:F-FP$2,"")</f>
        <v/>
      </c>
      <c r="FG128" s="39" t="str">
        <f>IF(AND(Include_study?="Yes",Sufficient_data="Yes",Moderator&lt;&gt;""),'Moderator Analysis'!E:E-FP$3,"")</f>
        <v/>
      </c>
      <c r="FH128" s="74" t="str">
        <f>IF(AND(Include_study?="Yes",Sufficient_data="Yes",Moderator&lt;&gt;""),FE:FE*('Moderator Analysis'!F:F-FP$5-FP$4*'Moderator Analysis'!E:E)^2,"")</f>
        <v/>
      </c>
      <c r="FI128" s="128"/>
      <c r="FJ128" s="92" t="str">
        <f t="shared" si="411"/>
        <v/>
      </c>
      <c r="FK128" s="137" t="str">
        <f>IF(AND(Include_study?="Yes",Sufficient_data="Yes",Moderator&lt;&gt;""),'Moderator Analysis'!F:F-'Moderator Analysis'!J$37,"")</f>
        <v/>
      </c>
      <c r="FL128" s="137" t="str">
        <f>IF(AND(Include_study?="Yes",Sufficient_data="Yes",Moderator&lt;&gt;""),'Moderator Analysis'!E:E-SUMPRODUCT('Moderator Analysis'!E:E,FJ:FJ)/SUM(FJ:FJ),"")</f>
        <v/>
      </c>
      <c r="FM128" s="95" t="str">
        <f>IF(AND(Include_study?="Yes",Sufficient_data="Yes",Moderator&lt;&gt;""),FJ:FJ*('Moderator Analysis'!F:F-'Moderator Analysis'!J$29-'Moderator Analysis'!J$30*'Moderator Analysis'!E:E)^2,"")</f>
        <v/>
      </c>
      <c r="FR128" s="196"/>
      <c r="FS128" s="182"/>
      <c r="FT12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8" s="39" t="str">
        <f>IF(AND(Include_study?="Yes",Sufficient_data="Yes"),1/('Publication Bias Analysis'!F:F^2+IF(Additional_model="Fixed effect",0,Calculations!GH$12)),"")</f>
        <v/>
      </c>
      <c r="FV128" s="39" t="str">
        <f>IF(AND(Include_study?="Yes",Sufficient_data="Yes"),1/('Publication Bias Analysis'!F:F^2+IF(Additional_model="Fixed effect",0,'Publication Bias Analysis'!L$32)),"")</f>
        <v/>
      </c>
      <c r="FW128" s="39" t="str">
        <f>IF(AND(Include_study?="Yes",Sufficient_data="Yes"),'Publication Bias Analysis'!E:E-'Publication Bias Analysis'!I$37,"")</f>
        <v/>
      </c>
      <c r="FX128" s="39" t="str">
        <f>IF(AND(Include_study?="Yes",Sufficient_data="Yes"),IF(Additional_model="Fixed effect",1/'Publication Bias Analysis'!F:F,1/SQRT('Publication Bias Analysis'!F:F^2+GH$12)),"")</f>
        <v/>
      </c>
      <c r="FY12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8" s="136" t="str">
        <f t="shared" si="412"/>
        <v/>
      </c>
      <c r="GA128" s="144" t="str">
        <f>IF(AND(Include_study?="Yes",Sufficient_data="Yes"),FZ:FZ+IF(GL:GL&lt;0,-1,1)*COUNTIF(FZ$2:FZ127,FZ:FZ),"")</f>
        <v/>
      </c>
      <c r="GB128" s="144" t="str">
        <f>IF(AND(Include_study?="Yes",Sufficient_data="Yes"),RANK(GP:GP,GP:GP,1)*IF(GO:GO&lt;0,-1,1)+IF(GO:GO&lt;0,-1,1)*COUNTIF(FZ$2:FZ127,FZ:FZ),"")</f>
        <v/>
      </c>
      <c r="GC128" s="144" t="str">
        <f>IF(AND(Include_study?="Yes",Sufficient_data="Yes"),RANK(GS:GS,GS:GS,1)*IF(GR:GR&lt;0,-1,1)+IF(GR:GR&lt;0,-1,1)*COUNTIF(FZ$2:FZ127,FZ:FZ),"")</f>
        <v/>
      </c>
      <c r="GD128" s="39" t="e">
        <f>IF(AND(Include_study?="Yes",Sufficient_data="Yes"),'Publication Bias Analysis'!E128,NA())</f>
        <v>#N/A</v>
      </c>
      <c r="GE128" s="74" t="e">
        <f>IF(AND(Include_study?="Yes",Sufficient_data="Yes"),'Publication Bias Analysis'!F128,NA())</f>
        <v>#N/A</v>
      </c>
      <c r="GK128" s="176"/>
      <c r="GL12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8" s="39" t="str">
        <f t="shared" si="413"/>
        <v/>
      </c>
      <c r="GN12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8" s="39" t="str">
        <f>IF(AND(Include_study?="Yes",Sufficient_data="Yes"),IF('Publication Bias Analysis'!L$38="Left",'Publication Bias Analysis'!E:E-GW$3,GW$3-'Publication Bias Analysis'!E:E),"")</f>
        <v/>
      </c>
      <c r="GP128" s="39" t="str">
        <f t="shared" si="330"/>
        <v/>
      </c>
      <c r="GQ12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8" s="39" t="str">
        <f>IF(AND(Include_study?="Yes",Sufficient_data="Yes"),IF('Publication Bias Analysis'!L$38="Left",'Publication Bias Analysis'!E:E-GW$10,GW$10-'Publication Bias Analysis'!E:E),"")</f>
        <v/>
      </c>
      <c r="GS128" s="39" t="str">
        <f t="shared" si="331"/>
        <v/>
      </c>
      <c r="GT12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8" s="176"/>
      <c r="HL128" s="69" t="str">
        <f t="shared" si="319"/>
        <v/>
      </c>
      <c r="HM128" s="74" t="str">
        <f>IF(AND(Include_study?="Yes",Sufficient_data="Yes"),Z_score-('Publication Bias Analysis'!P$3+'Publication Bias Analysis'!P$4*Inverse_standard_error),"")</f>
        <v/>
      </c>
      <c r="HO128" s="176"/>
      <c r="HP128" s="69" t="str">
        <f>IF(AND(Include_study?="Yes",Sufficient_data="Yes"),(GD:GD-SUMPRODUCT(Calculations!FT:FT,'Publication Bias Analysis'!E:E)/SUM(Calculations!FT:FT))/SQRT(Calculations!HQ:HQ),"")</f>
        <v/>
      </c>
      <c r="HQ128" s="69" t="str">
        <f>IF(AND(Include_study?="Yes",Sufficient_data="Yes"),GE:GE^2-1/SUM(Calculations!FT:FT),"")</f>
        <v/>
      </c>
      <c r="HR128" s="7" t="str">
        <f t="shared" si="441"/>
        <v/>
      </c>
      <c r="HS128" s="7" t="str">
        <f t="shared" si="442"/>
        <v/>
      </c>
      <c r="HT128" s="7" t="str">
        <f>IF(AND(Include_study?="Yes",Sufficient_data="Yes"),COUNTIFS(HR$2:HR127,"&lt;"&amp;HR128,HS$2:HS127,"&lt;"&amp;HS128)+COUNTIFS(HR129:HR$201,"&lt;"&amp;HR128,HS129:HS$201,"&lt;"&amp;HS128)+COUNTIFS(HR$2:HR127,"&gt;"&amp;HR128,HS$2:HS127,"&gt;"&amp;HS128)+COUNTIFS(HR129:HR$201,"&gt;"&amp;HR128,HS129:HS$201,"&gt;"&amp;HS128),"")</f>
        <v/>
      </c>
      <c r="HU128" s="104" t="str">
        <f>IF(AND(Include_study?="Yes",Sufficient_data="Yes"),COUNTIFS(HR$2:HR127,"&lt;"&amp;HR128,HS$2:HS127,"&gt;"&amp;HS128)+COUNTIFS(HR129:HR$201,"&lt;"&amp;HR128,HS129:HS$201,"&gt;"&amp;HS128)+COUNTIFS(HR$2:HR127,"&gt;"&amp;HR128,HS$2:HS127,"&lt;"&amp;HS128)+COUNTIFS(HR129:HR$201,"&gt;"&amp;HR128,HS129:HS$201,"&lt;"&amp;HS128),"")</f>
        <v/>
      </c>
      <c r="HW128" s="176"/>
      <c r="IB128" s="176"/>
      <c r="IC128" s="146" t="e">
        <f t="shared" si="414"/>
        <v>#N/A</v>
      </c>
      <c r="ID128" s="137" t="e">
        <f t="shared" si="415"/>
        <v>#N/A</v>
      </c>
      <c r="IE128" s="137" t="str">
        <f t="shared" si="416"/>
        <v/>
      </c>
      <c r="IF128" s="95" t="str">
        <f t="shared" si="417"/>
        <v/>
      </c>
      <c r="IK128" s="176"/>
      <c r="IL128" s="69" t="e">
        <f>IF(AND(Include_study?="Yes",Sufficient_data="Yes"),'Publication Bias Analysis'!AV:AV,NA())</f>
        <v>#N/A</v>
      </c>
      <c r="IM128" s="158" t="e">
        <f>IF(AND(Sufficient_data="Yes",Include_study?="Yes"),'Publication Bias Analysis'!AU:AU,NA())</f>
        <v>#N/A</v>
      </c>
      <c r="IN128" s="69" t="str">
        <f t="shared" si="418"/>
        <v/>
      </c>
      <c r="IO128" s="74" t="str">
        <f>IF(AND(Include_study?="Yes",Sufficient_data="Yes"),Z_score-('Publication Bias Analysis'!AY$30+'Publication Bias Analysis'!AY$31*Inverse_standard_error),"")</f>
        <v/>
      </c>
      <c r="IU128" s="176"/>
      <c r="IV128" s="7" t="str">
        <f>IF('Publication Bias Analysis'!BG:BG&lt;&gt;"",RANK('Publication Bias Analysis'!BG:BG,'Publication Bias Analysis'!BG:BG,1)+COUNTIF('Publication Bias Analysis'!BG$2:BG127,'Publication Bias Analysis'!BG128),"")</f>
        <v/>
      </c>
      <c r="IW128" s="124" t="str">
        <f t="shared" si="419"/>
        <v/>
      </c>
      <c r="IX128" s="125" t="e">
        <f>IF('Publication Bias Analysis'!BF128&lt;&gt;"",'Publication Bias Analysis'!BF128,NA())</f>
        <v>#N/A</v>
      </c>
      <c r="IY128" s="125" t="e">
        <f>IF('Publication Bias Analysis'!BG128&lt;&gt;"",'Publication Bias Analysis'!BG128,NA())</f>
        <v>#N/A</v>
      </c>
      <c r="IZ128" s="69" t="str">
        <f>IF(AND(Include_study?="Yes",Sufficient_data="Yes"),'Publication Bias Analysis'!BF:BF-AVERAGE('Publication Bias Analysis'!BF:BF),"")</f>
        <v/>
      </c>
      <c r="JA128" s="74" t="str">
        <f>IF(AND(Include_study?="Yes",Sufficient_data="Yes"),'Publication Bias Analysis'!BG:BG-('Publication Bias Analysis'!BJ$30+'Publication Bias Analysis'!BJ$31*'Publication Bias Analysis'!BF:BF),"")</f>
        <v/>
      </c>
      <c r="JG128" s="176"/>
      <c r="JH128" s="39" t="str">
        <f t="shared" si="420"/>
        <v/>
      </c>
      <c r="JI128" s="148" t="str">
        <f t="shared" si="332"/>
        <v/>
      </c>
      <c r="JJ128" s="74" t="str">
        <f t="shared" si="333"/>
        <v/>
      </c>
    </row>
    <row r="129" spans="1:270" x14ac:dyDescent="0.2">
      <c r="A129" s="56" t="str">
        <f t="shared" si="334"/>
        <v/>
      </c>
      <c r="B129" s="7" t="str">
        <f>IF(AND(Include_study?="Yes",Sufficient_data="Yes"),IF(Input!a_&lt;&gt;"",Input!a_,Input!n1_-Input!b_),"")</f>
        <v/>
      </c>
      <c r="C129" s="7" t="str">
        <f>IF(AND(Include_study?="Yes",Sufficient_data="Yes"),IF(Input!b_&lt;&gt;"",Input!b_,Input!n1_-Input!a_),"")</f>
        <v/>
      </c>
      <c r="D129" s="7" t="str">
        <f>IF(AND(Include_study?="Yes",Sufficient_data="Yes"),IF(Input!c_&lt;&gt;"",Input!c_,Input!n2_-Input!d_),"")</f>
        <v/>
      </c>
      <c r="E129" s="7" t="str">
        <f>IF(AND(Include_study?="Yes",Sufficient_data="Yes"),IF(Input!d_&lt;&gt;"",Input!d_,Input!n2_-Input!c_),"")</f>
        <v/>
      </c>
      <c r="F129" s="74" t="str">
        <f t="shared" si="335"/>
        <v/>
      </c>
      <c r="H129" s="196"/>
      <c r="I129" s="182"/>
      <c r="J129" s="146" t="str">
        <f t="shared" si="245"/>
        <v/>
      </c>
      <c r="K129" s="39" t="str">
        <f t="shared" si="336"/>
        <v/>
      </c>
      <c r="L129" s="39" t="str">
        <f t="shared" si="337"/>
        <v/>
      </c>
      <c r="M129" s="39" t="str">
        <f t="shared" si="338"/>
        <v/>
      </c>
      <c r="N129" s="74" t="str">
        <f t="shared" si="339"/>
        <v/>
      </c>
      <c r="P129" s="176"/>
      <c r="Q129" s="130" t="str">
        <f t="shared" si="340"/>
        <v/>
      </c>
      <c r="R129" s="39" t="str">
        <f t="shared" si="341"/>
        <v/>
      </c>
      <c r="S129" s="39" t="str">
        <f t="shared" si="342"/>
        <v/>
      </c>
      <c r="T129" s="74" t="str">
        <f t="shared" si="343"/>
        <v/>
      </c>
      <c r="V129" s="176"/>
      <c r="W129" s="130" t="str">
        <f t="shared" si="344"/>
        <v/>
      </c>
      <c r="X129" s="39" t="str">
        <f t="shared" si="345"/>
        <v/>
      </c>
      <c r="Y129" s="39" t="str">
        <f t="shared" si="346"/>
        <v/>
      </c>
      <c r="Z129" s="74" t="str">
        <f t="shared" si="347"/>
        <v/>
      </c>
      <c r="AB129" s="176"/>
      <c r="AC129" s="130" t="str">
        <f t="shared" si="348"/>
        <v/>
      </c>
      <c r="AD129" s="39" t="str">
        <f t="shared" si="349"/>
        <v/>
      </c>
      <c r="AE129" s="39" t="str">
        <f t="shared" si="350"/>
        <v/>
      </c>
      <c r="AF129" s="39" t="str">
        <f t="shared" si="351"/>
        <v/>
      </c>
      <c r="AG129" s="74" t="str">
        <f t="shared" si="352"/>
        <v/>
      </c>
      <c r="AI129" s="196"/>
      <c r="AJ12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29" s="136" t="str">
        <f>IF(AJ129&lt;&gt;"",IF(AJ129=0,COUNTIF(AJ$2:AJ128,0)+1,COUNTIF(AJ$2:AJ128,AJ129)+AJ129+COUNTIF(AJ:AJ,0)),"")</f>
        <v/>
      </c>
      <c r="AL129" s="136" t="str">
        <f t="shared" si="263"/>
        <v/>
      </c>
      <c r="AM129" s="155" t="str">
        <f>IF(AND(Include_study?="Yes",Sufficient_data="Yes",Input!Study_name&lt;&gt;""),Input!Study_name,"")</f>
        <v/>
      </c>
      <c r="AN129" s="136" t="str">
        <f t="shared" si="264"/>
        <v/>
      </c>
      <c r="AO129" s="19" t="str">
        <f t="shared" si="353"/>
        <v/>
      </c>
      <c r="AP129" s="158" t="str">
        <f t="shared" si="354"/>
        <v/>
      </c>
      <c r="AQ129" s="158" t="str">
        <f t="shared" si="355"/>
        <v/>
      </c>
      <c r="AR129" s="39" t="str">
        <f t="shared" si="356"/>
        <v/>
      </c>
      <c r="AS129" s="158" t="str">
        <f t="shared" si="357"/>
        <v/>
      </c>
      <c r="AT129" s="39" t="str">
        <f t="shared" si="358"/>
        <v/>
      </c>
      <c r="AU129" s="172" t="str">
        <f t="shared" si="359"/>
        <v/>
      </c>
      <c r="AV129" s="45"/>
      <c r="AW129" s="84" t="e">
        <f t="shared" si="360"/>
        <v>#N/A</v>
      </c>
      <c r="AX129" s="69" t="e">
        <f t="shared" si="361"/>
        <v>#N/A</v>
      </c>
      <c r="AY129" s="74" t="e">
        <f t="shared" si="362"/>
        <v>#N/A</v>
      </c>
      <c r="AZ129" s="45"/>
      <c r="BA129" s="45"/>
      <c r="BB129" s="45"/>
      <c r="BC129" s="45"/>
      <c r="BD129" s="196"/>
      <c r="BE129" s="182"/>
      <c r="BF129" s="69" t="str">
        <f t="shared" si="363"/>
        <v/>
      </c>
      <c r="BG129" s="69" t="str">
        <f t="shared" si="364"/>
        <v/>
      </c>
      <c r="BH129" s="69" t="str">
        <f t="shared" si="365"/>
        <v/>
      </c>
      <c r="BI129" s="39" t="str">
        <f t="shared" si="366"/>
        <v/>
      </c>
      <c r="BJ129" s="95" t="str">
        <f t="shared" si="367"/>
        <v/>
      </c>
      <c r="BO129" s="176"/>
      <c r="BP129" s="158" t="str">
        <f t="shared" si="368"/>
        <v/>
      </c>
      <c r="BQ129" s="158" t="str">
        <f t="shared" si="369"/>
        <v/>
      </c>
      <c r="BR129" s="158" t="str">
        <f t="shared" si="370"/>
        <v/>
      </c>
      <c r="BS129" s="158" t="str">
        <f>IF(AND(Sufficient_data="Yes",Include_study?="Yes"),IF(Add_0_5="Yes",(a_+d_+1)*(ab_+0.5)*(c_+0.5)/(Number_of_subjects+2)^2,(a_+d_)*b_*c_/Number_of_subjects^2),"")</f>
        <v/>
      </c>
      <c r="BT129" s="158" t="str">
        <f t="shared" si="371"/>
        <v/>
      </c>
      <c r="BU129" s="158" t="str">
        <f t="shared" si="372"/>
        <v/>
      </c>
      <c r="BV129" s="158" t="str">
        <f t="shared" si="373"/>
        <v/>
      </c>
      <c r="BW129" s="69" t="str">
        <f t="shared" si="374"/>
        <v/>
      </c>
      <c r="BX129" s="137" t="str">
        <f t="shared" si="375"/>
        <v/>
      </c>
      <c r="BY129" s="95" t="str">
        <f t="shared" si="376"/>
        <v/>
      </c>
      <c r="CD129" s="176"/>
      <c r="CE129" s="130" t="str">
        <f t="shared" si="377"/>
        <v/>
      </c>
      <c r="CF129" s="39" t="str">
        <f t="shared" si="378"/>
        <v/>
      </c>
      <c r="CG129" s="39" t="str">
        <f t="shared" si="379"/>
        <v/>
      </c>
      <c r="CH129" s="39" t="str">
        <f t="shared" si="380"/>
        <v/>
      </c>
      <c r="CI129" s="39" t="str">
        <f t="shared" si="381"/>
        <v/>
      </c>
      <c r="CJ129" s="39" t="str">
        <f t="shared" si="287"/>
        <v/>
      </c>
      <c r="CK129" s="95" t="str">
        <f t="shared" si="382"/>
        <v/>
      </c>
      <c r="CP129" s="176"/>
      <c r="CQ129" s="99" t="str">
        <f t="shared" si="383"/>
        <v/>
      </c>
      <c r="CX129" s="196"/>
      <c r="CY129" s="89" t="e">
        <f t="shared" si="384"/>
        <v>#N/A</v>
      </c>
      <c r="CZ129" s="136" t="str">
        <f t="shared" si="385"/>
        <v/>
      </c>
      <c r="DA129" s="140" t="str">
        <f t="shared" si="386"/>
        <v/>
      </c>
      <c r="DB129" s="39" t="str">
        <f t="shared" si="387"/>
        <v/>
      </c>
      <c r="DC129" s="39" t="str">
        <f t="shared" si="388"/>
        <v/>
      </c>
      <c r="DD129" s="39" t="str">
        <f t="shared" si="389"/>
        <v/>
      </c>
      <c r="DE129" s="39" t="str">
        <f t="shared" si="390"/>
        <v/>
      </c>
      <c r="DF129" s="141" t="str">
        <f t="shared" si="391"/>
        <v/>
      </c>
      <c r="DG129" s="39" t="str">
        <f t="shared" si="392"/>
        <v/>
      </c>
      <c r="DH129" s="39" t="str">
        <f t="shared" si="393"/>
        <v/>
      </c>
      <c r="DI129" s="39" t="str">
        <f t="shared" si="394"/>
        <v/>
      </c>
      <c r="DJ129" s="74" t="str">
        <f t="shared" si="395"/>
        <v/>
      </c>
      <c r="DK129" s="45"/>
      <c r="DL129" s="84" t="e">
        <f t="shared" si="423"/>
        <v>#N/A</v>
      </c>
      <c r="DM129" s="39" t="e">
        <f t="shared" si="396"/>
        <v>#N/A</v>
      </c>
      <c r="DN129" s="74" t="e">
        <f t="shared" si="397"/>
        <v>#N/A</v>
      </c>
      <c r="DO129" s="45"/>
      <c r="DP129" s="89" t="str">
        <f t="shared" si="326"/>
        <v/>
      </c>
      <c r="DQ129" s="26" t="str">
        <f>IF(AND(Sufficient_data="Yes",Subgroup&lt;&gt;""),IF(COUNTIFS(Input!J$2:J128,"="&amp;"Yes",Input!C$2:C128,"="&amp;"Yes",Input!K$2:K128,"="&amp;Subgroup)&gt;0,"",Subgroup),"")</f>
        <v/>
      </c>
      <c r="DR129" s="7" t="str">
        <f t="shared" si="327"/>
        <v/>
      </c>
      <c r="DS129" s="7" t="str">
        <f t="shared" si="398"/>
        <v/>
      </c>
      <c r="DT129" s="19" t="str">
        <f t="shared" si="399"/>
        <v/>
      </c>
      <c r="DU129" s="12" t="str">
        <f t="shared" si="424"/>
        <v/>
      </c>
      <c r="DV129" s="11" t="str">
        <f t="shared" si="425"/>
        <v/>
      </c>
      <c r="DW129" s="12" t="str">
        <f t="shared" si="426"/>
        <v/>
      </c>
      <c r="DX129" s="12" t="str">
        <f t="shared" si="400"/>
        <v/>
      </c>
      <c r="DY129" s="19" t="str">
        <f t="shared" si="427"/>
        <v/>
      </c>
      <c r="DZ129" s="12" t="str">
        <f t="shared" si="428"/>
        <v/>
      </c>
      <c r="EA129" s="19" t="str">
        <f t="shared" si="401"/>
        <v/>
      </c>
      <c r="EB129" s="7" t="str">
        <f t="shared" si="402"/>
        <v/>
      </c>
      <c r="EC129" s="19" t="str">
        <f t="shared" si="403"/>
        <v/>
      </c>
      <c r="ED129" s="19" t="str">
        <f t="shared" si="404"/>
        <v/>
      </c>
      <c r="EE129" s="19" t="str">
        <f t="shared" si="429"/>
        <v/>
      </c>
      <c r="EF129" s="19" t="str">
        <f t="shared" si="430"/>
        <v/>
      </c>
      <c r="EG129" s="19" t="str">
        <f t="shared" si="431"/>
        <v/>
      </c>
      <c r="EH129" s="19" t="str">
        <f t="shared" si="432"/>
        <v/>
      </c>
      <c r="EI129" s="19" t="str">
        <f t="shared" si="433"/>
        <v/>
      </c>
      <c r="EJ129" s="19" t="str">
        <f t="shared" si="405"/>
        <v/>
      </c>
      <c r="EK129" s="19" t="str">
        <f t="shared" si="406"/>
        <v/>
      </c>
      <c r="EL129" s="19" t="str">
        <f t="shared" si="434"/>
        <v/>
      </c>
      <c r="EM129" s="19" t="str">
        <f t="shared" si="435"/>
        <v/>
      </c>
      <c r="EN129" s="19" t="str">
        <f t="shared" si="436"/>
        <v/>
      </c>
      <c r="EO129" s="19" t="str">
        <f t="shared" si="437"/>
        <v/>
      </c>
      <c r="EP129" s="19" t="str">
        <f t="shared" si="438"/>
        <v/>
      </c>
      <c r="EQ129" s="19" t="e">
        <f t="shared" si="439"/>
        <v>#N/A</v>
      </c>
      <c r="ER129" s="11" t="str">
        <f t="shared" si="328"/>
        <v/>
      </c>
      <c r="ES129" s="19" t="str">
        <f t="shared" si="329"/>
        <v/>
      </c>
      <c r="ET129" s="156" t="str">
        <f t="shared" si="407"/>
        <v/>
      </c>
      <c r="EU129" s="39" t="str">
        <f t="shared" si="440"/>
        <v/>
      </c>
      <c r="EV129" s="74" t="str">
        <f t="shared" si="408"/>
        <v/>
      </c>
      <c r="FA129" s="196"/>
      <c r="FB129" s="84" t="e">
        <f>IF(AND(Include_study?="Yes",Sufficient_data="Yes",Moderator&lt;&gt;""),'Moderator Analysis'!E129,NA())</f>
        <v>#N/A</v>
      </c>
      <c r="FC129" s="39" t="e">
        <f>IF(AND(Include_study?="Yes",Sufficient_data="Yes",Moderator&lt;&gt;""),'Moderator Analysis'!F129,NA())</f>
        <v>#N/A</v>
      </c>
      <c r="FD129" s="39" t="str">
        <f t="shared" si="409"/>
        <v/>
      </c>
      <c r="FE129" s="39" t="str">
        <f t="shared" si="410"/>
        <v/>
      </c>
      <c r="FF129" s="39" t="str">
        <f>IF(AND(Include_study?="Yes",Sufficient_data="Yes",Moderator&lt;&gt;""),'Moderator Analysis'!F:F-FP$2,"")</f>
        <v/>
      </c>
      <c r="FG129" s="39" t="str">
        <f>IF(AND(Include_study?="Yes",Sufficient_data="Yes",Moderator&lt;&gt;""),'Moderator Analysis'!E:E-FP$3,"")</f>
        <v/>
      </c>
      <c r="FH129" s="74" t="str">
        <f>IF(AND(Include_study?="Yes",Sufficient_data="Yes",Moderator&lt;&gt;""),FE:FE*('Moderator Analysis'!F:F-FP$5-FP$4*'Moderator Analysis'!E:E)^2,"")</f>
        <v/>
      </c>
      <c r="FI129" s="128"/>
      <c r="FJ129" s="92" t="str">
        <f t="shared" si="411"/>
        <v/>
      </c>
      <c r="FK129" s="137" t="str">
        <f>IF(AND(Include_study?="Yes",Sufficient_data="Yes",Moderator&lt;&gt;""),'Moderator Analysis'!F:F-'Moderator Analysis'!J$37,"")</f>
        <v/>
      </c>
      <c r="FL129" s="137" t="str">
        <f>IF(AND(Include_study?="Yes",Sufficient_data="Yes",Moderator&lt;&gt;""),'Moderator Analysis'!E:E-SUMPRODUCT('Moderator Analysis'!E:E,FJ:FJ)/SUM(FJ:FJ),"")</f>
        <v/>
      </c>
      <c r="FM129" s="95" t="str">
        <f>IF(AND(Include_study?="Yes",Sufficient_data="Yes",Moderator&lt;&gt;""),FJ:FJ*('Moderator Analysis'!F:F-'Moderator Analysis'!J$29-'Moderator Analysis'!J$30*'Moderator Analysis'!E:E)^2,"")</f>
        <v/>
      </c>
      <c r="FR129" s="196"/>
      <c r="FS129" s="182"/>
      <c r="FT12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29" s="39" t="str">
        <f>IF(AND(Include_study?="Yes",Sufficient_data="Yes"),1/('Publication Bias Analysis'!F:F^2+IF(Additional_model="Fixed effect",0,Calculations!GH$12)),"")</f>
        <v/>
      </c>
      <c r="FV129" s="39" t="str">
        <f>IF(AND(Include_study?="Yes",Sufficient_data="Yes"),1/('Publication Bias Analysis'!F:F^2+IF(Additional_model="Fixed effect",0,'Publication Bias Analysis'!L$32)),"")</f>
        <v/>
      </c>
      <c r="FW129" s="39" t="str">
        <f>IF(AND(Include_study?="Yes",Sufficient_data="Yes"),'Publication Bias Analysis'!E:E-'Publication Bias Analysis'!I$37,"")</f>
        <v/>
      </c>
      <c r="FX129" s="39" t="str">
        <f>IF(AND(Include_study?="Yes",Sufficient_data="Yes"),IF(Additional_model="Fixed effect",1/'Publication Bias Analysis'!F:F,1/SQRT('Publication Bias Analysis'!F:F^2+GH$12)),"")</f>
        <v/>
      </c>
      <c r="FY12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29" s="136" t="str">
        <f t="shared" si="412"/>
        <v/>
      </c>
      <c r="GA129" s="144" t="str">
        <f>IF(AND(Include_study?="Yes",Sufficient_data="Yes"),FZ:FZ+IF(GL:GL&lt;0,-1,1)*COUNTIF(FZ$2:FZ128,FZ:FZ),"")</f>
        <v/>
      </c>
      <c r="GB129" s="144" t="str">
        <f>IF(AND(Include_study?="Yes",Sufficient_data="Yes"),RANK(GP:GP,GP:GP,1)*IF(GO:GO&lt;0,-1,1)+IF(GO:GO&lt;0,-1,1)*COUNTIF(FZ$2:FZ128,FZ:FZ),"")</f>
        <v/>
      </c>
      <c r="GC129" s="144" t="str">
        <f>IF(AND(Include_study?="Yes",Sufficient_data="Yes"),RANK(GS:GS,GS:GS,1)*IF(GR:GR&lt;0,-1,1)+IF(GR:GR&lt;0,-1,1)*COUNTIF(FZ$2:FZ128,FZ:FZ),"")</f>
        <v/>
      </c>
      <c r="GD129" s="39" t="e">
        <f>IF(AND(Include_study?="Yes",Sufficient_data="Yes"),'Publication Bias Analysis'!E129,NA())</f>
        <v>#N/A</v>
      </c>
      <c r="GE129" s="74" t="e">
        <f>IF(AND(Include_study?="Yes",Sufficient_data="Yes"),'Publication Bias Analysis'!F129,NA())</f>
        <v>#N/A</v>
      </c>
      <c r="GK129" s="176"/>
      <c r="GL12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29" s="39" t="str">
        <f t="shared" si="413"/>
        <v/>
      </c>
      <c r="GN12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29" s="39" t="str">
        <f>IF(AND(Include_study?="Yes",Sufficient_data="Yes"),IF('Publication Bias Analysis'!L$38="Left",'Publication Bias Analysis'!E:E-GW$3,GW$3-'Publication Bias Analysis'!E:E),"")</f>
        <v/>
      </c>
      <c r="GP129" s="39" t="str">
        <f t="shared" si="330"/>
        <v/>
      </c>
      <c r="GQ12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29" s="39" t="str">
        <f>IF(AND(Include_study?="Yes",Sufficient_data="Yes"),IF('Publication Bias Analysis'!L$38="Left",'Publication Bias Analysis'!E:E-GW$10,GW$10-'Publication Bias Analysis'!E:E),"")</f>
        <v/>
      </c>
      <c r="GS129" s="39" t="str">
        <f t="shared" si="331"/>
        <v/>
      </c>
      <c r="GT12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29" s="176"/>
      <c r="HL129" s="69" t="str">
        <f t="shared" si="319"/>
        <v/>
      </c>
      <c r="HM129" s="74" t="str">
        <f>IF(AND(Include_study?="Yes",Sufficient_data="Yes"),Z_score-('Publication Bias Analysis'!P$3+'Publication Bias Analysis'!P$4*Inverse_standard_error),"")</f>
        <v/>
      </c>
      <c r="HO129" s="176"/>
      <c r="HP129" s="69" t="str">
        <f>IF(AND(Include_study?="Yes",Sufficient_data="Yes"),(GD:GD-SUMPRODUCT(Calculations!FT:FT,'Publication Bias Analysis'!E:E)/SUM(Calculations!FT:FT))/SQRT(Calculations!HQ:HQ),"")</f>
        <v/>
      </c>
      <c r="HQ129" s="69" t="str">
        <f>IF(AND(Include_study?="Yes",Sufficient_data="Yes"),GE:GE^2-1/SUM(Calculations!FT:FT),"")</f>
        <v/>
      </c>
      <c r="HR129" s="7" t="str">
        <f t="shared" si="441"/>
        <v/>
      </c>
      <c r="HS129" s="7" t="str">
        <f t="shared" si="442"/>
        <v/>
      </c>
      <c r="HT129" s="7" t="str">
        <f>IF(AND(Include_study?="Yes",Sufficient_data="Yes"),COUNTIFS(HR$2:HR128,"&lt;"&amp;HR129,HS$2:HS128,"&lt;"&amp;HS129)+COUNTIFS(HR130:HR$201,"&lt;"&amp;HR129,HS130:HS$201,"&lt;"&amp;HS129)+COUNTIFS(HR$2:HR128,"&gt;"&amp;HR129,HS$2:HS128,"&gt;"&amp;HS129)+COUNTIFS(HR130:HR$201,"&gt;"&amp;HR129,HS130:HS$201,"&gt;"&amp;HS129),"")</f>
        <v/>
      </c>
      <c r="HU129" s="104" t="str">
        <f>IF(AND(Include_study?="Yes",Sufficient_data="Yes"),COUNTIFS(HR$2:HR128,"&lt;"&amp;HR129,HS$2:HS128,"&gt;"&amp;HS129)+COUNTIFS(HR130:HR$201,"&lt;"&amp;HR129,HS130:HS$201,"&gt;"&amp;HS129)+COUNTIFS(HR$2:HR128,"&gt;"&amp;HR129,HS$2:HS128,"&lt;"&amp;HS129)+COUNTIFS(HR130:HR$201,"&gt;"&amp;HR129,HS130:HS$201,"&lt;"&amp;HS129),"")</f>
        <v/>
      </c>
      <c r="HW129" s="176"/>
      <c r="IB129" s="176"/>
      <c r="IC129" s="146" t="e">
        <f t="shared" si="414"/>
        <v>#N/A</v>
      </c>
      <c r="ID129" s="137" t="e">
        <f t="shared" si="415"/>
        <v>#N/A</v>
      </c>
      <c r="IE129" s="137" t="str">
        <f t="shared" si="416"/>
        <v/>
      </c>
      <c r="IF129" s="95" t="str">
        <f t="shared" si="417"/>
        <v/>
      </c>
      <c r="IK129" s="176"/>
      <c r="IL129" s="69" t="e">
        <f>IF(AND(Include_study?="Yes",Sufficient_data="Yes"),'Publication Bias Analysis'!AV:AV,NA())</f>
        <v>#N/A</v>
      </c>
      <c r="IM129" s="158" t="e">
        <f>IF(AND(Sufficient_data="Yes",Include_study?="Yes"),'Publication Bias Analysis'!AU:AU,NA())</f>
        <v>#N/A</v>
      </c>
      <c r="IN129" s="69" t="str">
        <f t="shared" si="418"/>
        <v/>
      </c>
      <c r="IO129" s="74" t="str">
        <f>IF(AND(Include_study?="Yes",Sufficient_data="Yes"),Z_score-('Publication Bias Analysis'!AY$30+'Publication Bias Analysis'!AY$31*Inverse_standard_error),"")</f>
        <v/>
      </c>
      <c r="IU129" s="176"/>
      <c r="IV129" s="7" t="str">
        <f>IF('Publication Bias Analysis'!BG:BG&lt;&gt;"",RANK('Publication Bias Analysis'!BG:BG,'Publication Bias Analysis'!BG:BG,1)+COUNTIF('Publication Bias Analysis'!BG$2:BG128,'Publication Bias Analysis'!BG129),"")</f>
        <v/>
      </c>
      <c r="IW129" s="124" t="str">
        <f t="shared" si="419"/>
        <v/>
      </c>
      <c r="IX129" s="125" t="e">
        <f>IF('Publication Bias Analysis'!BF129&lt;&gt;"",'Publication Bias Analysis'!BF129,NA())</f>
        <v>#N/A</v>
      </c>
      <c r="IY129" s="125" t="e">
        <f>IF('Publication Bias Analysis'!BG129&lt;&gt;"",'Publication Bias Analysis'!BG129,NA())</f>
        <v>#N/A</v>
      </c>
      <c r="IZ129" s="69" t="str">
        <f>IF(AND(Include_study?="Yes",Sufficient_data="Yes"),'Publication Bias Analysis'!BF:BF-AVERAGE('Publication Bias Analysis'!BF:BF),"")</f>
        <v/>
      </c>
      <c r="JA129" s="74" t="str">
        <f>IF(AND(Include_study?="Yes",Sufficient_data="Yes"),'Publication Bias Analysis'!BG:BG-('Publication Bias Analysis'!BJ$30+'Publication Bias Analysis'!BJ$31*'Publication Bias Analysis'!BF:BF),"")</f>
        <v/>
      </c>
      <c r="JG129" s="176"/>
      <c r="JH129" s="39" t="str">
        <f t="shared" si="420"/>
        <v/>
      </c>
      <c r="JI129" s="148" t="str">
        <f t="shared" si="332"/>
        <v/>
      </c>
      <c r="JJ129" s="74" t="str">
        <f t="shared" si="333"/>
        <v/>
      </c>
    </row>
    <row r="130" spans="1:270" x14ac:dyDescent="0.2">
      <c r="A130" s="56" t="str">
        <f t="shared" si="334"/>
        <v/>
      </c>
      <c r="B130" s="7" t="str">
        <f>IF(AND(Include_study?="Yes",Sufficient_data="Yes"),IF(Input!a_&lt;&gt;"",Input!a_,Input!n1_-Input!b_),"")</f>
        <v/>
      </c>
      <c r="C130" s="7" t="str">
        <f>IF(AND(Include_study?="Yes",Sufficient_data="Yes"),IF(Input!b_&lt;&gt;"",Input!b_,Input!n1_-Input!a_),"")</f>
        <v/>
      </c>
      <c r="D130" s="7" t="str">
        <f>IF(AND(Include_study?="Yes",Sufficient_data="Yes"),IF(Input!c_&lt;&gt;"",Input!c_,Input!n2_-Input!d_),"")</f>
        <v/>
      </c>
      <c r="E130" s="7" t="str">
        <f>IF(AND(Include_study?="Yes",Sufficient_data="Yes"),IF(Input!d_&lt;&gt;"",Input!d_,Input!n2_-Input!c_),"")</f>
        <v/>
      </c>
      <c r="F130" s="74" t="str">
        <f t="shared" ref="F130:F161" si="443">IF(AND(Include_study?="Yes",Sufficient_data="Yes"),IF(OR(a_=0,b_=0,c_=0,d_=0),"Yes","No"),"")</f>
        <v/>
      </c>
      <c r="H130" s="196"/>
      <c r="I130" s="182"/>
      <c r="J130" s="146" t="str">
        <f t="shared" ref="J130:J193" si="444">IF(AND(Include_study?="Yes",Sufficient_data="Yes"),IF(Add_0_5="Yes",((a_+0.5)*(d_+0.5))/((b_+0.5)*(c_+0.5)),(a_*d_)/(b_*c_)),"")</f>
        <v/>
      </c>
      <c r="K130" s="39" t="str">
        <f t="shared" ref="K130:K161" si="445">IF(AND(Include_study?="Yes",Sufficient_data="Yes"),LN(OddsRatio),"")</f>
        <v/>
      </c>
      <c r="L130" s="39" t="str">
        <f t="shared" ref="L130:L161" si="446">IF(AND(Include_study?="Yes",Sufficient_data="Yes"),SQRT(IF(Add_0_5="Yes",1/(a_+0.5)+1/(b_+0.5)+1/(c_+0.5)+1/(d_+0.5),1/a_+1/b_+1/c_+1/d_)),"")</f>
        <v/>
      </c>
      <c r="M130" s="39" t="str">
        <f t="shared" ref="M130:M161" si="447">IF(AND(Include_study?="Yes",Sufficient_data="Yes"),EXP(LogOddsRatio-ABS(TINV((1-Confidence_level),Number_of_subjects-2))*SELogOddsRatio),"")</f>
        <v/>
      </c>
      <c r="N130" s="74" t="str">
        <f t="shared" ref="N130:N161" si="448">IF(AND(Include_study?="Yes",Sufficient_data="Yes"),EXP(LogOddsRatio+ABS(TINV((1-Confidence_level),Number_of_subjects-2))*SELogOddsRatio),"")</f>
        <v/>
      </c>
      <c r="P130" s="176"/>
      <c r="Q130" s="130" t="str">
        <f t="shared" ref="Q130:Q161" si="449">IF(AND(Include_study?="Yes",Sufficient_data="Yes"),EXP(LogPetoOddsRatio),"")</f>
        <v/>
      </c>
      <c r="R130" s="39" t="str">
        <f t="shared" ref="R130:R161" si="450">IF(AND(Include_study?="Yes",Sufficient_data="Yes"),SQRT(VarLogPetoOddsRatio),"")</f>
        <v/>
      </c>
      <c r="S130" s="39" t="str">
        <f t="shared" ref="S130:S161" si="451">IF(AND(Include_study?="Yes",Sufficient_data="Yes"),EXP(LogPetoOddsRatio-ABS(TINV((1-Confidence_level),Number_of_subjects-2))*SELogPetoOddsRatio),"")</f>
        <v/>
      </c>
      <c r="T130" s="74" t="str">
        <f t="shared" ref="T130:T161" si="452">IF(AND(Include_study?="Yes",Sufficient_data="Yes"),EXP(LogPetoOddsRatio+ABS(TINV((1-Confidence_level),Number_of_subjects-2))*SELogPetoOddsRatio),"")</f>
        <v/>
      </c>
      <c r="V130" s="176"/>
      <c r="W130" s="130" t="str">
        <f t="shared" ref="W130:W161" si="453">IF(AND(Include_study?="Yes",Sufficient_data="Yes"),a_/(a_+b_)-c_/(c_+d_),"")</f>
        <v/>
      </c>
      <c r="X130" s="39" t="str">
        <f t="shared" ref="X130:X161" si="454">IF(AND(Include_study?="Yes",Sufficient_data="Yes"),SQRT(a_*b_/(a_+b_)^3+c_*d_/(c_+d_)^3),"")</f>
        <v/>
      </c>
      <c r="Y130" s="39" t="str">
        <f t="shared" ref="Y130:Y161" si="455">IF(AND(Include_study?="Yes",Sufficient_data="Yes"),Risk_Difference-SERiskDifference*ABS(TINV((1-Confidence_level),Number_of_subjects-2)),"")</f>
        <v/>
      </c>
      <c r="Z130" s="74" t="str">
        <f t="shared" ref="Z130:Z161" si="456">IF(AND(Include_study?="Yes",Sufficient_data="Yes"),Risk_Difference+SERiskDifference*ABS(TINV((1-Confidence_level),Number_of_subjects-2)),"")</f>
        <v/>
      </c>
      <c r="AB130" s="176"/>
      <c r="AC130" s="130" t="str">
        <f t="shared" ref="AC130:AC161" si="457">IF(AND(Include_study?="Yes",Sufficient_data="Yes"),IF(Add_0_5="Yes",((a_+0.5)/(a_+0.5+b_+0.5))/((c_+0.5)/(c_+0.5+d_+0.5)),(a_/(a_+b_))/(c_/(c_+d_))),"")</f>
        <v/>
      </c>
      <c r="AD130" s="39" t="str">
        <f t="shared" ref="AD130:AD161" si="458">IF(AND(Include_study?="Yes",Sufficient_data="Yes"),LN(Risk_Ratio),"")</f>
        <v/>
      </c>
      <c r="AE130" s="39" t="str">
        <f t="shared" ref="AE130:AE161" si="459">IF(AND(Include_study?="Yes",Sufficient_data="Yes"),IF(Add_0_5="Yes",SQRT(1/(a_+0.5)-1/(a_+0.5+b_+0.5)+1/(c_+0.5)-1/(c_+0.5+d_+0.5)),SQRT(1/a_-1/(a_+b_)+1/c_-1/(c_+d_))),"")</f>
        <v/>
      </c>
      <c r="AF130" s="39" t="str">
        <f t="shared" ref="AF130:AF161" si="460">IF(AND(Include_study?="Yes",Sufficient_data="Yes"),EXP(LN(Risk_Ratio)-ABS(TINV((1-Confidence_level),Number_of_subjects-2))*SELogRiskRatio),"")</f>
        <v/>
      </c>
      <c r="AG130" s="74" t="str">
        <f t="shared" ref="AG130:AG161" si="461">IF(AND(Include_study?="Yes",Sufficient_data="Yes"),EXP(LN(Risk_Ratio)+ABS(TINV((1-Confidence_level),Number_of_subjects-2))*SELogRiskRatio),"")</f>
        <v/>
      </c>
      <c r="AI130" s="196"/>
      <c r="AJ13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0" s="136" t="str">
        <f>IF(AJ130&lt;&gt;"",IF(AJ130=0,COUNTIF(AJ$2:AJ129,0)+1,COUNTIF(AJ$2:AJ129,AJ130)+AJ130+COUNTIF(AJ:AJ,0)),"")</f>
        <v/>
      </c>
      <c r="AL130" s="136" t="str">
        <f t="shared" ref="AL130:AL193" si="462">Entry_number</f>
        <v/>
      </c>
      <c r="AM130" s="155" t="str">
        <f>IF(AND(Include_study?="Yes",Sufficient_data="Yes",Input!Study_name&lt;&gt;""),Input!Study_name,"")</f>
        <v/>
      </c>
      <c r="AN130" s="136" t="str">
        <f t="shared" ref="AN130:AN193" si="463">IF(AND(Sufficient_data="Yes",Include_study?="Yes"),(a_+b_+c_+d_),"")</f>
        <v/>
      </c>
      <c r="AO130" s="19" t="str">
        <f t="shared" ref="AO130:AO161" si="464">IF(AND(Include_study?="Yes",Sufficient_data="Yes"),IF(Present_Effect_size_measure="Risk difference",Risk_Difference,IF(Present_Effect_size_measure="Risk ratio",Risk_Ratio,IF(Present_Effect_size_measure="Odds Ratio",OddsRatio,IF(Present_Effect_size_measure="Peto Odds Ratio",PetoOddsRatio,"")))),"")</f>
        <v/>
      </c>
      <c r="AP130" s="158" t="str">
        <f t="shared" ref="AP130:AP161" si="465">IF(AND(Include_study?="Yes",Sufficient_data="Yes"),IF(Weighting_method="Inverse variance",Weightf,IF(Weighting_method="Mantel-Haenszel",Weightf_MH,Weightf_Peto)),"")</f>
        <v/>
      </c>
      <c r="AQ130" s="158" t="str">
        <f t="shared" ref="AQ130:AQ161" si="466">IF(AND(Include_study?="Yes",Sufficient_data="Yes"),IF(Weighting_method="Inverse variance",Weight,IF(Weighting_method="Mantel-Haenszel",Weight_MH,Weight_Peto)),"")</f>
        <v/>
      </c>
      <c r="AR130" s="39" t="str">
        <f t="shared" ref="AR130:AR161" si="467">IF(AND(Include_study?="Yes",Sufficient_data="Yes"),IF(Present_Effect_size_measure="Risk difference",SERiskDifference,IF(Present_Effect_size_measure="Risk ratio",SELogRiskRatio,IF(Present_Effect_size_measure="Odds Ratio",SELogOddsRatio,IF(Present_Effect_size_measure="Peto Odds Ratio",SELogPetoOddsRatio)))),"")</f>
        <v/>
      </c>
      <c r="AS130" s="158" t="str">
        <f t="shared" ref="AS130:AS161" si="468">IF(AND(Include_study?="Yes",Sufficient_data="Yes"),IF(Present_Effect_size_measure="Risk difference",CI_LLRiskDifference,IF(Present_Effect_size_measure="Risk ratio",CI_LLRiskRatio,CI_LLOddsRatio)),"")</f>
        <v/>
      </c>
      <c r="AT130" s="39" t="str">
        <f t="shared" ref="AT130:AT161" si="469">IF(AND(Include_study?="Yes",Sufficient_data="Yes"),IF(Present_Effect_size_measure="Risk difference",CI_ULRiskDifference,IF(Present_Effect_size_measure="Risk ratio",CI_ULRiskRatio,CI_ULOddsRatio)),"")</f>
        <v/>
      </c>
      <c r="AU130" s="172" t="str">
        <f t="shared" ref="AU130:AU161" si="470">IF(AND(Include_study?="Yes",Sufficient_data="Yes",Valid_options="Yes"),IF(Meta_analysis_model="Fixed effect model",Weightf_lookup/SUM(Weightf_lookup),Weightr_lookup/SUM(Weightr_lookup)),"")</f>
        <v/>
      </c>
      <c r="AV130" s="45"/>
      <c r="AW130" s="84" t="e">
        <f t="shared" si="360"/>
        <v>#N/A</v>
      </c>
      <c r="AX130" s="69" t="e">
        <f t="shared" ref="AX130:AX161" si="471">IF(Effect_size_lookup&lt;&gt;"",Effect_size_lookup-AS130,NA())</f>
        <v>#N/A</v>
      </c>
      <c r="AY130" s="74" t="e">
        <f t="shared" ref="AY130:AY161" si="472">IF(Effect_size_lookup&lt;&gt;"",AT130-Effect_size_lookup,NA())</f>
        <v>#N/A</v>
      </c>
      <c r="AZ130" s="45"/>
      <c r="BA130" s="45"/>
      <c r="BB130" s="45"/>
      <c r="BC130" s="45"/>
      <c r="BD130" s="196"/>
      <c r="BE130" s="182"/>
      <c r="BF130" s="69" t="str">
        <f t="shared" si="363"/>
        <v/>
      </c>
      <c r="BG130" s="69" t="str">
        <f t="shared" si="364"/>
        <v/>
      </c>
      <c r="BH130" s="69" t="str">
        <f t="shared" si="365"/>
        <v/>
      </c>
      <c r="BI130" s="39" t="str">
        <f t="shared" si="366"/>
        <v/>
      </c>
      <c r="BJ130" s="95" t="str">
        <f t="shared" ref="BJ130:BJ161" si="473">IF(Weightf&lt;&gt;"",Model_Effect_size-IF(OR(Model_effect_size_measure="Odds Ratio",Model_effect_size_measure="Risk Ratio",Model_effect_size_measure="Peto Odds Ratio"),lnCES_IV,CES_IV),"")</f>
        <v/>
      </c>
      <c r="BO130" s="176"/>
      <c r="BP130" s="158" t="str">
        <f t="shared" ref="BP130:BP161" si="474">IF(AND(Sufficient_data="Yes",Include_study?="Yes"),IF(Add_0_5="Yes",(a_+0.5)*(d_+0.5)/(Number_of_subjects+2),a_*d_/Number_of_subjects),"")</f>
        <v/>
      </c>
      <c r="BQ130" s="158" t="str">
        <f t="shared" ref="BQ130:BQ161" si="475">IF(AND(Sufficient_data="Yes",Include_study?="Yes"),IF(Add_0_5="Yes",(b_+0.5)*(c_+0.5)/(Number_of_subjects+2),b_*c_/Number_of_subjects),"")</f>
        <v/>
      </c>
      <c r="BR130" s="158" t="str">
        <f t="shared" ref="BR130:BR161" si="476">IF(AND(Sufficient_data="Yes",Include_study?="Yes"),IF(Add_0_5="Yes",(a_+d_+1)*(a_+0.5)*(d_+0.5)/(Number_of_subjects+2)^2,(a_+d_)*a_*d_/Number_of_subjects^2),"")</f>
        <v/>
      </c>
      <c r="BS130" s="158" t="str">
        <f>IF(AND(Sufficient_data="Yes",Include_study?="Yes"),IF(Add_0_5="Yes",(a_+d_+1)*(ab_+0.5)*(c_+0.5)/(Number_of_subjects+2)^2,(a_+d_)*b_*c_/Number_of_subjects^2),"")</f>
        <v/>
      </c>
      <c r="BT130" s="158" t="str">
        <f t="shared" ref="BT130:BT161" si="477">IF(AND(Sufficient_data="Yes",Include_study?="Yes"),IF(Add_0_5="Yes",(b_+c_+1)*(a_+0.5)*(d_+0.5)/(Number_of_subjects+2)^2,(b_+c_)*a_*d_/Number_of_subjects^2),"")</f>
        <v/>
      </c>
      <c r="BU130" s="158" t="str">
        <f t="shared" ref="BU130:BU161" si="478">IF(AND(Sufficient_data="Yes",Include_study?="Yes"),IF(Add_0_5="Yes",(b_+c_+1)*(b_+0.5)*(c_+0.5)/(Number_of_subjects+2)^2,(b_+c_)*b_*c_/Number_of_subjects^2),"")</f>
        <v/>
      </c>
      <c r="BV130" s="158" t="str">
        <f t="shared" ref="BV130:BV161" si="479">IF(AND(Sufficient_data="Yes",Include_study?="Yes"),IF(Add_0_5="Yes",(b_+0.5)*(c_+0.5)/(Number_of_subjects+2),b_*c_/Number_of_subjects),"")</f>
        <v/>
      </c>
      <c r="BW130" s="69" t="str">
        <f t="shared" si="374"/>
        <v/>
      </c>
      <c r="BX130" s="137" t="str">
        <f t="shared" si="375"/>
        <v/>
      </c>
      <c r="BY130" s="95" t="str">
        <f t="shared" ref="BY130:BY161" si="480">IF(Weithf_MH&lt;&gt;"",LogOddsRatio-lnCES_OddsRatio_MH,"")</f>
        <v/>
      </c>
      <c r="CD130" s="176"/>
      <c r="CE130" s="130" t="str">
        <f t="shared" ref="CE130:CE161" si="481">IF(AND(Include_study?="Yes",Sufficient_data="Yes"),((a_+b_)*(a_+c_))/(Number_of_subjects),"")</f>
        <v/>
      </c>
      <c r="CF130" s="39" t="str">
        <f t="shared" ref="CF130:CF161" si="482">IF(AND(Include_study?="Yes",Sufficient_data="Yes"),((a_+b_)*(c_+d_)*(a_+c_)*(b_+d_))/((Number_of_subjects)^2*(Number_of_subjects-1)),"")</f>
        <v/>
      </c>
      <c r="CG130" s="39" t="str">
        <f t="shared" ref="CG130:CG161" si="483">IF(AND(Include_study?="Yes",Sufficient_data="Yes"),(a_-Expected)/VarExpected,"")</f>
        <v/>
      </c>
      <c r="CH130" s="39" t="str">
        <f t="shared" ref="CH130:CH161" si="484">IF(AND(Include_study?="Yes",Sufficient_data="Yes"),1/VarExpected,"")</f>
        <v/>
      </c>
      <c r="CI130" s="39" t="str">
        <f t="shared" ref="CI130:CI161" si="485">IF(AND(Sufficient_data="Yes",Include_study?="Yes"),VarExpected,"")</f>
        <v/>
      </c>
      <c r="CJ130" s="39" t="str">
        <f t="shared" ref="CJ130:CJ193" si="486">IF(Weightf_Peto&lt;&gt;"",1/(VarLogPetoOddsRatio+T2_Peto),"")</f>
        <v/>
      </c>
      <c r="CK130" s="95" t="str">
        <f t="shared" ref="CK130:CK161" si="487">IF(Weightf_Peto&lt;&gt;"",LogPetoOddsRatio-lnCES_PetoOddsRatio,"")</f>
        <v/>
      </c>
      <c r="CP130" s="176"/>
      <c r="CQ130" s="99" t="str">
        <f t="shared" si="383"/>
        <v/>
      </c>
      <c r="CX130" s="196"/>
      <c r="CY130" s="89" t="e">
        <f t="shared" ref="CY130:CY161" si="488">IF(AND(Include_study?="Yes",Sufficient_data="Yes",Subgroup&lt;&gt;""),COUNTIFS(Include_study?,"Yes",Sufficient_data,"Yes",DA:DA,"&lt;"&amp;Subgroup,Subgroup,"*")+COUNTIFS(Entry_number,"&lt;"&amp;Entry_number,DA:DA,Subgroup)+COUNTIFS(DS:DS,"&gt;="&amp;0,DQ:DQ,"&lt;"&amp;Subgroup)+1,NA())</f>
        <v>#N/A</v>
      </c>
      <c r="CZ130" s="136" t="str">
        <f t="shared" ref="CZ130:CZ161" si="489">IF(AND(Include_study?="Yes",Sufficient_data="Yes",Subgroup&lt;&gt;""),Study_name,"")</f>
        <v/>
      </c>
      <c r="DA130" s="140" t="str">
        <f t="shared" ref="DA130:DA161" si="490">IF(AND(Include_study?="Yes",Sufficient_data="Yes",Subgroup&lt;&gt;""),Subgroup,"")</f>
        <v/>
      </c>
      <c r="DB130" s="39" t="str">
        <f t="shared" ref="DB130:DB161" si="491">IF(AND(Include_study?="Yes",Sufficient_data="Yes",Subgroup&lt;&gt;""),IF(Subgroup_effect_size_measure="Odds Ratio",LogOddsRatio,IF(Subgroup_effect_size_measure="Risk Ratio",LogRiskRatio,IF(Subgroup_effect_size_measure="Risk Difference",Risk_Difference,IF(Subgroup_effect_size_measure="Peto Odds Ratio",LogPetoOddsRatio,"")))),"")</f>
        <v/>
      </c>
      <c r="DC130" s="39" t="str">
        <f t="shared" ref="DC130:DC161" si="492">IF(AND(Include_study?="Yes",Sufficient_data="Yes",Subgroup&lt;&gt;""),IF(Subgroup_effect_size_measure="Odds Ratio",SELogOddsRatio,IF(Subgroup_effect_size_measure="Risk Ratio",SELogRiskRatio,IF(Subgroup_effect_size_measure="Risk Difference",SERiskDifference,IF(Subgroup_effect_size_measure="Peto Odds Ratio",SELogPetoOddsRatio,"")))),"")</f>
        <v/>
      </c>
      <c r="DD130" s="39" t="str">
        <f t="shared" ref="DD130:DD161" si="493">IF(AND(Include_study?="Yes",Sufficient_data="Yes",Subgroup&lt;&gt;""),IF(Subgroup_weighting_method="Inverse variance",1/DC130^2,IF(Subgroup_weighting_method="Mantel-Haenszel",Weightf_MH,Weightf_Peto)),"")</f>
        <v/>
      </c>
      <c r="DE130" s="39" t="str">
        <f t="shared" ref="DE130:DE161" si="494">IF(AND(Include_study?="Yes",Sufficient_data="Yes",Subgroup&lt;&gt;""),1/(DC130^2+IF(Within_subgroup_weighting=EX$42,0,INDEX(DQ:DX,MATCH(Subgroup,DQ:DQ,0),8))),"")</f>
        <v/>
      </c>
      <c r="DF130" s="141" t="str">
        <f t="shared" ref="DF130:DF161" si="495">IF(AND(Include_study?="Yes",Sufficient_data="Yes",Subgroup_valid_options="Yes",Subgroup&lt;&gt;""),DE130/SUMIF(Subgroup,Subgroup,DE:DE),"")</f>
        <v/>
      </c>
      <c r="DG130" s="39" t="str">
        <f t="shared" ref="DG130:DG161" si="496">IF(AND(Include_study?="Yes",Sufficient_data="Yes",Subgroup&lt;&gt;"",DG$1&lt;&gt;""),IF(Subgroup_effect_size_measure="Risk Ratio",Risk_Ratio,IF(Subgroup_effect_size_measure="Odds Ratio",OddsRatio,IF(Subgroup_effect_size_measure="Peto Odds Ratio",PetoOddsRatio,""))),"")</f>
        <v/>
      </c>
      <c r="DH130" s="39" t="str">
        <f t="shared" ref="DH130:DH161" si="497">IF(AND(Include_study?="Yes",Sufficient_data="Yes",Subgroup&lt;&gt;""),IF(Subgroup_effect_size_measure="Risk Difference",Subgroup_effect_size-ABS(TINV((1-Subgroup_confidence_level),Number_of_subjects-1))*DC:DC,EXP(Subgroup_effect_size-ABS(TINV((1-Subgroup_confidence_level),Number_of_subjects-1))*DC:DC)),"")</f>
        <v/>
      </c>
      <c r="DI130" s="39" t="str">
        <f t="shared" ref="DI130:DI161" si="498">IF(AND(Include_study?="Yes",Sufficient_data="Yes",Subgroup&lt;&gt;""),IF(Subgroup_effect_size_measure="Risk Difference",Subgroup_effect_size+ABS(TINV((1-Subgroup_confidence_level),Number_of_subjects-1))*DC:DC,EXP(Subgroup_effect_size+ABS(TINV((1-Subgroup_confidence_level),Number_of_subjects-1))*DC:DC)),"")</f>
        <v/>
      </c>
      <c r="DJ130" s="74" t="str">
        <f t="shared" ref="DJ130:DJ161" si="499">IF(AND(Include_study?="Yes",Sufficient_data="Yes",Subgroup&lt;&gt;""),Subgroup_effect_size-VLOOKUP(DA:DA,DQ:DZ,10,FALSE),"")</f>
        <v/>
      </c>
      <c r="DK130" s="45"/>
      <c r="DL130" s="84" t="e">
        <f t="shared" si="423"/>
        <v>#N/A</v>
      </c>
      <c r="DM130" s="39" t="e">
        <f t="shared" ref="DM130:DM161" si="500">IF(AND(Include_study?="Yes",Sufficient_data="Yes",Subgroup&lt;&gt;""),IF(Subgroup_effect_size_measure="Risk Difference",DB130-DH130,DG130-DH130),NA())</f>
        <v>#N/A</v>
      </c>
      <c r="DN130" s="74" t="e">
        <f t="shared" ref="DN130:DN161" si="501">IF(AND(Include_study?="Yes",Sufficient_data="Yes",Subgroup&lt;&gt;""),IF(Subgroup_effect_size_measure="Risk Difference",DI130-DB130,DI130-DG130),NA())</f>
        <v>#N/A</v>
      </c>
      <c r="DO130" s="45"/>
      <c r="DP130" s="89" t="str">
        <f t="shared" si="326"/>
        <v/>
      </c>
      <c r="DQ130" s="26" t="str">
        <f>IF(AND(Sufficient_data="Yes",Subgroup&lt;&gt;""),IF(COUNTIFS(Input!J$2:J129,"="&amp;"Yes",Input!C$2:C129,"="&amp;"Yes",Input!K$2:K129,"="&amp;Subgroup)&gt;0,"",Subgroup),"")</f>
        <v/>
      </c>
      <c r="DR130" s="7" t="str">
        <f t="shared" si="327"/>
        <v/>
      </c>
      <c r="DS130" s="7" t="str">
        <f t="shared" ref="DS130:DS161" si="502">IF(DQ130&lt;&gt;"",COUNTIFS(Sufficient_data,"Yes",Include_study?,"Yes",Subgroup,DQ130),"")</f>
        <v/>
      </c>
      <c r="DT130" s="19" t="str">
        <f t="shared" ref="DT130:DT161" si="503">IF(AND(DQ130&lt;&gt;"",Subgroup_valid_options="Yes",SUMIF(Subgroup,DQ130,Subgroup_weightf)&gt;0),MAX(0,SUMPRODUCT(--(Subgroup=DQ130),Subgroup_weightf,Subgroup_effect_size,Subgroup_effect_size)-(SUMPRODUCT(--(Subgroup=DQ130),Subgroup_weightf,Subgroup_effect_size)^2/SUMIF(Subgroup,DQ130,Subgroup_weightf))),"")</f>
        <v/>
      </c>
      <c r="DU130" s="12" t="str">
        <f t="shared" si="424"/>
        <v/>
      </c>
      <c r="DV130" s="11" t="str">
        <f t="shared" si="425"/>
        <v/>
      </c>
      <c r="DW130" s="12" t="str">
        <f t="shared" si="426"/>
        <v/>
      </c>
      <c r="DX130" s="12" t="str">
        <f t="shared" ref="DX130:DX161" si="504">IF(DT130&lt;&gt;"",IF(Within_subgroup_weighting=EX$44,MAX(0,(SUM(DT:DT)-(Subgroup_k-COUNT(DT:DT)))/SUM(DW:DW)),MAX(0,(DT130-(DS130-1))/DW130)),"")</f>
        <v/>
      </c>
      <c r="DY130" s="19" t="str">
        <f t="shared" si="427"/>
        <v/>
      </c>
      <c r="DZ130" s="12" t="str">
        <f t="shared" si="428"/>
        <v/>
      </c>
      <c r="EA130" s="19" t="str">
        <f t="shared" ref="EA130:EA161" si="505">IF(DT130&lt;&gt;"",IF(Within_subgroup_weighting=EX$42,1/SQRT(SUMIF(Subgroup,DQ130,DD:DD)),SQRT(SUMPRODUCT(--(Subgroup=DQ130),DE:DE,DJ:DJ,DJ:DJ)/((DS130-1)*SUMIF(Subgroup,DQ130,DE:DE)))),"")</f>
        <v/>
      </c>
      <c r="EB130" s="7" t="str">
        <f t="shared" ref="EB130:EB161" si="506">IF(DT130&lt;&gt;"",SUMIFS(Number_of_subjects,Subgroup,DQ130,Include_study?,"Yes",Sufficient_data,"Yes"),"")</f>
        <v/>
      </c>
      <c r="EC130" s="19" t="str">
        <f t="shared" ref="EC130:EC161" si="507">IF(DT130&lt;&gt;"",DZ130-ABS(TINV((1-Subgroup_confidence_level),DS130-1))*EA130,"")</f>
        <v/>
      </c>
      <c r="ED130" s="19" t="str">
        <f t="shared" ref="ED130:ED161" si="508">IF(DT130&lt;&gt;"",DZ130+ABS(TINV((1-Subgroup_confidence_level),DS130-1))*EA130,"")</f>
        <v/>
      </c>
      <c r="EE130" s="19" t="str">
        <f t="shared" si="429"/>
        <v/>
      </c>
      <c r="EF130" s="19" t="str">
        <f t="shared" si="430"/>
        <v/>
      </c>
      <c r="EG130" s="19" t="str">
        <f t="shared" si="431"/>
        <v/>
      </c>
      <c r="EH130" s="19" t="str">
        <f t="shared" si="432"/>
        <v/>
      </c>
      <c r="EI130" s="19" t="str">
        <f t="shared" si="433"/>
        <v/>
      </c>
      <c r="EJ130" s="19" t="str">
        <f t="shared" ref="EJ130:EJ161" si="509">IF(DT130&lt;&gt;"",DZ130-ABS(TINV((1-Subgroup_confidence_level),DS130-1))*SQRT(DX130+EA130^2),"")</f>
        <v/>
      </c>
      <c r="EK130" s="19" t="str">
        <f t="shared" ref="EK130:EK161" si="510">IF(DT130&lt;&gt;"",DZ130+ABS(TINV((1-Subgroup_confidence_level),DS130-1))*SQRT(DX130+EA130^2),"")</f>
        <v/>
      </c>
      <c r="EL130" s="19" t="str">
        <f t="shared" si="434"/>
        <v/>
      </c>
      <c r="EM130" s="19" t="str">
        <f t="shared" si="435"/>
        <v/>
      </c>
      <c r="EN130" s="19" t="str">
        <f t="shared" si="436"/>
        <v/>
      </c>
      <c r="EO130" s="19" t="str">
        <f t="shared" si="437"/>
        <v/>
      </c>
      <c r="EP130" s="19" t="str">
        <f t="shared" si="438"/>
        <v/>
      </c>
      <c r="EQ130" s="19" t="e">
        <f t="shared" si="439"/>
        <v>#N/A</v>
      </c>
      <c r="ER130" s="11" t="str">
        <f t="shared" si="328"/>
        <v/>
      </c>
      <c r="ES130" s="19" t="str">
        <f t="shared" si="329"/>
        <v/>
      </c>
      <c r="ET130" s="156" t="str">
        <f t="shared" ref="ET130:ET161" si="511">IF(EA130&lt;&gt;"",1/(EA130^2+IF(Between_subgroup_weighting=EX$38,0,EY$35)),"")</f>
        <v/>
      </c>
      <c r="EU130" s="39" t="str">
        <f t="shared" si="440"/>
        <v/>
      </c>
      <c r="EV130" s="74" t="str">
        <f t="shared" ref="EV130:EV161" si="512">IF(DT130&lt;&gt;"",IF(Subgroup_effect_size_measure="Risk Difference",EE:EE-EY$9,DZ:DZ-EY$2),"")</f>
        <v/>
      </c>
      <c r="FA130" s="196"/>
      <c r="FB130" s="84" t="e">
        <f>IF(AND(Include_study?="Yes",Sufficient_data="Yes",Moderator&lt;&gt;""),'Moderator Analysis'!E130,NA())</f>
        <v>#N/A</v>
      </c>
      <c r="FC130" s="39" t="e">
        <f>IF(AND(Include_study?="Yes",Sufficient_data="Yes",Moderator&lt;&gt;""),'Moderator Analysis'!F130,NA())</f>
        <v>#N/A</v>
      </c>
      <c r="FD130" s="39" t="str">
        <f t="shared" ref="FD130:FD161" si="513">IF(AND(Include_study?="Yes",Sufficient_data="Yes",Moderator&lt;&gt;""),IF(Moderator_effect_size_measure="Log Odds Ratio",SELogOddsRatio,IF(Moderator_effect_size_measure="Log Risk Ratio",SELogRiskRatio,IF(Moderator_effect_size_measure="Risk Difference",SERiskDifference,SELogPetoOddsRatio))),"")</f>
        <v/>
      </c>
      <c r="FE130" s="39" t="str">
        <f t="shared" ref="FE130:FE161" si="514">IF(AND(Include_study?="Yes",Sufficient_data="Yes",Moderator&lt;&gt;""),IF(Moderator_weighting_method="Inverse Variance",1/FD:FD^2,IF(Moderator_weighting_method="Mantel-Haenszel",Weightf_MH,Weightf_Peto)),"")</f>
        <v/>
      </c>
      <c r="FF130" s="39" t="str">
        <f>IF(AND(Include_study?="Yes",Sufficient_data="Yes",Moderator&lt;&gt;""),'Moderator Analysis'!F:F-FP$2,"")</f>
        <v/>
      </c>
      <c r="FG130" s="39" t="str">
        <f>IF(AND(Include_study?="Yes",Sufficient_data="Yes",Moderator&lt;&gt;""),'Moderator Analysis'!E:E-FP$3,"")</f>
        <v/>
      </c>
      <c r="FH130" s="74" t="str">
        <f>IF(AND(Include_study?="Yes",Sufficient_data="Yes",Moderator&lt;&gt;""),FE:FE*('Moderator Analysis'!F:F-FP$5-FP$4*'Moderator Analysis'!E:E)^2,"")</f>
        <v/>
      </c>
      <c r="FI130" s="128"/>
      <c r="FJ130" s="92" t="str">
        <f t="shared" ref="FJ130:FJ161" si="515">IF(AND(Include_study?="Yes",Sufficient_data="Yes",Moderator&lt;&gt;""),1/(FD:FD^2+FP$7),"")</f>
        <v/>
      </c>
      <c r="FK130" s="137" t="str">
        <f>IF(AND(Include_study?="Yes",Sufficient_data="Yes",Moderator&lt;&gt;""),'Moderator Analysis'!F:F-'Moderator Analysis'!J$37,"")</f>
        <v/>
      </c>
      <c r="FL130" s="137" t="str">
        <f>IF(AND(Include_study?="Yes",Sufficient_data="Yes",Moderator&lt;&gt;""),'Moderator Analysis'!E:E-SUMPRODUCT('Moderator Analysis'!E:E,FJ:FJ)/SUM(FJ:FJ),"")</f>
        <v/>
      </c>
      <c r="FM130" s="95" t="str">
        <f>IF(AND(Include_study?="Yes",Sufficient_data="Yes",Moderator&lt;&gt;""),FJ:FJ*('Moderator Analysis'!F:F-'Moderator Analysis'!J$29-'Moderator Analysis'!J$30*'Moderator Analysis'!E:E)^2,"")</f>
        <v/>
      </c>
      <c r="FR130" s="196"/>
      <c r="FS130" s="182"/>
      <c r="FT13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0" s="39" t="str">
        <f>IF(AND(Include_study?="Yes",Sufficient_data="Yes"),1/('Publication Bias Analysis'!F:F^2+IF(Additional_model="Fixed effect",0,Calculations!GH$12)),"")</f>
        <v/>
      </c>
      <c r="FV130" s="39" t="str">
        <f>IF(AND(Include_study?="Yes",Sufficient_data="Yes"),1/('Publication Bias Analysis'!F:F^2+IF(Additional_model="Fixed effect",0,'Publication Bias Analysis'!L$32)),"")</f>
        <v/>
      </c>
      <c r="FW130" s="39" t="str">
        <f>IF(AND(Include_study?="Yes",Sufficient_data="Yes"),'Publication Bias Analysis'!E:E-'Publication Bias Analysis'!I$37,"")</f>
        <v/>
      </c>
      <c r="FX130" s="39" t="str">
        <f>IF(AND(Include_study?="Yes",Sufficient_data="Yes"),IF(Additional_model="Fixed effect",1/'Publication Bias Analysis'!F:F,1/SQRT('Publication Bias Analysis'!F:F^2+GH$12)),"")</f>
        <v/>
      </c>
      <c r="FY13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0" s="136" t="str">
        <f t="shared" ref="FZ130:FZ161" si="516">IF(AND(Include_study?="Yes",Sufficient_data="Yes"),RANK(GM:GM,GM:GM,1)*IF(GL:GL&gt;0,1,-1),"")</f>
        <v/>
      </c>
      <c r="GA130" s="144" t="str">
        <f>IF(AND(Include_study?="Yes",Sufficient_data="Yes"),FZ:FZ+IF(GL:GL&lt;0,-1,1)*COUNTIF(FZ$2:FZ129,FZ:FZ),"")</f>
        <v/>
      </c>
      <c r="GB130" s="144" t="str">
        <f>IF(AND(Include_study?="Yes",Sufficient_data="Yes"),RANK(GP:GP,GP:GP,1)*IF(GO:GO&lt;0,-1,1)+IF(GO:GO&lt;0,-1,1)*COUNTIF(FZ$2:FZ129,FZ:FZ),"")</f>
        <v/>
      </c>
      <c r="GC130" s="144" t="str">
        <f>IF(AND(Include_study?="Yes",Sufficient_data="Yes"),RANK(GS:GS,GS:GS,1)*IF(GR:GR&lt;0,-1,1)+IF(GR:GR&lt;0,-1,1)*COUNTIF(FZ$2:FZ129,FZ:FZ),"")</f>
        <v/>
      </c>
      <c r="GD130" s="39" t="e">
        <f>IF(AND(Include_study?="Yes",Sufficient_data="Yes"),'Publication Bias Analysis'!E130,NA())</f>
        <v>#N/A</v>
      </c>
      <c r="GE130" s="74" t="e">
        <f>IF(AND(Include_study?="Yes",Sufficient_data="Yes"),'Publication Bias Analysis'!F130,NA())</f>
        <v>#N/A</v>
      </c>
      <c r="GK130" s="176"/>
      <c r="GL13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0" s="39" t="str">
        <f t="shared" ref="GM130:GM161" si="517">IF(AND(Include_study?="Yes",Sufficient_data="Yes"),ABS(GL130),"")</f>
        <v/>
      </c>
      <c r="GN13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0" s="39" t="str">
        <f>IF(AND(Include_study?="Yes",Sufficient_data="Yes"),IF('Publication Bias Analysis'!L$38="Left",'Publication Bias Analysis'!E:E-GW$3,GW$3-'Publication Bias Analysis'!E:E),"")</f>
        <v/>
      </c>
      <c r="GP130" s="39" t="str">
        <f t="shared" si="330"/>
        <v/>
      </c>
      <c r="GQ13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0" s="39" t="str">
        <f>IF(AND(Include_study?="Yes",Sufficient_data="Yes"),IF('Publication Bias Analysis'!L$38="Left",'Publication Bias Analysis'!E:E-GW$10,GW$10-'Publication Bias Analysis'!E:E),"")</f>
        <v/>
      </c>
      <c r="GS130" s="39" t="str">
        <f t="shared" si="331"/>
        <v/>
      </c>
      <c r="GT13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0" s="176"/>
      <c r="HL130" s="69" t="str">
        <f t="shared" ref="HL130:HL193" si="518">IF(AND(Include_study?="Yes",Sufficient_data="Yes"),Inverse_standard_error-AVERAGE(Inverse_standard_error),"")</f>
        <v/>
      </c>
      <c r="HM130" s="74" t="str">
        <f>IF(AND(Include_study?="Yes",Sufficient_data="Yes"),Z_score-('Publication Bias Analysis'!P$3+'Publication Bias Analysis'!P$4*Inverse_standard_error),"")</f>
        <v/>
      </c>
      <c r="HO130" s="176"/>
      <c r="HP130" s="69" t="str">
        <f>IF(AND(Include_study?="Yes",Sufficient_data="Yes"),(GD:GD-SUMPRODUCT(Calculations!FT:FT,'Publication Bias Analysis'!E:E)/SUM(Calculations!FT:FT))/SQRT(Calculations!HQ:HQ),"")</f>
        <v/>
      </c>
      <c r="HQ130" s="69" t="str">
        <f>IF(AND(Include_study?="Yes",Sufficient_data="Yes"),GE:GE^2-1/SUM(Calculations!FT:FT),"")</f>
        <v/>
      </c>
      <c r="HR130" s="7" t="str">
        <f t="shared" si="441"/>
        <v/>
      </c>
      <c r="HS130" s="7" t="str">
        <f t="shared" si="442"/>
        <v/>
      </c>
      <c r="HT130" s="7" t="str">
        <f>IF(AND(Include_study?="Yes",Sufficient_data="Yes"),COUNTIFS(HR$2:HR129,"&lt;"&amp;HR130,HS$2:HS129,"&lt;"&amp;HS130)+COUNTIFS(HR131:HR$201,"&lt;"&amp;HR130,HS131:HS$201,"&lt;"&amp;HS130)+COUNTIFS(HR$2:HR129,"&gt;"&amp;HR130,HS$2:HS129,"&gt;"&amp;HS130)+COUNTIFS(HR131:HR$201,"&gt;"&amp;HR130,HS131:HS$201,"&gt;"&amp;HS130),"")</f>
        <v/>
      </c>
      <c r="HU130" s="104" t="str">
        <f>IF(AND(Include_study?="Yes",Sufficient_data="Yes"),COUNTIFS(HR$2:HR129,"&lt;"&amp;HR130,HS$2:HS129,"&gt;"&amp;HS130)+COUNTIFS(HR131:HR$201,"&lt;"&amp;HR130,HS131:HS$201,"&gt;"&amp;HS130)+COUNTIFS(HR$2:HR129,"&gt;"&amp;HR130,HS$2:HS129,"&lt;"&amp;HS130)+COUNTIFS(HR131:HR$201,"&gt;"&amp;HR130,HS131:HS$201,"&lt;"&amp;HS130),"")</f>
        <v/>
      </c>
      <c r="HW130" s="176"/>
      <c r="IB130" s="176"/>
      <c r="IC130" s="146" t="e">
        <f t="shared" ref="IC130:IC161" si="519">IF(AND(Include_study?="Yes",Sufficient_data="Yes"),a_/(a_+b_),NA())</f>
        <v>#N/A</v>
      </c>
      <c r="ID130" s="137" t="e">
        <f t="shared" ref="ID130:ID161" si="520">IF(AND(Include_study?="Yes",Sufficient_data="Yes"),c_/(c_+d_),NA())</f>
        <v>#N/A</v>
      </c>
      <c r="IE130" s="137" t="str">
        <f t="shared" ref="IE130:IE161" si="521">IF(AND(Include_study?="Yes",Sufficient_data="Yes"),1/SELogRiskRatio^2,"")</f>
        <v/>
      </c>
      <c r="IF130" s="95" t="str">
        <f t="shared" ref="IF130:IF161" si="522">IF(AND(Include_study?="Yes",Sufficient_data="Yes"),IF(Additional_model="Fixed effect",Weightf,Weightr),"")</f>
        <v/>
      </c>
      <c r="IK130" s="176"/>
      <c r="IL130" s="69" t="e">
        <f>IF(AND(Include_study?="Yes",Sufficient_data="Yes"),'Publication Bias Analysis'!AV:AV,NA())</f>
        <v>#N/A</v>
      </c>
      <c r="IM130" s="158" t="e">
        <f>IF(AND(Sufficient_data="Yes",Include_study?="Yes"),'Publication Bias Analysis'!AU:AU,NA())</f>
        <v>#N/A</v>
      </c>
      <c r="IN130" s="69" t="str">
        <f t="shared" si="418"/>
        <v/>
      </c>
      <c r="IO130" s="74" t="str">
        <f>IF(AND(Include_study?="Yes",Sufficient_data="Yes"),Z_score-('Publication Bias Analysis'!AY$30+'Publication Bias Analysis'!AY$31*Inverse_standard_error),"")</f>
        <v/>
      </c>
      <c r="IU130" s="176"/>
      <c r="IV130" s="7" t="str">
        <f>IF('Publication Bias Analysis'!BG:BG&lt;&gt;"",RANK('Publication Bias Analysis'!BG:BG,'Publication Bias Analysis'!BG:BG,1)+COUNTIF('Publication Bias Analysis'!BG$2:BG129,'Publication Bias Analysis'!BG130),"")</f>
        <v/>
      </c>
      <c r="IW130" s="124" t="str">
        <f t="shared" ref="IW130:IW161" si="523">IF(IV:IV&lt;&gt;"",(IV:IV-1/3)/(k_+1/3),"")</f>
        <v/>
      </c>
      <c r="IX130" s="125" t="e">
        <f>IF('Publication Bias Analysis'!BF130&lt;&gt;"",'Publication Bias Analysis'!BF130,NA())</f>
        <v>#N/A</v>
      </c>
      <c r="IY130" s="125" t="e">
        <f>IF('Publication Bias Analysis'!BG130&lt;&gt;"",'Publication Bias Analysis'!BG130,NA())</f>
        <v>#N/A</v>
      </c>
      <c r="IZ130" s="69" t="str">
        <f>IF(AND(Include_study?="Yes",Sufficient_data="Yes"),'Publication Bias Analysis'!BF:BF-AVERAGE('Publication Bias Analysis'!BF:BF),"")</f>
        <v/>
      </c>
      <c r="JA130" s="74" t="str">
        <f>IF(AND(Include_study?="Yes",Sufficient_data="Yes"),'Publication Bias Analysis'!BG:BG-('Publication Bias Analysis'!BJ$30+'Publication Bias Analysis'!BJ$31*'Publication Bias Analysis'!BF:BF),"")</f>
        <v/>
      </c>
      <c r="JG130" s="176"/>
      <c r="JH130" s="39" t="str">
        <f t="shared" ref="JH130:JH161" si="524">IF(AND(Include_study?="Yes",Sufficient_data="Yes"),IF(AND(Additional_valid_options="No",Additional_model="Random effects"),NA(),Z_score),"")</f>
        <v/>
      </c>
      <c r="JI130" s="148" t="str">
        <f t="shared" si="332"/>
        <v/>
      </c>
      <c r="JJ130" s="74" t="str">
        <f t="shared" si="333"/>
        <v/>
      </c>
    </row>
    <row r="131" spans="1:270" x14ac:dyDescent="0.2">
      <c r="A131" s="56" t="str">
        <f t="shared" si="334"/>
        <v/>
      </c>
      <c r="B131" s="7" t="str">
        <f>IF(AND(Include_study?="Yes",Sufficient_data="Yes"),IF(Input!a_&lt;&gt;"",Input!a_,Input!n1_-Input!b_),"")</f>
        <v/>
      </c>
      <c r="C131" s="7" t="str">
        <f>IF(AND(Include_study?="Yes",Sufficient_data="Yes"),IF(Input!b_&lt;&gt;"",Input!b_,Input!n1_-Input!a_),"")</f>
        <v/>
      </c>
      <c r="D131" s="7" t="str">
        <f>IF(AND(Include_study?="Yes",Sufficient_data="Yes"),IF(Input!c_&lt;&gt;"",Input!c_,Input!n2_-Input!d_),"")</f>
        <v/>
      </c>
      <c r="E131" s="7" t="str">
        <f>IF(AND(Include_study?="Yes",Sufficient_data="Yes"),IF(Input!d_&lt;&gt;"",Input!d_,Input!n2_-Input!c_),"")</f>
        <v/>
      </c>
      <c r="F131" s="74" t="str">
        <f t="shared" si="443"/>
        <v/>
      </c>
      <c r="H131" s="196"/>
      <c r="I131" s="182"/>
      <c r="J131" s="146" t="str">
        <f t="shared" si="444"/>
        <v/>
      </c>
      <c r="K131" s="39" t="str">
        <f t="shared" si="445"/>
        <v/>
      </c>
      <c r="L131" s="39" t="str">
        <f t="shared" si="446"/>
        <v/>
      </c>
      <c r="M131" s="39" t="str">
        <f t="shared" si="447"/>
        <v/>
      </c>
      <c r="N131" s="74" t="str">
        <f t="shared" si="448"/>
        <v/>
      </c>
      <c r="P131" s="176"/>
      <c r="Q131" s="130" t="str">
        <f t="shared" si="449"/>
        <v/>
      </c>
      <c r="R131" s="39" t="str">
        <f t="shared" si="450"/>
        <v/>
      </c>
      <c r="S131" s="39" t="str">
        <f t="shared" si="451"/>
        <v/>
      </c>
      <c r="T131" s="74" t="str">
        <f t="shared" si="452"/>
        <v/>
      </c>
      <c r="V131" s="176"/>
      <c r="W131" s="130" t="str">
        <f t="shared" si="453"/>
        <v/>
      </c>
      <c r="X131" s="39" t="str">
        <f t="shared" si="454"/>
        <v/>
      </c>
      <c r="Y131" s="39" t="str">
        <f t="shared" si="455"/>
        <v/>
      </c>
      <c r="Z131" s="74" t="str">
        <f t="shared" si="456"/>
        <v/>
      </c>
      <c r="AB131" s="176"/>
      <c r="AC131" s="130" t="str">
        <f t="shared" si="457"/>
        <v/>
      </c>
      <c r="AD131" s="39" t="str">
        <f t="shared" si="458"/>
        <v/>
      </c>
      <c r="AE131" s="39" t="str">
        <f t="shared" si="459"/>
        <v/>
      </c>
      <c r="AF131" s="39" t="str">
        <f t="shared" si="460"/>
        <v/>
      </c>
      <c r="AG131" s="74" t="str">
        <f t="shared" si="461"/>
        <v/>
      </c>
      <c r="AI131" s="196"/>
      <c r="AJ13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1" s="136" t="str">
        <f>IF(AJ131&lt;&gt;"",IF(AJ131=0,COUNTIF(AJ$2:AJ130,0)+1,COUNTIF(AJ$2:AJ130,AJ131)+AJ131+COUNTIF(AJ:AJ,0)),"")</f>
        <v/>
      </c>
      <c r="AL131" s="136" t="str">
        <f t="shared" si="462"/>
        <v/>
      </c>
      <c r="AM131" s="155" t="str">
        <f>IF(AND(Include_study?="Yes",Sufficient_data="Yes",Input!Study_name&lt;&gt;""),Input!Study_name,"")</f>
        <v/>
      </c>
      <c r="AN131" s="136" t="str">
        <f t="shared" si="463"/>
        <v/>
      </c>
      <c r="AO131" s="19" t="str">
        <f t="shared" si="464"/>
        <v/>
      </c>
      <c r="AP131" s="158" t="str">
        <f t="shared" si="465"/>
        <v/>
      </c>
      <c r="AQ131" s="158" t="str">
        <f t="shared" si="466"/>
        <v/>
      </c>
      <c r="AR131" s="39" t="str">
        <f t="shared" si="467"/>
        <v/>
      </c>
      <c r="AS131" s="158" t="str">
        <f t="shared" si="468"/>
        <v/>
      </c>
      <c r="AT131" s="39" t="str">
        <f t="shared" si="469"/>
        <v/>
      </c>
      <c r="AU131" s="172" t="str">
        <f t="shared" si="470"/>
        <v/>
      </c>
      <c r="AV131" s="45"/>
      <c r="AW131" s="84" t="e">
        <f t="shared" si="360"/>
        <v>#N/A</v>
      </c>
      <c r="AX131" s="69" t="e">
        <f t="shared" si="471"/>
        <v>#N/A</v>
      </c>
      <c r="AY131" s="74" t="e">
        <f t="shared" si="472"/>
        <v>#N/A</v>
      </c>
      <c r="AZ131" s="45"/>
      <c r="BA131" s="45"/>
      <c r="BB131" s="45"/>
      <c r="BC131" s="45"/>
      <c r="BD131" s="196"/>
      <c r="BE131" s="182"/>
      <c r="BF131" s="69" t="str">
        <f t="shared" si="363"/>
        <v/>
      </c>
      <c r="BG131" s="69" t="str">
        <f t="shared" si="364"/>
        <v/>
      </c>
      <c r="BH131" s="69" t="str">
        <f t="shared" si="365"/>
        <v/>
      </c>
      <c r="BI131" s="39" t="str">
        <f t="shared" si="366"/>
        <v/>
      </c>
      <c r="BJ131" s="95" t="str">
        <f t="shared" si="473"/>
        <v/>
      </c>
      <c r="BO131" s="176"/>
      <c r="BP131" s="158" t="str">
        <f t="shared" si="474"/>
        <v/>
      </c>
      <c r="BQ131" s="158" t="str">
        <f t="shared" si="475"/>
        <v/>
      </c>
      <c r="BR131" s="158" t="str">
        <f t="shared" si="476"/>
        <v/>
      </c>
      <c r="BS131" s="158" t="str">
        <f>IF(AND(Sufficient_data="Yes",Include_study?="Yes"),IF(Add_0_5="Yes",(a_+d_+1)*(ab_+0.5)*(c_+0.5)/(Number_of_subjects+2)^2,(a_+d_)*b_*c_/Number_of_subjects^2),"")</f>
        <v/>
      </c>
      <c r="BT131" s="158" t="str">
        <f t="shared" si="477"/>
        <v/>
      </c>
      <c r="BU131" s="158" t="str">
        <f t="shared" si="478"/>
        <v/>
      </c>
      <c r="BV131" s="158" t="str">
        <f t="shared" si="479"/>
        <v/>
      </c>
      <c r="BW131" s="69" t="str">
        <f t="shared" si="374"/>
        <v/>
      </c>
      <c r="BX131" s="137" t="str">
        <f t="shared" si="375"/>
        <v/>
      </c>
      <c r="BY131" s="95" t="str">
        <f t="shared" si="480"/>
        <v/>
      </c>
      <c r="CD131" s="176"/>
      <c r="CE131" s="130" t="str">
        <f t="shared" si="481"/>
        <v/>
      </c>
      <c r="CF131" s="39" t="str">
        <f t="shared" si="482"/>
        <v/>
      </c>
      <c r="CG131" s="39" t="str">
        <f t="shared" si="483"/>
        <v/>
      </c>
      <c r="CH131" s="39" t="str">
        <f t="shared" si="484"/>
        <v/>
      </c>
      <c r="CI131" s="39" t="str">
        <f t="shared" si="485"/>
        <v/>
      </c>
      <c r="CJ131" s="39" t="str">
        <f t="shared" si="486"/>
        <v/>
      </c>
      <c r="CK131" s="95" t="str">
        <f t="shared" si="487"/>
        <v/>
      </c>
      <c r="CP131" s="176"/>
      <c r="CQ131" s="99" t="str">
        <f t="shared" si="383"/>
        <v/>
      </c>
      <c r="CX131" s="196"/>
      <c r="CY131" s="89" t="e">
        <f t="shared" si="488"/>
        <v>#N/A</v>
      </c>
      <c r="CZ131" s="136" t="str">
        <f t="shared" si="489"/>
        <v/>
      </c>
      <c r="DA131" s="140" t="str">
        <f t="shared" si="490"/>
        <v/>
      </c>
      <c r="DB131" s="39" t="str">
        <f t="shared" si="491"/>
        <v/>
      </c>
      <c r="DC131" s="39" t="str">
        <f t="shared" si="492"/>
        <v/>
      </c>
      <c r="DD131" s="39" t="str">
        <f t="shared" si="493"/>
        <v/>
      </c>
      <c r="DE131" s="39" t="str">
        <f t="shared" si="494"/>
        <v/>
      </c>
      <c r="DF131" s="141" t="str">
        <f t="shared" si="495"/>
        <v/>
      </c>
      <c r="DG131" s="39" t="str">
        <f t="shared" si="496"/>
        <v/>
      </c>
      <c r="DH131" s="39" t="str">
        <f t="shared" si="497"/>
        <v/>
      </c>
      <c r="DI131" s="39" t="str">
        <f t="shared" si="498"/>
        <v/>
      </c>
      <c r="DJ131" s="74" t="str">
        <f t="shared" si="499"/>
        <v/>
      </c>
      <c r="DK131" s="45"/>
      <c r="DL131" s="84" t="e">
        <f t="shared" si="423"/>
        <v>#N/A</v>
      </c>
      <c r="DM131" s="39" t="e">
        <f t="shared" si="500"/>
        <v>#N/A</v>
      </c>
      <c r="DN131" s="74" t="e">
        <f t="shared" si="501"/>
        <v>#N/A</v>
      </c>
      <c r="DO131" s="45"/>
      <c r="DP131" s="89" t="str">
        <f t="shared" ref="DP131:DP194" si="525">IF(DQ131&lt;&gt;"",SUMIFS(DS:DS,DS:DS,"&gt;="&amp;0,DQ:DQ,"&lt;"&amp;DQ131)+DS131+DR131,"")</f>
        <v/>
      </c>
      <c r="DQ131" s="26" t="str">
        <f>IF(AND(Sufficient_data="Yes",Subgroup&lt;&gt;""),IF(COUNTIFS(Input!J$2:J130,"="&amp;"Yes",Input!C$2:C130,"="&amp;"Yes",Input!K$2:K130,"="&amp;Subgroup)&gt;0,"",Subgroup),"")</f>
        <v/>
      </c>
      <c r="DR131" s="7" t="str">
        <f t="shared" ref="DR131:DR194" si="526">IF(DQ131&lt;&gt;"",(COUNTIFS(DS:DS,"&gt;"&amp;0,DQ:DQ,"&lt;"&amp;DQ131)+1),"")</f>
        <v/>
      </c>
      <c r="DS131" s="7" t="str">
        <f t="shared" si="502"/>
        <v/>
      </c>
      <c r="DT131" s="19" t="str">
        <f t="shared" si="503"/>
        <v/>
      </c>
      <c r="DU131" s="12" t="str">
        <f t="shared" si="424"/>
        <v/>
      </c>
      <c r="DV131" s="11" t="str">
        <f t="shared" si="425"/>
        <v/>
      </c>
      <c r="DW131" s="12" t="str">
        <f t="shared" si="426"/>
        <v/>
      </c>
      <c r="DX131" s="12" t="str">
        <f t="shared" si="504"/>
        <v/>
      </c>
      <c r="DY131" s="19" t="str">
        <f t="shared" si="427"/>
        <v/>
      </c>
      <c r="DZ131" s="12" t="str">
        <f t="shared" si="428"/>
        <v/>
      </c>
      <c r="EA131" s="19" t="str">
        <f t="shared" si="505"/>
        <v/>
      </c>
      <c r="EB131" s="7" t="str">
        <f t="shared" si="506"/>
        <v/>
      </c>
      <c r="EC131" s="19" t="str">
        <f t="shared" si="507"/>
        <v/>
      </c>
      <c r="ED131" s="19" t="str">
        <f t="shared" si="508"/>
        <v/>
      </c>
      <c r="EE131" s="19" t="str">
        <f t="shared" si="429"/>
        <v/>
      </c>
      <c r="EF131" s="19" t="str">
        <f t="shared" si="430"/>
        <v/>
      </c>
      <c r="EG131" s="19" t="str">
        <f t="shared" si="431"/>
        <v/>
      </c>
      <c r="EH131" s="19" t="str">
        <f t="shared" si="432"/>
        <v/>
      </c>
      <c r="EI131" s="19" t="str">
        <f t="shared" si="433"/>
        <v/>
      </c>
      <c r="EJ131" s="19" t="str">
        <f t="shared" si="509"/>
        <v/>
      </c>
      <c r="EK131" s="19" t="str">
        <f t="shared" si="510"/>
        <v/>
      </c>
      <c r="EL131" s="19" t="str">
        <f t="shared" si="434"/>
        <v/>
      </c>
      <c r="EM131" s="19" t="str">
        <f t="shared" si="435"/>
        <v/>
      </c>
      <c r="EN131" s="19" t="str">
        <f t="shared" si="436"/>
        <v/>
      </c>
      <c r="EO131" s="19" t="str">
        <f t="shared" si="437"/>
        <v/>
      </c>
      <c r="EP131" s="19" t="str">
        <f t="shared" si="438"/>
        <v/>
      </c>
      <c r="EQ131" s="19" t="e">
        <f t="shared" si="439"/>
        <v>#N/A</v>
      </c>
      <c r="ER131" s="11" t="str">
        <f t="shared" ref="ER131:ER194" si="527">IF(DT131&lt;&gt;"",(ET131/SUM(ET:ET)),"")</f>
        <v/>
      </c>
      <c r="ES131" s="19" t="str">
        <f t="shared" ref="ES131:ES194" si="528">IF(DT131&lt;&gt;"",1/(EA131^2),"")</f>
        <v/>
      </c>
      <c r="ET131" s="156" t="str">
        <f t="shared" si="511"/>
        <v/>
      </c>
      <c r="EU131" s="39" t="str">
        <f t="shared" si="440"/>
        <v/>
      </c>
      <c r="EV131" s="74" t="str">
        <f t="shared" si="512"/>
        <v/>
      </c>
      <c r="FA131" s="196"/>
      <c r="FB131" s="84" t="e">
        <f>IF(AND(Include_study?="Yes",Sufficient_data="Yes",Moderator&lt;&gt;""),'Moderator Analysis'!E131,NA())</f>
        <v>#N/A</v>
      </c>
      <c r="FC131" s="39" t="e">
        <f>IF(AND(Include_study?="Yes",Sufficient_data="Yes",Moderator&lt;&gt;""),'Moderator Analysis'!F131,NA())</f>
        <v>#N/A</v>
      </c>
      <c r="FD131" s="39" t="str">
        <f t="shared" si="513"/>
        <v/>
      </c>
      <c r="FE131" s="39" t="str">
        <f t="shared" si="514"/>
        <v/>
      </c>
      <c r="FF131" s="39" t="str">
        <f>IF(AND(Include_study?="Yes",Sufficient_data="Yes",Moderator&lt;&gt;""),'Moderator Analysis'!F:F-FP$2,"")</f>
        <v/>
      </c>
      <c r="FG131" s="39" t="str">
        <f>IF(AND(Include_study?="Yes",Sufficient_data="Yes",Moderator&lt;&gt;""),'Moderator Analysis'!E:E-FP$3,"")</f>
        <v/>
      </c>
      <c r="FH131" s="74" t="str">
        <f>IF(AND(Include_study?="Yes",Sufficient_data="Yes",Moderator&lt;&gt;""),FE:FE*('Moderator Analysis'!F:F-FP$5-FP$4*'Moderator Analysis'!E:E)^2,"")</f>
        <v/>
      </c>
      <c r="FI131" s="128"/>
      <c r="FJ131" s="92" t="str">
        <f t="shared" si="515"/>
        <v/>
      </c>
      <c r="FK131" s="137" t="str">
        <f>IF(AND(Include_study?="Yes",Sufficient_data="Yes",Moderator&lt;&gt;""),'Moderator Analysis'!F:F-'Moderator Analysis'!J$37,"")</f>
        <v/>
      </c>
      <c r="FL131" s="137" t="str">
        <f>IF(AND(Include_study?="Yes",Sufficient_data="Yes",Moderator&lt;&gt;""),'Moderator Analysis'!E:E-SUMPRODUCT('Moderator Analysis'!E:E,FJ:FJ)/SUM(FJ:FJ),"")</f>
        <v/>
      </c>
      <c r="FM131" s="95" t="str">
        <f>IF(AND(Include_study?="Yes",Sufficient_data="Yes",Moderator&lt;&gt;""),FJ:FJ*('Moderator Analysis'!F:F-'Moderator Analysis'!J$29-'Moderator Analysis'!J$30*'Moderator Analysis'!E:E)^2,"")</f>
        <v/>
      </c>
      <c r="FR131" s="196"/>
      <c r="FS131" s="182"/>
      <c r="FT13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1" s="39" t="str">
        <f>IF(AND(Include_study?="Yes",Sufficient_data="Yes"),1/('Publication Bias Analysis'!F:F^2+IF(Additional_model="Fixed effect",0,Calculations!GH$12)),"")</f>
        <v/>
      </c>
      <c r="FV131" s="39" t="str">
        <f>IF(AND(Include_study?="Yes",Sufficient_data="Yes"),1/('Publication Bias Analysis'!F:F^2+IF(Additional_model="Fixed effect",0,'Publication Bias Analysis'!L$32)),"")</f>
        <v/>
      </c>
      <c r="FW131" s="39" t="str">
        <f>IF(AND(Include_study?="Yes",Sufficient_data="Yes"),'Publication Bias Analysis'!E:E-'Publication Bias Analysis'!I$37,"")</f>
        <v/>
      </c>
      <c r="FX131" s="39" t="str">
        <f>IF(AND(Include_study?="Yes",Sufficient_data="Yes"),IF(Additional_model="Fixed effect",1/'Publication Bias Analysis'!F:F,1/SQRT('Publication Bias Analysis'!F:F^2+GH$12)),"")</f>
        <v/>
      </c>
      <c r="FY13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1" s="136" t="str">
        <f t="shared" si="516"/>
        <v/>
      </c>
      <c r="GA131" s="144" t="str">
        <f>IF(AND(Include_study?="Yes",Sufficient_data="Yes"),FZ:FZ+IF(GL:GL&lt;0,-1,1)*COUNTIF(FZ$2:FZ130,FZ:FZ),"")</f>
        <v/>
      </c>
      <c r="GB131" s="144" t="str">
        <f>IF(AND(Include_study?="Yes",Sufficient_data="Yes"),RANK(GP:GP,GP:GP,1)*IF(GO:GO&lt;0,-1,1)+IF(GO:GO&lt;0,-1,1)*COUNTIF(FZ$2:FZ130,FZ:FZ),"")</f>
        <v/>
      </c>
      <c r="GC131" s="144" t="str">
        <f>IF(AND(Include_study?="Yes",Sufficient_data="Yes"),RANK(GS:GS,GS:GS,1)*IF(GR:GR&lt;0,-1,1)+IF(GR:GR&lt;0,-1,1)*COUNTIF(FZ$2:FZ130,FZ:FZ),"")</f>
        <v/>
      </c>
      <c r="GD131" s="39" t="e">
        <f>IF(AND(Include_study?="Yes",Sufficient_data="Yes"),'Publication Bias Analysis'!E131,NA())</f>
        <v>#N/A</v>
      </c>
      <c r="GE131" s="74" t="e">
        <f>IF(AND(Include_study?="Yes",Sufficient_data="Yes"),'Publication Bias Analysis'!F131,NA())</f>
        <v>#N/A</v>
      </c>
      <c r="GK131" s="176"/>
      <c r="GL13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1" s="39" t="str">
        <f t="shared" si="517"/>
        <v/>
      </c>
      <c r="GN13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1" s="39" t="str">
        <f>IF(AND(Include_study?="Yes",Sufficient_data="Yes"),IF('Publication Bias Analysis'!L$38="Left",'Publication Bias Analysis'!E:E-GW$3,GW$3-'Publication Bias Analysis'!E:E),"")</f>
        <v/>
      </c>
      <c r="GP131" s="39" t="str">
        <f t="shared" ref="GP131:GP194" si="529">IF(GO131&lt;&gt;"",ABS(GO131),"")</f>
        <v/>
      </c>
      <c r="GQ13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1" s="39" t="str">
        <f>IF(AND(Include_study?="Yes",Sufficient_data="Yes"),IF('Publication Bias Analysis'!L$38="Left",'Publication Bias Analysis'!E:E-GW$10,GW$10-'Publication Bias Analysis'!E:E),"")</f>
        <v/>
      </c>
      <c r="GS131" s="39" t="str">
        <f t="shared" ref="GS131:GS194" si="530">IF(GR131&lt;&gt;"",ABS(GR131),"")</f>
        <v/>
      </c>
      <c r="GT13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1" s="176"/>
      <c r="HL131" s="69" t="str">
        <f t="shared" si="518"/>
        <v/>
      </c>
      <c r="HM131" s="74" t="str">
        <f>IF(AND(Include_study?="Yes",Sufficient_data="Yes"),Z_score-('Publication Bias Analysis'!P$3+'Publication Bias Analysis'!P$4*Inverse_standard_error),"")</f>
        <v/>
      </c>
      <c r="HO131" s="176"/>
      <c r="HP131" s="69" t="str">
        <f>IF(AND(Include_study?="Yes",Sufficient_data="Yes"),(GD:GD-SUMPRODUCT(Calculations!FT:FT,'Publication Bias Analysis'!E:E)/SUM(Calculations!FT:FT))/SQRT(Calculations!HQ:HQ),"")</f>
        <v/>
      </c>
      <c r="HQ131" s="69" t="str">
        <f>IF(AND(Include_study?="Yes",Sufficient_data="Yes"),GE:GE^2-1/SUM(Calculations!FT:FT),"")</f>
        <v/>
      </c>
      <c r="HR131" s="7" t="str">
        <f t="shared" si="441"/>
        <v/>
      </c>
      <c r="HS131" s="7" t="str">
        <f t="shared" si="442"/>
        <v/>
      </c>
      <c r="HT131" s="7" t="str">
        <f>IF(AND(Include_study?="Yes",Sufficient_data="Yes"),COUNTIFS(HR$2:HR130,"&lt;"&amp;HR131,HS$2:HS130,"&lt;"&amp;HS131)+COUNTIFS(HR132:HR$201,"&lt;"&amp;HR131,HS132:HS$201,"&lt;"&amp;HS131)+COUNTIFS(HR$2:HR130,"&gt;"&amp;HR131,HS$2:HS130,"&gt;"&amp;HS131)+COUNTIFS(HR132:HR$201,"&gt;"&amp;HR131,HS132:HS$201,"&gt;"&amp;HS131),"")</f>
        <v/>
      </c>
      <c r="HU131" s="104" t="str">
        <f>IF(AND(Include_study?="Yes",Sufficient_data="Yes"),COUNTIFS(HR$2:HR130,"&lt;"&amp;HR131,HS$2:HS130,"&gt;"&amp;HS131)+COUNTIFS(HR132:HR$201,"&lt;"&amp;HR131,HS132:HS$201,"&gt;"&amp;HS131)+COUNTIFS(HR$2:HR130,"&gt;"&amp;HR131,HS$2:HS130,"&lt;"&amp;HS131)+COUNTIFS(HR132:HR$201,"&gt;"&amp;HR131,HS132:HS$201,"&lt;"&amp;HS131),"")</f>
        <v/>
      </c>
      <c r="HW131" s="176"/>
      <c r="IB131" s="176"/>
      <c r="IC131" s="146" t="e">
        <f t="shared" si="519"/>
        <v>#N/A</v>
      </c>
      <c r="ID131" s="137" t="e">
        <f t="shared" si="520"/>
        <v>#N/A</v>
      </c>
      <c r="IE131" s="137" t="str">
        <f t="shared" si="521"/>
        <v/>
      </c>
      <c r="IF131" s="95" t="str">
        <f t="shared" si="522"/>
        <v/>
      </c>
      <c r="IK131" s="176"/>
      <c r="IL131" s="69" t="e">
        <f>IF(AND(Include_study?="Yes",Sufficient_data="Yes"),'Publication Bias Analysis'!AV:AV,NA())</f>
        <v>#N/A</v>
      </c>
      <c r="IM131" s="158" t="e">
        <f>IF(AND(Sufficient_data="Yes",Include_study?="Yes"),'Publication Bias Analysis'!AU:AU,NA())</f>
        <v>#N/A</v>
      </c>
      <c r="IN131" s="69" t="str">
        <f t="shared" si="418"/>
        <v/>
      </c>
      <c r="IO131" s="74" t="str">
        <f>IF(AND(Include_study?="Yes",Sufficient_data="Yes"),Z_score-('Publication Bias Analysis'!AY$30+'Publication Bias Analysis'!AY$31*Inverse_standard_error),"")</f>
        <v/>
      </c>
      <c r="IU131" s="176"/>
      <c r="IV131" s="7" t="str">
        <f>IF('Publication Bias Analysis'!BG:BG&lt;&gt;"",RANK('Publication Bias Analysis'!BG:BG,'Publication Bias Analysis'!BG:BG,1)+COUNTIF('Publication Bias Analysis'!BG$2:BG130,'Publication Bias Analysis'!BG131),"")</f>
        <v/>
      </c>
      <c r="IW131" s="124" t="str">
        <f t="shared" si="523"/>
        <v/>
      </c>
      <c r="IX131" s="125" t="e">
        <f>IF('Publication Bias Analysis'!BF131&lt;&gt;"",'Publication Bias Analysis'!BF131,NA())</f>
        <v>#N/A</v>
      </c>
      <c r="IY131" s="125" t="e">
        <f>IF('Publication Bias Analysis'!BG131&lt;&gt;"",'Publication Bias Analysis'!BG131,NA())</f>
        <v>#N/A</v>
      </c>
      <c r="IZ131" s="69" t="str">
        <f>IF(AND(Include_study?="Yes",Sufficient_data="Yes"),'Publication Bias Analysis'!BF:BF-AVERAGE('Publication Bias Analysis'!BF:BF),"")</f>
        <v/>
      </c>
      <c r="JA131" s="74" t="str">
        <f>IF(AND(Include_study?="Yes",Sufficient_data="Yes"),'Publication Bias Analysis'!BG:BG-('Publication Bias Analysis'!BJ$30+'Publication Bias Analysis'!BJ$31*'Publication Bias Analysis'!BF:BF),"")</f>
        <v/>
      </c>
      <c r="JG131" s="176"/>
      <c r="JH131" s="39" t="str">
        <f t="shared" si="524"/>
        <v/>
      </c>
      <c r="JI131" s="148" t="str">
        <f t="shared" ref="JI131:JI194" si="531">IF(JH131&lt;&gt;"",1-NORMSDIST(ABS(JH131)),"")</f>
        <v/>
      </c>
      <c r="JJ131" s="74" t="str">
        <f t="shared" ref="JJ131:JJ194" si="532">IF(JI131&lt;&gt;"",LN(MAX(10^-306,JI131)),"")</f>
        <v/>
      </c>
    </row>
    <row r="132" spans="1:270" x14ac:dyDescent="0.2">
      <c r="A132" s="56" t="str">
        <f t="shared" si="334"/>
        <v/>
      </c>
      <c r="B132" s="7" t="str">
        <f>IF(AND(Include_study?="Yes",Sufficient_data="Yes"),IF(Input!a_&lt;&gt;"",Input!a_,Input!n1_-Input!b_),"")</f>
        <v/>
      </c>
      <c r="C132" s="7" t="str">
        <f>IF(AND(Include_study?="Yes",Sufficient_data="Yes"),IF(Input!b_&lt;&gt;"",Input!b_,Input!n1_-Input!a_),"")</f>
        <v/>
      </c>
      <c r="D132" s="7" t="str">
        <f>IF(AND(Include_study?="Yes",Sufficient_data="Yes"),IF(Input!c_&lt;&gt;"",Input!c_,Input!n2_-Input!d_),"")</f>
        <v/>
      </c>
      <c r="E132" s="7" t="str">
        <f>IF(AND(Include_study?="Yes",Sufficient_data="Yes"),IF(Input!d_&lt;&gt;"",Input!d_,Input!n2_-Input!c_),"")</f>
        <v/>
      </c>
      <c r="F132" s="74" t="str">
        <f t="shared" si="443"/>
        <v/>
      </c>
      <c r="H132" s="196"/>
      <c r="I132" s="182"/>
      <c r="J132" s="146" t="str">
        <f t="shared" si="444"/>
        <v/>
      </c>
      <c r="K132" s="39" t="str">
        <f t="shared" si="445"/>
        <v/>
      </c>
      <c r="L132" s="39" t="str">
        <f t="shared" si="446"/>
        <v/>
      </c>
      <c r="M132" s="39" t="str">
        <f t="shared" si="447"/>
        <v/>
      </c>
      <c r="N132" s="74" t="str">
        <f t="shared" si="448"/>
        <v/>
      </c>
      <c r="P132" s="176"/>
      <c r="Q132" s="130" t="str">
        <f t="shared" si="449"/>
        <v/>
      </c>
      <c r="R132" s="39" t="str">
        <f t="shared" si="450"/>
        <v/>
      </c>
      <c r="S132" s="39" t="str">
        <f t="shared" si="451"/>
        <v/>
      </c>
      <c r="T132" s="74" t="str">
        <f t="shared" si="452"/>
        <v/>
      </c>
      <c r="V132" s="176"/>
      <c r="W132" s="130" t="str">
        <f t="shared" si="453"/>
        <v/>
      </c>
      <c r="X132" s="39" t="str">
        <f t="shared" si="454"/>
        <v/>
      </c>
      <c r="Y132" s="39" t="str">
        <f t="shared" si="455"/>
        <v/>
      </c>
      <c r="Z132" s="74" t="str">
        <f t="shared" si="456"/>
        <v/>
      </c>
      <c r="AB132" s="176"/>
      <c r="AC132" s="130" t="str">
        <f t="shared" si="457"/>
        <v/>
      </c>
      <c r="AD132" s="39" t="str">
        <f t="shared" si="458"/>
        <v/>
      </c>
      <c r="AE132" s="39" t="str">
        <f t="shared" si="459"/>
        <v/>
      </c>
      <c r="AF132" s="39" t="str">
        <f t="shared" si="460"/>
        <v/>
      </c>
      <c r="AG132" s="74" t="str">
        <f t="shared" si="461"/>
        <v/>
      </c>
      <c r="AI132" s="196"/>
      <c r="AJ13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2" s="136" t="str">
        <f>IF(AJ132&lt;&gt;"",IF(AJ132=0,COUNTIF(AJ$2:AJ131,0)+1,COUNTIF(AJ$2:AJ131,AJ132)+AJ132+COUNTIF(AJ:AJ,0)),"")</f>
        <v/>
      </c>
      <c r="AL132" s="136" t="str">
        <f t="shared" si="462"/>
        <v/>
      </c>
      <c r="AM132" s="155" t="str">
        <f>IF(AND(Include_study?="Yes",Sufficient_data="Yes",Input!Study_name&lt;&gt;""),Input!Study_name,"")</f>
        <v/>
      </c>
      <c r="AN132" s="136" t="str">
        <f t="shared" si="463"/>
        <v/>
      </c>
      <c r="AO132" s="19" t="str">
        <f t="shared" si="464"/>
        <v/>
      </c>
      <c r="AP132" s="158" t="str">
        <f t="shared" si="465"/>
        <v/>
      </c>
      <c r="AQ132" s="158" t="str">
        <f t="shared" si="466"/>
        <v/>
      </c>
      <c r="AR132" s="39" t="str">
        <f t="shared" si="467"/>
        <v/>
      </c>
      <c r="AS132" s="158" t="str">
        <f t="shared" si="468"/>
        <v/>
      </c>
      <c r="AT132" s="39" t="str">
        <f t="shared" si="469"/>
        <v/>
      </c>
      <c r="AU132" s="172" t="str">
        <f t="shared" si="470"/>
        <v/>
      </c>
      <c r="AV132" s="45"/>
      <c r="AW132" s="84" t="e">
        <f t="shared" si="360"/>
        <v>#N/A</v>
      </c>
      <c r="AX132" s="69" t="e">
        <f t="shared" si="471"/>
        <v>#N/A</v>
      </c>
      <c r="AY132" s="74" t="e">
        <f t="shared" si="472"/>
        <v>#N/A</v>
      </c>
      <c r="AZ132" s="45"/>
      <c r="BA132" s="45"/>
      <c r="BB132" s="45"/>
      <c r="BC132" s="45"/>
      <c r="BD132" s="196"/>
      <c r="BE132" s="182"/>
      <c r="BF132" s="69" t="str">
        <f t="shared" si="363"/>
        <v/>
      </c>
      <c r="BG132" s="69" t="str">
        <f t="shared" si="364"/>
        <v/>
      </c>
      <c r="BH132" s="69" t="str">
        <f t="shared" si="365"/>
        <v/>
      </c>
      <c r="BI132" s="39" t="str">
        <f t="shared" si="366"/>
        <v/>
      </c>
      <c r="BJ132" s="95" t="str">
        <f t="shared" si="473"/>
        <v/>
      </c>
      <c r="BO132" s="176"/>
      <c r="BP132" s="158" t="str">
        <f t="shared" si="474"/>
        <v/>
      </c>
      <c r="BQ132" s="158" t="str">
        <f t="shared" si="475"/>
        <v/>
      </c>
      <c r="BR132" s="158" t="str">
        <f t="shared" si="476"/>
        <v/>
      </c>
      <c r="BS132" s="158" t="str">
        <f>IF(AND(Sufficient_data="Yes",Include_study?="Yes"),IF(Add_0_5="Yes",(a_+d_+1)*(ab_+0.5)*(c_+0.5)/(Number_of_subjects+2)^2,(a_+d_)*b_*c_/Number_of_subjects^2),"")</f>
        <v/>
      </c>
      <c r="BT132" s="158" t="str">
        <f t="shared" si="477"/>
        <v/>
      </c>
      <c r="BU132" s="158" t="str">
        <f t="shared" si="478"/>
        <v/>
      </c>
      <c r="BV132" s="158" t="str">
        <f t="shared" si="479"/>
        <v/>
      </c>
      <c r="BW132" s="69" t="str">
        <f t="shared" si="374"/>
        <v/>
      </c>
      <c r="BX132" s="137" t="str">
        <f t="shared" si="375"/>
        <v/>
      </c>
      <c r="BY132" s="95" t="str">
        <f t="shared" si="480"/>
        <v/>
      </c>
      <c r="CD132" s="176"/>
      <c r="CE132" s="130" t="str">
        <f t="shared" si="481"/>
        <v/>
      </c>
      <c r="CF132" s="39" t="str">
        <f t="shared" si="482"/>
        <v/>
      </c>
      <c r="CG132" s="39" t="str">
        <f t="shared" si="483"/>
        <v/>
      </c>
      <c r="CH132" s="39" t="str">
        <f t="shared" si="484"/>
        <v/>
      </c>
      <c r="CI132" s="39" t="str">
        <f t="shared" si="485"/>
        <v/>
      </c>
      <c r="CJ132" s="39" t="str">
        <f t="shared" si="486"/>
        <v/>
      </c>
      <c r="CK132" s="95" t="str">
        <f t="shared" si="487"/>
        <v/>
      </c>
      <c r="CP132" s="176"/>
      <c r="CQ132" s="99" t="str">
        <f t="shared" si="383"/>
        <v/>
      </c>
      <c r="CX132" s="196"/>
      <c r="CY132" s="89" t="e">
        <f t="shared" si="488"/>
        <v>#N/A</v>
      </c>
      <c r="CZ132" s="136" t="str">
        <f t="shared" si="489"/>
        <v/>
      </c>
      <c r="DA132" s="140" t="str">
        <f t="shared" si="490"/>
        <v/>
      </c>
      <c r="DB132" s="39" t="str">
        <f t="shared" si="491"/>
        <v/>
      </c>
      <c r="DC132" s="39" t="str">
        <f t="shared" si="492"/>
        <v/>
      </c>
      <c r="DD132" s="39" t="str">
        <f t="shared" si="493"/>
        <v/>
      </c>
      <c r="DE132" s="39" t="str">
        <f t="shared" si="494"/>
        <v/>
      </c>
      <c r="DF132" s="141" t="str">
        <f t="shared" si="495"/>
        <v/>
      </c>
      <c r="DG132" s="39" t="str">
        <f t="shared" si="496"/>
        <v/>
      </c>
      <c r="DH132" s="39" t="str">
        <f t="shared" si="497"/>
        <v/>
      </c>
      <c r="DI132" s="39" t="str">
        <f t="shared" si="498"/>
        <v/>
      </c>
      <c r="DJ132" s="74" t="str">
        <f t="shared" si="499"/>
        <v/>
      </c>
      <c r="DK132" s="45"/>
      <c r="DL132" s="84" t="e">
        <f t="shared" si="423"/>
        <v>#N/A</v>
      </c>
      <c r="DM132" s="39" t="e">
        <f t="shared" si="500"/>
        <v>#N/A</v>
      </c>
      <c r="DN132" s="74" t="e">
        <f t="shared" si="501"/>
        <v>#N/A</v>
      </c>
      <c r="DO132" s="45"/>
      <c r="DP132" s="89" t="str">
        <f t="shared" si="525"/>
        <v/>
      </c>
      <c r="DQ132" s="26" t="str">
        <f>IF(AND(Sufficient_data="Yes",Subgroup&lt;&gt;""),IF(COUNTIFS(Input!J$2:J131,"="&amp;"Yes",Input!C$2:C131,"="&amp;"Yes",Input!K$2:K131,"="&amp;Subgroup)&gt;0,"",Subgroup),"")</f>
        <v/>
      </c>
      <c r="DR132" s="7" t="str">
        <f t="shared" si="526"/>
        <v/>
      </c>
      <c r="DS132" s="7" t="str">
        <f t="shared" si="502"/>
        <v/>
      </c>
      <c r="DT132" s="19" t="str">
        <f t="shared" si="503"/>
        <v/>
      </c>
      <c r="DU132" s="12" t="str">
        <f t="shared" si="424"/>
        <v/>
      </c>
      <c r="DV132" s="11" t="str">
        <f t="shared" si="425"/>
        <v/>
      </c>
      <c r="DW132" s="12" t="str">
        <f t="shared" si="426"/>
        <v/>
      </c>
      <c r="DX132" s="12" t="str">
        <f t="shared" si="504"/>
        <v/>
      </c>
      <c r="DY132" s="19" t="str">
        <f t="shared" si="427"/>
        <v/>
      </c>
      <c r="DZ132" s="12" t="str">
        <f t="shared" si="428"/>
        <v/>
      </c>
      <c r="EA132" s="19" t="str">
        <f t="shared" si="505"/>
        <v/>
      </c>
      <c r="EB132" s="7" t="str">
        <f t="shared" si="506"/>
        <v/>
      </c>
      <c r="EC132" s="19" t="str">
        <f t="shared" si="507"/>
        <v/>
      </c>
      <c r="ED132" s="19" t="str">
        <f t="shared" si="508"/>
        <v/>
      </c>
      <c r="EE132" s="19" t="str">
        <f t="shared" si="429"/>
        <v/>
      </c>
      <c r="EF132" s="19" t="str">
        <f t="shared" si="430"/>
        <v/>
      </c>
      <c r="EG132" s="19" t="str">
        <f t="shared" si="431"/>
        <v/>
      </c>
      <c r="EH132" s="19" t="str">
        <f t="shared" si="432"/>
        <v/>
      </c>
      <c r="EI132" s="19" t="str">
        <f t="shared" si="433"/>
        <v/>
      </c>
      <c r="EJ132" s="19" t="str">
        <f t="shared" si="509"/>
        <v/>
      </c>
      <c r="EK132" s="19" t="str">
        <f t="shared" si="510"/>
        <v/>
      </c>
      <c r="EL132" s="19" t="str">
        <f t="shared" si="434"/>
        <v/>
      </c>
      <c r="EM132" s="19" t="str">
        <f t="shared" si="435"/>
        <v/>
      </c>
      <c r="EN132" s="19" t="str">
        <f t="shared" si="436"/>
        <v/>
      </c>
      <c r="EO132" s="19" t="str">
        <f t="shared" si="437"/>
        <v/>
      </c>
      <c r="EP132" s="19" t="str">
        <f t="shared" si="438"/>
        <v/>
      </c>
      <c r="EQ132" s="19" t="e">
        <f t="shared" si="439"/>
        <v>#N/A</v>
      </c>
      <c r="ER132" s="11" t="str">
        <f t="shared" si="527"/>
        <v/>
      </c>
      <c r="ES132" s="19" t="str">
        <f t="shared" si="528"/>
        <v/>
      </c>
      <c r="ET132" s="156" t="str">
        <f t="shared" si="511"/>
        <v/>
      </c>
      <c r="EU132" s="39" t="str">
        <f t="shared" si="440"/>
        <v/>
      </c>
      <c r="EV132" s="74" t="str">
        <f t="shared" si="512"/>
        <v/>
      </c>
      <c r="FA132" s="196"/>
      <c r="FB132" s="84" t="e">
        <f>IF(AND(Include_study?="Yes",Sufficient_data="Yes",Moderator&lt;&gt;""),'Moderator Analysis'!E132,NA())</f>
        <v>#N/A</v>
      </c>
      <c r="FC132" s="39" t="e">
        <f>IF(AND(Include_study?="Yes",Sufficient_data="Yes",Moderator&lt;&gt;""),'Moderator Analysis'!F132,NA())</f>
        <v>#N/A</v>
      </c>
      <c r="FD132" s="39" t="str">
        <f t="shared" si="513"/>
        <v/>
      </c>
      <c r="FE132" s="39" t="str">
        <f t="shared" si="514"/>
        <v/>
      </c>
      <c r="FF132" s="39" t="str">
        <f>IF(AND(Include_study?="Yes",Sufficient_data="Yes",Moderator&lt;&gt;""),'Moderator Analysis'!F:F-FP$2,"")</f>
        <v/>
      </c>
      <c r="FG132" s="39" t="str">
        <f>IF(AND(Include_study?="Yes",Sufficient_data="Yes",Moderator&lt;&gt;""),'Moderator Analysis'!E:E-FP$3,"")</f>
        <v/>
      </c>
      <c r="FH132" s="74" t="str">
        <f>IF(AND(Include_study?="Yes",Sufficient_data="Yes",Moderator&lt;&gt;""),FE:FE*('Moderator Analysis'!F:F-FP$5-FP$4*'Moderator Analysis'!E:E)^2,"")</f>
        <v/>
      </c>
      <c r="FI132" s="128"/>
      <c r="FJ132" s="92" t="str">
        <f t="shared" si="515"/>
        <v/>
      </c>
      <c r="FK132" s="137" t="str">
        <f>IF(AND(Include_study?="Yes",Sufficient_data="Yes",Moderator&lt;&gt;""),'Moderator Analysis'!F:F-'Moderator Analysis'!J$37,"")</f>
        <v/>
      </c>
      <c r="FL132" s="137" t="str">
        <f>IF(AND(Include_study?="Yes",Sufficient_data="Yes",Moderator&lt;&gt;""),'Moderator Analysis'!E:E-SUMPRODUCT('Moderator Analysis'!E:E,FJ:FJ)/SUM(FJ:FJ),"")</f>
        <v/>
      </c>
      <c r="FM132" s="95" t="str">
        <f>IF(AND(Include_study?="Yes",Sufficient_data="Yes",Moderator&lt;&gt;""),FJ:FJ*('Moderator Analysis'!F:F-'Moderator Analysis'!J$29-'Moderator Analysis'!J$30*'Moderator Analysis'!E:E)^2,"")</f>
        <v/>
      </c>
      <c r="FR132" s="196"/>
      <c r="FS132" s="182"/>
      <c r="FT13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2" s="39" t="str">
        <f>IF(AND(Include_study?="Yes",Sufficient_data="Yes"),1/('Publication Bias Analysis'!F:F^2+IF(Additional_model="Fixed effect",0,Calculations!GH$12)),"")</f>
        <v/>
      </c>
      <c r="FV132" s="39" t="str">
        <f>IF(AND(Include_study?="Yes",Sufficient_data="Yes"),1/('Publication Bias Analysis'!F:F^2+IF(Additional_model="Fixed effect",0,'Publication Bias Analysis'!L$32)),"")</f>
        <v/>
      </c>
      <c r="FW132" s="39" t="str">
        <f>IF(AND(Include_study?="Yes",Sufficient_data="Yes"),'Publication Bias Analysis'!E:E-'Publication Bias Analysis'!I$37,"")</f>
        <v/>
      </c>
      <c r="FX132" s="39" t="str">
        <f>IF(AND(Include_study?="Yes",Sufficient_data="Yes"),IF(Additional_model="Fixed effect",1/'Publication Bias Analysis'!F:F,1/SQRT('Publication Bias Analysis'!F:F^2+GH$12)),"")</f>
        <v/>
      </c>
      <c r="FY13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2" s="136" t="str">
        <f t="shared" si="516"/>
        <v/>
      </c>
      <c r="GA132" s="144" t="str">
        <f>IF(AND(Include_study?="Yes",Sufficient_data="Yes"),FZ:FZ+IF(GL:GL&lt;0,-1,1)*COUNTIF(FZ$2:FZ131,FZ:FZ),"")</f>
        <v/>
      </c>
      <c r="GB132" s="144" t="str">
        <f>IF(AND(Include_study?="Yes",Sufficient_data="Yes"),RANK(GP:GP,GP:GP,1)*IF(GO:GO&lt;0,-1,1)+IF(GO:GO&lt;0,-1,1)*COUNTIF(FZ$2:FZ131,FZ:FZ),"")</f>
        <v/>
      </c>
      <c r="GC132" s="144" t="str">
        <f>IF(AND(Include_study?="Yes",Sufficient_data="Yes"),RANK(GS:GS,GS:GS,1)*IF(GR:GR&lt;0,-1,1)+IF(GR:GR&lt;0,-1,1)*COUNTIF(FZ$2:FZ131,FZ:FZ),"")</f>
        <v/>
      </c>
      <c r="GD132" s="39" t="e">
        <f>IF(AND(Include_study?="Yes",Sufficient_data="Yes"),'Publication Bias Analysis'!E132,NA())</f>
        <v>#N/A</v>
      </c>
      <c r="GE132" s="74" t="e">
        <f>IF(AND(Include_study?="Yes",Sufficient_data="Yes"),'Publication Bias Analysis'!F132,NA())</f>
        <v>#N/A</v>
      </c>
      <c r="GK132" s="176"/>
      <c r="GL13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2" s="39" t="str">
        <f t="shared" si="517"/>
        <v/>
      </c>
      <c r="GN13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2" s="39" t="str">
        <f>IF(AND(Include_study?="Yes",Sufficient_data="Yes"),IF('Publication Bias Analysis'!L$38="Left",'Publication Bias Analysis'!E:E-GW$3,GW$3-'Publication Bias Analysis'!E:E),"")</f>
        <v/>
      </c>
      <c r="GP132" s="39" t="str">
        <f t="shared" si="529"/>
        <v/>
      </c>
      <c r="GQ13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2" s="39" t="str">
        <f>IF(AND(Include_study?="Yes",Sufficient_data="Yes"),IF('Publication Bias Analysis'!L$38="Left",'Publication Bias Analysis'!E:E-GW$10,GW$10-'Publication Bias Analysis'!E:E),"")</f>
        <v/>
      </c>
      <c r="GS132" s="39" t="str">
        <f t="shared" si="530"/>
        <v/>
      </c>
      <c r="GT13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2" s="176"/>
      <c r="HL132" s="69" t="str">
        <f t="shared" si="518"/>
        <v/>
      </c>
      <c r="HM132" s="74" t="str">
        <f>IF(AND(Include_study?="Yes",Sufficient_data="Yes"),Z_score-('Publication Bias Analysis'!P$3+'Publication Bias Analysis'!P$4*Inverse_standard_error),"")</f>
        <v/>
      </c>
      <c r="HO132" s="176"/>
      <c r="HP132" s="69" t="str">
        <f>IF(AND(Include_study?="Yes",Sufficient_data="Yes"),(GD:GD-SUMPRODUCT(Calculations!FT:FT,'Publication Bias Analysis'!E:E)/SUM(Calculations!FT:FT))/SQRT(Calculations!HQ:HQ),"")</f>
        <v/>
      </c>
      <c r="HQ132" s="69" t="str">
        <f>IF(AND(Include_study?="Yes",Sufficient_data="Yes"),GE:GE^2-1/SUM(Calculations!FT:FT),"")</f>
        <v/>
      </c>
      <c r="HR132" s="7" t="str">
        <f t="shared" si="441"/>
        <v/>
      </c>
      <c r="HS132" s="7" t="str">
        <f t="shared" si="442"/>
        <v/>
      </c>
      <c r="HT132" s="7" t="str">
        <f>IF(AND(Include_study?="Yes",Sufficient_data="Yes"),COUNTIFS(HR$2:HR131,"&lt;"&amp;HR132,HS$2:HS131,"&lt;"&amp;HS132)+COUNTIFS(HR133:HR$201,"&lt;"&amp;HR132,HS133:HS$201,"&lt;"&amp;HS132)+COUNTIFS(HR$2:HR131,"&gt;"&amp;HR132,HS$2:HS131,"&gt;"&amp;HS132)+COUNTIFS(HR133:HR$201,"&gt;"&amp;HR132,HS133:HS$201,"&gt;"&amp;HS132),"")</f>
        <v/>
      </c>
      <c r="HU132" s="104" t="str">
        <f>IF(AND(Include_study?="Yes",Sufficient_data="Yes"),COUNTIFS(HR$2:HR131,"&lt;"&amp;HR132,HS$2:HS131,"&gt;"&amp;HS132)+COUNTIFS(HR133:HR$201,"&lt;"&amp;HR132,HS133:HS$201,"&gt;"&amp;HS132)+COUNTIFS(HR$2:HR131,"&gt;"&amp;HR132,HS$2:HS131,"&lt;"&amp;HS132)+COUNTIFS(HR133:HR$201,"&gt;"&amp;HR132,HS133:HS$201,"&lt;"&amp;HS132),"")</f>
        <v/>
      </c>
      <c r="HW132" s="176"/>
      <c r="IB132" s="176"/>
      <c r="IC132" s="146" t="e">
        <f t="shared" si="519"/>
        <v>#N/A</v>
      </c>
      <c r="ID132" s="137" t="e">
        <f t="shared" si="520"/>
        <v>#N/A</v>
      </c>
      <c r="IE132" s="137" t="str">
        <f t="shared" si="521"/>
        <v/>
      </c>
      <c r="IF132" s="95" t="str">
        <f t="shared" si="522"/>
        <v/>
      </c>
      <c r="IK132" s="176"/>
      <c r="IL132" s="69" t="e">
        <f>IF(AND(Include_study?="Yes",Sufficient_data="Yes"),'Publication Bias Analysis'!AV:AV,NA())</f>
        <v>#N/A</v>
      </c>
      <c r="IM132" s="158" t="e">
        <f>IF(AND(Sufficient_data="Yes",Include_study?="Yes"),'Publication Bias Analysis'!AU:AU,NA())</f>
        <v>#N/A</v>
      </c>
      <c r="IN132" s="69" t="str">
        <f t="shared" si="418"/>
        <v/>
      </c>
      <c r="IO132" s="74" t="str">
        <f>IF(AND(Include_study?="Yes",Sufficient_data="Yes"),Z_score-('Publication Bias Analysis'!AY$30+'Publication Bias Analysis'!AY$31*Inverse_standard_error),"")</f>
        <v/>
      </c>
      <c r="IU132" s="176"/>
      <c r="IV132" s="7" t="str">
        <f>IF('Publication Bias Analysis'!BG:BG&lt;&gt;"",RANK('Publication Bias Analysis'!BG:BG,'Publication Bias Analysis'!BG:BG,1)+COUNTIF('Publication Bias Analysis'!BG$2:BG131,'Publication Bias Analysis'!BG132),"")</f>
        <v/>
      </c>
      <c r="IW132" s="124" t="str">
        <f t="shared" si="523"/>
        <v/>
      </c>
      <c r="IX132" s="125" t="e">
        <f>IF('Publication Bias Analysis'!BF132&lt;&gt;"",'Publication Bias Analysis'!BF132,NA())</f>
        <v>#N/A</v>
      </c>
      <c r="IY132" s="125" t="e">
        <f>IF('Publication Bias Analysis'!BG132&lt;&gt;"",'Publication Bias Analysis'!BG132,NA())</f>
        <v>#N/A</v>
      </c>
      <c r="IZ132" s="69" t="str">
        <f>IF(AND(Include_study?="Yes",Sufficient_data="Yes"),'Publication Bias Analysis'!BF:BF-AVERAGE('Publication Bias Analysis'!BF:BF),"")</f>
        <v/>
      </c>
      <c r="JA132" s="74" t="str">
        <f>IF(AND(Include_study?="Yes",Sufficient_data="Yes"),'Publication Bias Analysis'!BG:BG-('Publication Bias Analysis'!BJ$30+'Publication Bias Analysis'!BJ$31*'Publication Bias Analysis'!BF:BF),"")</f>
        <v/>
      </c>
      <c r="JG132" s="176"/>
      <c r="JH132" s="39" t="str">
        <f t="shared" si="524"/>
        <v/>
      </c>
      <c r="JI132" s="148" t="str">
        <f t="shared" si="531"/>
        <v/>
      </c>
      <c r="JJ132" s="74" t="str">
        <f t="shared" si="532"/>
        <v/>
      </c>
    </row>
    <row r="133" spans="1:270" x14ac:dyDescent="0.2">
      <c r="A133" s="56" t="str">
        <f t="shared" si="334"/>
        <v/>
      </c>
      <c r="B133" s="7" t="str">
        <f>IF(AND(Include_study?="Yes",Sufficient_data="Yes"),IF(Input!a_&lt;&gt;"",Input!a_,Input!n1_-Input!b_),"")</f>
        <v/>
      </c>
      <c r="C133" s="7" t="str">
        <f>IF(AND(Include_study?="Yes",Sufficient_data="Yes"),IF(Input!b_&lt;&gt;"",Input!b_,Input!n1_-Input!a_),"")</f>
        <v/>
      </c>
      <c r="D133" s="7" t="str">
        <f>IF(AND(Include_study?="Yes",Sufficient_data="Yes"),IF(Input!c_&lt;&gt;"",Input!c_,Input!n2_-Input!d_),"")</f>
        <v/>
      </c>
      <c r="E133" s="7" t="str">
        <f>IF(AND(Include_study?="Yes",Sufficient_data="Yes"),IF(Input!d_&lt;&gt;"",Input!d_,Input!n2_-Input!c_),"")</f>
        <v/>
      </c>
      <c r="F133" s="74" t="str">
        <f t="shared" si="443"/>
        <v/>
      </c>
      <c r="H133" s="196"/>
      <c r="I133" s="182"/>
      <c r="J133" s="146" t="str">
        <f t="shared" si="444"/>
        <v/>
      </c>
      <c r="K133" s="39" t="str">
        <f t="shared" si="445"/>
        <v/>
      </c>
      <c r="L133" s="39" t="str">
        <f t="shared" si="446"/>
        <v/>
      </c>
      <c r="M133" s="39" t="str">
        <f t="shared" si="447"/>
        <v/>
      </c>
      <c r="N133" s="74" t="str">
        <f t="shared" si="448"/>
        <v/>
      </c>
      <c r="P133" s="176"/>
      <c r="Q133" s="130" t="str">
        <f t="shared" si="449"/>
        <v/>
      </c>
      <c r="R133" s="39" t="str">
        <f t="shared" si="450"/>
        <v/>
      </c>
      <c r="S133" s="39" t="str">
        <f t="shared" si="451"/>
        <v/>
      </c>
      <c r="T133" s="74" t="str">
        <f t="shared" si="452"/>
        <v/>
      </c>
      <c r="V133" s="176"/>
      <c r="W133" s="130" t="str">
        <f t="shared" si="453"/>
        <v/>
      </c>
      <c r="X133" s="39" t="str">
        <f t="shared" si="454"/>
        <v/>
      </c>
      <c r="Y133" s="39" t="str">
        <f t="shared" si="455"/>
        <v/>
      </c>
      <c r="Z133" s="74" t="str">
        <f t="shared" si="456"/>
        <v/>
      </c>
      <c r="AB133" s="176"/>
      <c r="AC133" s="130" t="str">
        <f t="shared" si="457"/>
        <v/>
      </c>
      <c r="AD133" s="39" t="str">
        <f t="shared" si="458"/>
        <v/>
      </c>
      <c r="AE133" s="39" t="str">
        <f t="shared" si="459"/>
        <v/>
      </c>
      <c r="AF133" s="39" t="str">
        <f t="shared" si="460"/>
        <v/>
      </c>
      <c r="AG133" s="74" t="str">
        <f t="shared" si="461"/>
        <v/>
      </c>
      <c r="AI133" s="196"/>
      <c r="AJ13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3" s="136" t="str">
        <f>IF(AJ133&lt;&gt;"",IF(AJ133=0,COUNTIF(AJ$2:AJ132,0)+1,COUNTIF(AJ$2:AJ132,AJ133)+AJ133+COUNTIF(AJ:AJ,0)),"")</f>
        <v/>
      </c>
      <c r="AL133" s="136" t="str">
        <f t="shared" si="462"/>
        <v/>
      </c>
      <c r="AM133" s="155" t="str">
        <f>IF(AND(Include_study?="Yes",Sufficient_data="Yes",Input!Study_name&lt;&gt;""),Input!Study_name,"")</f>
        <v/>
      </c>
      <c r="AN133" s="136" t="str">
        <f t="shared" si="463"/>
        <v/>
      </c>
      <c r="AO133" s="19" t="str">
        <f t="shared" si="464"/>
        <v/>
      </c>
      <c r="AP133" s="158" t="str">
        <f t="shared" si="465"/>
        <v/>
      </c>
      <c r="AQ133" s="158" t="str">
        <f t="shared" si="466"/>
        <v/>
      </c>
      <c r="AR133" s="39" t="str">
        <f t="shared" si="467"/>
        <v/>
      </c>
      <c r="AS133" s="158" t="str">
        <f t="shared" si="468"/>
        <v/>
      </c>
      <c r="AT133" s="39" t="str">
        <f t="shared" si="469"/>
        <v/>
      </c>
      <c r="AU133" s="172" t="str">
        <f t="shared" si="470"/>
        <v/>
      </c>
      <c r="AV133" s="45"/>
      <c r="AW133" s="84" t="e">
        <f t="shared" si="360"/>
        <v>#N/A</v>
      </c>
      <c r="AX133" s="69" t="e">
        <f t="shared" si="471"/>
        <v>#N/A</v>
      </c>
      <c r="AY133" s="74" t="e">
        <f t="shared" si="472"/>
        <v>#N/A</v>
      </c>
      <c r="AZ133" s="45"/>
      <c r="BA133" s="45"/>
      <c r="BB133" s="45"/>
      <c r="BC133" s="45"/>
      <c r="BD133" s="196"/>
      <c r="BE133" s="182"/>
      <c r="BF133" s="69" t="str">
        <f t="shared" si="363"/>
        <v/>
      </c>
      <c r="BG133" s="69" t="str">
        <f t="shared" si="364"/>
        <v/>
      </c>
      <c r="BH133" s="69" t="str">
        <f t="shared" si="365"/>
        <v/>
      </c>
      <c r="BI133" s="39" t="str">
        <f t="shared" si="366"/>
        <v/>
      </c>
      <c r="BJ133" s="95" t="str">
        <f t="shared" si="473"/>
        <v/>
      </c>
      <c r="BO133" s="176"/>
      <c r="BP133" s="158" t="str">
        <f t="shared" si="474"/>
        <v/>
      </c>
      <c r="BQ133" s="158" t="str">
        <f t="shared" si="475"/>
        <v/>
      </c>
      <c r="BR133" s="158" t="str">
        <f t="shared" si="476"/>
        <v/>
      </c>
      <c r="BS133" s="158" t="str">
        <f>IF(AND(Sufficient_data="Yes",Include_study?="Yes"),IF(Add_0_5="Yes",(a_+d_+1)*(ab_+0.5)*(c_+0.5)/(Number_of_subjects+2)^2,(a_+d_)*b_*c_/Number_of_subjects^2),"")</f>
        <v/>
      </c>
      <c r="BT133" s="158" t="str">
        <f t="shared" si="477"/>
        <v/>
      </c>
      <c r="BU133" s="158" t="str">
        <f t="shared" si="478"/>
        <v/>
      </c>
      <c r="BV133" s="158" t="str">
        <f t="shared" si="479"/>
        <v/>
      </c>
      <c r="BW133" s="69" t="str">
        <f t="shared" si="374"/>
        <v/>
      </c>
      <c r="BX133" s="137" t="str">
        <f t="shared" si="375"/>
        <v/>
      </c>
      <c r="BY133" s="95" t="str">
        <f t="shared" si="480"/>
        <v/>
      </c>
      <c r="CD133" s="176"/>
      <c r="CE133" s="130" t="str">
        <f t="shared" si="481"/>
        <v/>
      </c>
      <c r="CF133" s="39" t="str">
        <f t="shared" si="482"/>
        <v/>
      </c>
      <c r="CG133" s="39" t="str">
        <f t="shared" si="483"/>
        <v/>
      </c>
      <c r="CH133" s="39" t="str">
        <f t="shared" si="484"/>
        <v/>
      </c>
      <c r="CI133" s="39" t="str">
        <f t="shared" si="485"/>
        <v/>
      </c>
      <c r="CJ133" s="39" t="str">
        <f t="shared" si="486"/>
        <v/>
      </c>
      <c r="CK133" s="95" t="str">
        <f t="shared" si="487"/>
        <v/>
      </c>
      <c r="CP133" s="176"/>
      <c r="CQ133" s="99" t="str">
        <f t="shared" si="383"/>
        <v/>
      </c>
      <c r="CX133" s="196"/>
      <c r="CY133" s="89" t="e">
        <f t="shared" si="488"/>
        <v>#N/A</v>
      </c>
      <c r="CZ133" s="136" t="str">
        <f t="shared" si="489"/>
        <v/>
      </c>
      <c r="DA133" s="140" t="str">
        <f t="shared" si="490"/>
        <v/>
      </c>
      <c r="DB133" s="39" t="str">
        <f t="shared" si="491"/>
        <v/>
      </c>
      <c r="DC133" s="39" t="str">
        <f t="shared" si="492"/>
        <v/>
      </c>
      <c r="DD133" s="39" t="str">
        <f t="shared" si="493"/>
        <v/>
      </c>
      <c r="DE133" s="39" t="str">
        <f t="shared" si="494"/>
        <v/>
      </c>
      <c r="DF133" s="141" t="str">
        <f t="shared" si="495"/>
        <v/>
      </c>
      <c r="DG133" s="39" t="str">
        <f t="shared" si="496"/>
        <v/>
      </c>
      <c r="DH133" s="39" t="str">
        <f t="shared" si="497"/>
        <v/>
      </c>
      <c r="DI133" s="39" t="str">
        <f t="shared" si="498"/>
        <v/>
      </c>
      <c r="DJ133" s="74" t="str">
        <f t="shared" si="499"/>
        <v/>
      </c>
      <c r="DK133" s="45"/>
      <c r="DL133" s="84" t="e">
        <f t="shared" si="423"/>
        <v>#N/A</v>
      </c>
      <c r="DM133" s="39" t="e">
        <f t="shared" si="500"/>
        <v>#N/A</v>
      </c>
      <c r="DN133" s="74" t="e">
        <f t="shared" si="501"/>
        <v>#N/A</v>
      </c>
      <c r="DO133" s="45"/>
      <c r="DP133" s="89" t="str">
        <f t="shared" si="525"/>
        <v/>
      </c>
      <c r="DQ133" s="26" t="str">
        <f>IF(AND(Sufficient_data="Yes",Subgroup&lt;&gt;""),IF(COUNTIFS(Input!J$2:J132,"="&amp;"Yes",Input!C$2:C132,"="&amp;"Yes",Input!K$2:K132,"="&amp;Subgroup)&gt;0,"",Subgroup),"")</f>
        <v/>
      </c>
      <c r="DR133" s="7" t="str">
        <f t="shared" si="526"/>
        <v/>
      </c>
      <c r="DS133" s="7" t="str">
        <f t="shared" si="502"/>
        <v/>
      </c>
      <c r="DT133" s="19" t="str">
        <f t="shared" si="503"/>
        <v/>
      </c>
      <c r="DU133" s="12" t="str">
        <f t="shared" si="424"/>
        <v/>
      </c>
      <c r="DV133" s="11" t="str">
        <f t="shared" si="425"/>
        <v/>
      </c>
      <c r="DW133" s="12" t="str">
        <f t="shared" si="426"/>
        <v/>
      </c>
      <c r="DX133" s="12" t="str">
        <f t="shared" si="504"/>
        <v/>
      </c>
      <c r="DY133" s="19" t="str">
        <f t="shared" si="427"/>
        <v/>
      </c>
      <c r="DZ133" s="12" t="str">
        <f t="shared" si="428"/>
        <v/>
      </c>
      <c r="EA133" s="19" t="str">
        <f t="shared" si="505"/>
        <v/>
      </c>
      <c r="EB133" s="7" t="str">
        <f t="shared" si="506"/>
        <v/>
      </c>
      <c r="EC133" s="19" t="str">
        <f t="shared" si="507"/>
        <v/>
      </c>
      <c r="ED133" s="19" t="str">
        <f t="shared" si="508"/>
        <v/>
      </c>
      <c r="EE133" s="19" t="str">
        <f t="shared" si="429"/>
        <v/>
      </c>
      <c r="EF133" s="19" t="str">
        <f t="shared" si="430"/>
        <v/>
      </c>
      <c r="EG133" s="19" t="str">
        <f t="shared" si="431"/>
        <v/>
      </c>
      <c r="EH133" s="19" t="str">
        <f t="shared" si="432"/>
        <v/>
      </c>
      <c r="EI133" s="19" t="str">
        <f t="shared" si="433"/>
        <v/>
      </c>
      <c r="EJ133" s="19" t="str">
        <f t="shared" si="509"/>
        <v/>
      </c>
      <c r="EK133" s="19" t="str">
        <f t="shared" si="510"/>
        <v/>
      </c>
      <c r="EL133" s="19" t="str">
        <f t="shared" si="434"/>
        <v/>
      </c>
      <c r="EM133" s="19" t="str">
        <f t="shared" si="435"/>
        <v/>
      </c>
      <c r="EN133" s="19" t="str">
        <f t="shared" si="436"/>
        <v/>
      </c>
      <c r="EO133" s="19" t="str">
        <f t="shared" si="437"/>
        <v/>
      </c>
      <c r="EP133" s="19" t="str">
        <f t="shared" si="438"/>
        <v/>
      </c>
      <c r="EQ133" s="19" t="e">
        <f t="shared" si="439"/>
        <v>#N/A</v>
      </c>
      <c r="ER133" s="11" t="str">
        <f t="shared" si="527"/>
        <v/>
      </c>
      <c r="ES133" s="19" t="str">
        <f t="shared" si="528"/>
        <v/>
      </c>
      <c r="ET133" s="156" t="str">
        <f t="shared" si="511"/>
        <v/>
      </c>
      <c r="EU133" s="39" t="str">
        <f t="shared" si="440"/>
        <v/>
      </c>
      <c r="EV133" s="74" t="str">
        <f t="shared" si="512"/>
        <v/>
      </c>
      <c r="FA133" s="196"/>
      <c r="FB133" s="84" t="e">
        <f>IF(AND(Include_study?="Yes",Sufficient_data="Yes",Moderator&lt;&gt;""),'Moderator Analysis'!E133,NA())</f>
        <v>#N/A</v>
      </c>
      <c r="FC133" s="39" t="e">
        <f>IF(AND(Include_study?="Yes",Sufficient_data="Yes",Moderator&lt;&gt;""),'Moderator Analysis'!F133,NA())</f>
        <v>#N/A</v>
      </c>
      <c r="FD133" s="39" t="str">
        <f t="shared" si="513"/>
        <v/>
      </c>
      <c r="FE133" s="39" t="str">
        <f t="shared" si="514"/>
        <v/>
      </c>
      <c r="FF133" s="39" t="str">
        <f>IF(AND(Include_study?="Yes",Sufficient_data="Yes",Moderator&lt;&gt;""),'Moderator Analysis'!F:F-FP$2,"")</f>
        <v/>
      </c>
      <c r="FG133" s="39" t="str">
        <f>IF(AND(Include_study?="Yes",Sufficient_data="Yes",Moderator&lt;&gt;""),'Moderator Analysis'!E:E-FP$3,"")</f>
        <v/>
      </c>
      <c r="FH133" s="74" t="str">
        <f>IF(AND(Include_study?="Yes",Sufficient_data="Yes",Moderator&lt;&gt;""),FE:FE*('Moderator Analysis'!F:F-FP$5-FP$4*'Moderator Analysis'!E:E)^2,"")</f>
        <v/>
      </c>
      <c r="FI133" s="128"/>
      <c r="FJ133" s="92" t="str">
        <f t="shared" si="515"/>
        <v/>
      </c>
      <c r="FK133" s="137" t="str">
        <f>IF(AND(Include_study?="Yes",Sufficient_data="Yes",Moderator&lt;&gt;""),'Moderator Analysis'!F:F-'Moderator Analysis'!J$37,"")</f>
        <v/>
      </c>
      <c r="FL133" s="137" t="str">
        <f>IF(AND(Include_study?="Yes",Sufficient_data="Yes",Moderator&lt;&gt;""),'Moderator Analysis'!E:E-SUMPRODUCT('Moderator Analysis'!E:E,FJ:FJ)/SUM(FJ:FJ),"")</f>
        <v/>
      </c>
      <c r="FM133" s="95" t="str">
        <f>IF(AND(Include_study?="Yes",Sufficient_data="Yes",Moderator&lt;&gt;""),FJ:FJ*('Moderator Analysis'!F:F-'Moderator Analysis'!J$29-'Moderator Analysis'!J$30*'Moderator Analysis'!E:E)^2,"")</f>
        <v/>
      </c>
      <c r="FR133" s="196"/>
      <c r="FS133" s="182"/>
      <c r="FT13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3" s="39" t="str">
        <f>IF(AND(Include_study?="Yes",Sufficient_data="Yes"),1/('Publication Bias Analysis'!F:F^2+IF(Additional_model="Fixed effect",0,Calculations!GH$12)),"")</f>
        <v/>
      </c>
      <c r="FV133" s="39" t="str">
        <f>IF(AND(Include_study?="Yes",Sufficient_data="Yes"),1/('Publication Bias Analysis'!F:F^2+IF(Additional_model="Fixed effect",0,'Publication Bias Analysis'!L$32)),"")</f>
        <v/>
      </c>
      <c r="FW133" s="39" t="str">
        <f>IF(AND(Include_study?="Yes",Sufficient_data="Yes"),'Publication Bias Analysis'!E:E-'Publication Bias Analysis'!I$37,"")</f>
        <v/>
      </c>
      <c r="FX133" s="39" t="str">
        <f>IF(AND(Include_study?="Yes",Sufficient_data="Yes"),IF(Additional_model="Fixed effect",1/'Publication Bias Analysis'!F:F,1/SQRT('Publication Bias Analysis'!F:F^2+GH$12)),"")</f>
        <v/>
      </c>
      <c r="FY13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3" s="136" t="str">
        <f t="shared" si="516"/>
        <v/>
      </c>
      <c r="GA133" s="144" t="str">
        <f>IF(AND(Include_study?="Yes",Sufficient_data="Yes"),FZ:FZ+IF(GL:GL&lt;0,-1,1)*COUNTIF(FZ$2:FZ132,FZ:FZ),"")</f>
        <v/>
      </c>
      <c r="GB133" s="144" t="str">
        <f>IF(AND(Include_study?="Yes",Sufficient_data="Yes"),RANK(GP:GP,GP:GP,1)*IF(GO:GO&lt;0,-1,1)+IF(GO:GO&lt;0,-1,1)*COUNTIF(FZ$2:FZ132,FZ:FZ),"")</f>
        <v/>
      </c>
      <c r="GC133" s="144" t="str">
        <f>IF(AND(Include_study?="Yes",Sufficient_data="Yes"),RANK(GS:GS,GS:GS,1)*IF(GR:GR&lt;0,-1,1)+IF(GR:GR&lt;0,-1,1)*COUNTIF(FZ$2:FZ132,FZ:FZ),"")</f>
        <v/>
      </c>
      <c r="GD133" s="39" t="e">
        <f>IF(AND(Include_study?="Yes",Sufficient_data="Yes"),'Publication Bias Analysis'!E133,NA())</f>
        <v>#N/A</v>
      </c>
      <c r="GE133" s="74" t="e">
        <f>IF(AND(Include_study?="Yes",Sufficient_data="Yes"),'Publication Bias Analysis'!F133,NA())</f>
        <v>#N/A</v>
      </c>
      <c r="GK133" s="176"/>
      <c r="GL13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3" s="39" t="str">
        <f t="shared" si="517"/>
        <v/>
      </c>
      <c r="GN13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3" s="39" t="str">
        <f>IF(AND(Include_study?="Yes",Sufficient_data="Yes"),IF('Publication Bias Analysis'!L$38="Left",'Publication Bias Analysis'!E:E-GW$3,GW$3-'Publication Bias Analysis'!E:E),"")</f>
        <v/>
      </c>
      <c r="GP133" s="39" t="str">
        <f t="shared" si="529"/>
        <v/>
      </c>
      <c r="GQ13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3" s="39" t="str">
        <f>IF(AND(Include_study?="Yes",Sufficient_data="Yes"),IF('Publication Bias Analysis'!L$38="Left",'Publication Bias Analysis'!E:E-GW$10,GW$10-'Publication Bias Analysis'!E:E),"")</f>
        <v/>
      </c>
      <c r="GS133" s="39" t="str">
        <f t="shared" si="530"/>
        <v/>
      </c>
      <c r="GT13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3" s="176"/>
      <c r="HL133" s="69" t="str">
        <f t="shared" si="518"/>
        <v/>
      </c>
      <c r="HM133" s="74" t="str">
        <f>IF(AND(Include_study?="Yes",Sufficient_data="Yes"),Z_score-('Publication Bias Analysis'!P$3+'Publication Bias Analysis'!P$4*Inverse_standard_error),"")</f>
        <v/>
      </c>
      <c r="HO133" s="176"/>
      <c r="HP133" s="69" t="str">
        <f>IF(AND(Include_study?="Yes",Sufficient_data="Yes"),(GD:GD-SUMPRODUCT(Calculations!FT:FT,'Publication Bias Analysis'!E:E)/SUM(Calculations!FT:FT))/SQRT(Calculations!HQ:HQ),"")</f>
        <v/>
      </c>
      <c r="HQ133" s="69" t="str">
        <f>IF(AND(Include_study?="Yes",Sufficient_data="Yes"),GE:GE^2-1/SUM(Calculations!FT:FT),"")</f>
        <v/>
      </c>
      <c r="HR133" s="7" t="str">
        <f t="shared" si="441"/>
        <v/>
      </c>
      <c r="HS133" s="7" t="str">
        <f t="shared" si="442"/>
        <v/>
      </c>
      <c r="HT133" s="7" t="str">
        <f>IF(AND(Include_study?="Yes",Sufficient_data="Yes"),COUNTIFS(HR$2:HR132,"&lt;"&amp;HR133,HS$2:HS132,"&lt;"&amp;HS133)+COUNTIFS(HR134:HR$201,"&lt;"&amp;HR133,HS134:HS$201,"&lt;"&amp;HS133)+COUNTIFS(HR$2:HR132,"&gt;"&amp;HR133,HS$2:HS132,"&gt;"&amp;HS133)+COUNTIFS(HR134:HR$201,"&gt;"&amp;HR133,HS134:HS$201,"&gt;"&amp;HS133),"")</f>
        <v/>
      </c>
      <c r="HU133" s="104" t="str">
        <f>IF(AND(Include_study?="Yes",Sufficient_data="Yes"),COUNTIFS(HR$2:HR132,"&lt;"&amp;HR133,HS$2:HS132,"&gt;"&amp;HS133)+COUNTIFS(HR134:HR$201,"&lt;"&amp;HR133,HS134:HS$201,"&gt;"&amp;HS133)+COUNTIFS(HR$2:HR132,"&gt;"&amp;HR133,HS$2:HS132,"&lt;"&amp;HS133)+COUNTIFS(HR134:HR$201,"&gt;"&amp;HR133,HS134:HS$201,"&lt;"&amp;HS133),"")</f>
        <v/>
      </c>
      <c r="HW133" s="176"/>
      <c r="IB133" s="176"/>
      <c r="IC133" s="146" t="e">
        <f t="shared" si="519"/>
        <v>#N/A</v>
      </c>
      <c r="ID133" s="137" t="e">
        <f t="shared" si="520"/>
        <v>#N/A</v>
      </c>
      <c r="IE133" s="137" t="str">
        <f t="shared" si="521"/>
        <v/>
      </c>
      <c r="IF133" s="95" t="str">
        <f t="shared" si="522"/>
        <v/>
      </c>
      <c r="IK133" s="176"/>
      <c r="IL133" s="69" t="e">
        <f>IF(AND(Include_study?="Yes",Sufficient_data="Yes"),'Publication Bias Analysis'!AV:AV,NA())</f>
        <v>#N/A</v>
      </c>
      <c r="IM133" s="158" t="e">
        <f>IF(AND(Sufficient_data="Yes",Include_study?="Yes"),'Publication Bias Analysis'!AU:AU,NA())</f>
        <v>#N/A</v>
      </c>
      <c r="IN133" s="69" t="str">
        <f t="shared" si="418"/>
        <v/>
      </c>
      <c r="IO133" s="74" t="str">
        <f>IF(AND(Include_study?="Yes",Sufficient_data="Yes"),Z_score-('Publication Bias Analysis'!AY$30+'Publication Bias Analysis'!AY$31*Inverse_standard_error),"")</f>
        <v/>
      </c>
      <c r="IU133" s="176"/>
      <c r="IV133" s="7" t="str">
        <f>IF('Publication Bias Analysis'!BG:BG&lt;&gt;"",RANK('Publication Bias Analysis'!BG:BG,'Publication Bias Analysis'!BG:BG,1)+COUNTIF('Publication Bias Analysis'!BG$2:BG132,'Publication Bias Analysis'!BG133),"")</f>
        <v/>
      </c>
      <c r="IW133" s="124" t="str">
        <f t="shared" si="523"/>
        <v/>
      </c>
      <c r="IX133" s="125" t="e">
        <f>IF('Publication Bias Analysis'!BF133&lt;&gt;"",'Publication Bias Analysis'!BF133,NA())</f>
        <v>#N/A</v>
      </c>
      <c r="IY133" s="125" t="e">
        <f>IF('Publication Bias Analysis'!BG133&lt;&gt;"",'Publication Bias Analysis'!BG133,NA())</f>
        <v>#N/A</v>
      </c>
      <c r="IZ133" s="69" t="str">
        <f>IF(AND(Include_study?="Yes",Sufficient_data="Yes"),'Publication Bias Analysis'!BF:BF-AVERAGE('Publication Bias Analysis'!BF:BF),"")</f>
        <v/>
      </c>
      <c r="JA133" s="74" t="str">
        <f>IF(AND(Include_study?="Yes",Sufficient_data="Yes"),'Publication Bias Analysis'!BG:BG-('Publication Bias Analysis'!BJ$30+'Publication Bias Analysis'!BJ$31*'Publication Bias Analysis'!BF:BF),"")</f>
        <v/>
      </c>
      <c r="JG133" s="176"/>
      <c r="JH133" s="39" t="str">
        <f t="shared" si="524"/>
        <v/>
      </c>
      <c r="JI133" s="148" t="str">
        <f t="shared" si="531"/>
        <v/>
      </c>
      <c r="JJ133" s="74" t="str">
        <f t="shared" si="532"/>
        <v/>
      </c>
    </row>
    <row r="134" spans="1:270" x14ac:dyDescent="0.2">
      <c r="A134" s="56" t="str">
        <f t="shared" si="334"/>
        <v/>
      </c>
      <c r="B134" s="7" t="str">
        <f>IF(AND(Include_study?="Yes",Sufficient_data="Yes"),IF(Input!a_&lt;&gt;"",Input!a_,Input!n1_-Input!b_),"")</f>
        <v/>
      </c>
      <c r="C134" s="7" t="str">
        <f>IF(AND(Include_study?="Yes",Sufficient_data="Yes"),IF(Input!b_&lt;&gt;"",Input!b_,Input!n1_-Input!a_),"")</f>
        <v/>
      </c>
      <c r="D134" s="7" t="str">
        <f>IF(AND(Include_study?="Yes",Sufficient_data="Yes"),IF(Input!c_&lt;&gt;"",Input!c_,Input!n2_-Input!d_),"")</f>
        <v/>
      </c>
      <c r="E134" s="7" t="str">
        <f>IF(AND(Include_study?="Yes",Sufficient_data="Yes"),IF(Input!d_&lt;&gt;"",Input!d_,Input!n2_-Input!c_),"")</f>
        <v/>
      </c>
      <c r="F134" s="74" t="str">
        <f t="shared" si="443"/>
        <v/>
      </c>
      <c r="H134" s="196"/>
      <c r="I134" s="182"/>
      <c r="J134" s="146" t="str">
        <f t="shared" si="444"/>
        <v/>
      </c>
      <c r="K134" s="39" t="str">
        <f t="shared" si="445"/>
        <v/>
      </c>
      <c r="L134" s="39" t="str">
        <f t="shared" si="446"/>
        <v/>
      </c>
      <c r="M134" s="39" t="str">
        <f t="shared" si="447"/>
        <v/>
      </c>
      <c r="N134" s="74" t="str">
        <f t="shared" si="448"/>
        <v/>
      </c>
      <c r="P134" s="176"/>
      <c r="Q134" s="130" t="str">
        <f t="shared" si="449"/>
        <v/>
      </c>
      <c r="R134" s="39" t="str">
        <f t="shared" si="450"/>
        <v/>
      </c>
      <c r="S134" s="39" t="str">
        <f t="shared" si="451"/>
        <v/>
      </c>
      <c r="T134" s="74" t="str">
        <f t="shared" si="452"/>
        <v/>
      </c>
      <c r="V134" s="176"/>
      <c r="W134" s="130" t="str">
        <f t="shared" si="453"/>
        <v/>
      </c>
      <c r="X134" s="39" t="str">
        <f t="shared" si="454"/>
        <v/>
      </c>
      <c r="Y134" s="39" t="str">
        <f t="shared" si="455"/>
        <v/>
      </c>
      <c r="Z134" s="74" t="str">
        <f t="shared" si="456"/>
        <v/>
      </c>
      <c r="AB134" s="176"/>
      <c r="AC134" s="130" t="str">
        <f t="shared" si="457"/>
        <v/>
      </c>
      <c r="AD134" s="39" t="str">
        <f t="shared" si="458"/>
        <v/>
      </c>
      <c r="AE134" s="39" t="str">
        <f t="shared" si="459"/>
        <v/>
      </c>
      <c r="AF134" s="39" t="str">
        <f t="shared" si="460"/>
        <v/>
      </c>
      <c r="AG134" s="74" t="str">
        <f t="shared" si="461"/>
        <v/>
      </c>
      <c r="AI134" s="196"/>
      <c r="AJ13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4" s="136" t="str">
        <f>IF(AJ134&lt;&gt;"",IF(AJ134=0,COUNTIF(AJ$2:AJ133,0)+1,COUNTIF(AJ$2:AJ133,AJ134)+AJ134+COUNTIF(AJ:AJ,0)),"")</f>
        <v/>
      </c>
      <c r="AL134" s="136" t="str">
        <f t="shared" si="462"/>
        <v/>
      </c>
      <c r="AM134" s="155" t="str">
        <f>IF(AND(Include_study?="Yes",Sufficient_data="Yes",Input!Study_name&lt;&gt;""),Input!Study_name,"")</f>
        <v/>
      </c>
      <c r="AN134" s="136" t="str">
        <f t="shared" si="463"/>
        <v/>
      </c>
      <c r="AO134" s="19" t="str">
        <f t="shared" si="464"/>
        <v/>
      </c>
      <c r="AP134" s="158" t="str">
        <f t="shared" si="465"/>
        <v/>
      </c>
      <c r="AQ134" s="158" t="str">
        <f t="shared" si="466"/>
        <v/>
      </c>
      <c r="AR134" s="39" t="str">
        <f t="shared" si="467"/>
        <v/>
      </c>
      <c r="AS134" s="158" t="str">
        <f t="shared" si="468"/>
        <v/>
      </c>
      <c r="AT134" s="39" t="str">
        <f t="shared" si="469"/>
        <v/>
      </c>
      <c r="AU134" s="172" t="str">
        <f t="shared" si="470"/>
        <v/>
      </c>
      <c r="AV134" s="45"/>
      <c r="AW134" s="84" t="e">
        <f t="shared" si="360"/>
        <v>#N/A</v>
      </c>
      <c r="AX134" s="69" t="e">
        <f t="shared" si="471"/>
        <v>#N/A</v>
      </c>
      <c r="AY134" s="74" t="e">
        <f t="shared" si="472"/>
        <v>#N/A</v>
      </c>
      <c r="AZ134" s="45"/>
      <c r="BA134" s="45"/>
      <c r="BB134" s="45"/>
      <c r="BC134" s="45"/>
      <c r="BD134" s="196"/>
      <c r="BE134" s="182"/>
      <c r="BF134" s="69" t="str">
        <f t="shared" si="363"/>
        <v/>
      </c>
      <c r="BG134" s="69" t="str">
        <f t="shared" si="364"/>
        <v/>
      </c>
      <c r="BH134" s="69" t="str">
        <f t="shared" si="365"/>
        <v/>
      </c>
      <c r="BI134" s="39" t="str">
        <f t="shared" si="366"/>
        <v/>
      </c>
      <c r="BJ134" s="95" t="str">
        <f t="shared" si="473"/>
        <v/>
      </c>
      <c r="BO134" s="176"/>
      <c r="BP134" s="158" t="str">
        <f t="shared" si="474"/>
        <v/>
      </c>
      <c r="BQ134" s="158" t="str">
        <f t="shared" si="475"/>
        <v/>
      </c>
      <c r="BR134" s="158" t="str">
        <f t="shared" si="476"/>
        <v/>
      </c>
      <c r="BS134" s="158" t="str">
        <f>IF(AND(Sufficient_data="Yes",Include_study?="Yes"),IF(Add_0_5="Yes",(a_+d_+1)*(ab_+0.5)*(c_+0.5)/(Number_of_subjects+2)^2,(a_+d_)*b_*c_/Number_of_subjects^2),"")</f>
        <v/>
      </c>
      <c r="BT134" s="158" t="str">
        <f t="shared" si="477"/>
        <v/>
      </c>
      <c r="BU134" s="158" t="str">
        <f t="shared" si="478"/>
        <v/>
      </c>
      <c r="BV134" s="158" t="str">
        <f t="shared" si="479"/>
        <v/>
      </c>
      <c r="BW134" s="69" t="str">
        <f t="shared" si="374"/>
        <v/>
      </c>
      <c r="BX134" s="137" t="str">
        <f t="shared" si="375"/>
        <v/>
      </c>
      <c r="BY134" s="95" t="str">
        <f t="shared" si="480"/>
        <v/>
      </c>
      <c r="CD134" s="176"/>
      <c r="CE134" s="130" t="str">
        <f t="shared" si="481"/>
        <v/>
      </c>
      <c r="CF134" s="39" t="str">
        <f t="shared" si="482"/>
        <v/>
      </c>
      <c r="CG134" s="39" t="str">
        <f t="shared" si="483"/>
        <v/>
      </c>
      <c r="CH134" s="39" t="str">
        <f t="shared" si="484"/>
        <v/>
      </c>
      <c r="CI134" s="39" t="str">
        <f t="shared" si="485"/>
        <v/>
      </c>
      <c r="CJ134" s="39" t="str">
        <f t="shared" si="486"/>
        <v/>
      </c>
      <c r="CK134" s="95" t="str">
        <f t="shared" si="487"/>
        <v/>
      </c>
      <c r="CP134" s="176"/>
      <c r="CQ134" s="99" t="str">
        <f t="shared" si="383"/>
        <v/>
      </c>
      <c r="CX134" s="196"/>
      <c r="CY134" s="89" t="e">
        <f t="shared" si="488"/>
        <v>#N/A</v>
      </c>
      <c r="CZ134" s="136" t="str">
        <f t="shared" si="489"/>
        <v/>
      </c>
      <c r="DA134" s="140" t="str">
        <f t="shared" si="490"/>
        <v/>
      </c>
      <c r="DB134" s="39" t="str">
        <f t="shared" si="491"/>
        <v/>
      </c>
      <c r="DC134" s="39" t="str">
        <f t="shared" si="492"/>
        <v/>
      </c>
      <c r="DD134" s="39" t="str">
        <f t="shared" si="493"/>
        <v/>
      </c>
      <c r="DE134" s="39" t="str">
        <f t="shared" si="494"/>
        <v/>
      </c>
      <c r="DF134" s="141" t="str">
        <f t="shared" si="495"/>
        <v/>
      </c>
      <c r="DG134" s="39" t="str">
        <f t="shared" si="496"/>
        <v/>
      </c>
      <c r="DH134" s="39" t="str">
        <f t="shared" si="497"/>
        <v/>
      </c>
      <c r="DI134" s="39" t="str">
        <f t="shared" si="498"/>
        <v/>
      </c>
      <c r="DJ134" s="74" t="str">
        <f t="shared" si="499"/>
        <v/>
      </c>
      <c r="DK134" s="45"/>
      <c r="DL134" s="84" t="e">
        <f t="shared" si="423"/>
        <v>#N/A</v>
      </c>
      <c r="DM134" s="39" t="e">
        <f t="shared" si="500"/>
        <v>#N/A</v>
      </c>
      <c r="DN134" s="74" t="e">
        <f t="shared" si="501"/>
        <v>#N/A</v>
      </c>
      <c r="DO134" s="45"/>
      <c r="DP134" s="89" t="str">
        <f t="shared" si="525"/>
        <v/>
      </c>
      <c r="DQ134" s="26" t="str">
        <f>IF(AND(Sufficient_data="Yes",Subgroup&lt;&gt;""),IF(COUNTIFS(Input!J$2:J133,"="&amp;"Yes",Input!C$2:C133,"="&amp;"Yes",Input!K$2:K133,"="&amp;Subgroup)&gt;0,"",Subgroup),"")</f>
        <v/>
      </c>
      <c r="DR134" s="7" t="str">
        <f t="shared" si="526"/>
        <v/>
      </c>
      <c r="DS134" s="7" t="str">
        <f t="shared" si="502"/>
        <v/>
      </c>
      <c r="DT134" s="19" t="str">
        <f t="shared" si="503"/>
        <v/>
      </c>
      <c r="DU134" s="12" t="str">
        <f t="shared" si="424"/>
        <v/>
      </c>
      <c r="DV134" s="11" t="str">
        <f t="shared" si="425"/>
        <v/>
      </c>
      <c r="DW134" s="12" t="str">
        <f t="shared" si="426"/>
        <v/>
      </c>
      <c r="DX134" s="12" t="str">
        <f t="shared" si="504"/>
        <v/>
      </c>
      <c r="DY134" s="19" t="str">
        <f t="shared" si="427"/>
        <v/>
      </c>
      <c r="DZ134" s="12" t="str">
        <f t="shared" si="428"/>
        <v/>
      </c>
      <c r="EA134" s="19" t="str">
        <f t="shared" si="505"/>
        <v/>
      </c>
      <c r="EB134" s="7" t="str">
        <f t="shared" si="506"/>
        <v/>
      </c>
      <c r="EC134" s="19" t="str">
        <f t="shared" si="507"/>
        <v/>
      </c>
      <c r="ED134" s="19" t="str">
        <f t="shared" si="508"/>
        <v/>
      </c>
      <c r="EE134" s="19" t="str">
        <f t="shared" si="429"/>
        <v/>
      </c>
      <c r="EF134" s="19" t="str">
        <f t="shared" si="430"/>
        <v/>
      </c>
      <c r="EG134" s="19" t="str">
        <f t="shared" si="431"/>
        <v/>
      </c>
      <c r="EH134" s="19" t="str">
        <f t="shared" si="432"/>
        <v/>
      </c>
      <c r="EI134" s="19" t="str">
        <f t="shared" si="433"/>
        <v/>
      </c>
      <c r="EJ134" s="19" t="str">
        <f t="shared" si="509"/>
        <v/>
      </c>
      <c r="EK134" s="19" t="str">
        <f t="shared" si="510"/>
        <v/>
      </c>
      <c r="EL134" s="19" t="str">
        <f t="shared" si="434"/>
        <v/>
      </c>
      <c r="EM134" s="19" t="str">
        <f t="shared" si="435"/>
        <v/>
      </c>
      <c r="EN134" s="19" t="str">
        <f t="shared" si="436"/>
        <v/>
      </c>
      <c r="EO134" s="19" t="str">
        <f t="shared" si="437"/>
        <v/>
      </c>
      <c r="EP134" s="19" t="str">
        <f t="shared" si="438"/>
        <v/>
      </c>
      <c r="EQ134" s="19" t="e">
        <f t="shared" si="439"/>
        <v>#N/A</v>
      </c>
      <c r="ER134" s="11" t="str">
        <f t="shared" si="527"/>
        <v/>
      </c>
      <c r="ES134" s="19" t="str">
        <f t="shared" si="528"/>
        <v/>
      </c>
      <c r="ET134" s="156" t="str">
        <f t="shared" si="511"/>
        <v/>
      </c>
      <c r="EU134" s="39" t="str">
        <f t="shared" si="440"/>
        <v/>
      </c>
      <c r="EV134" s="74" t="str">
        <f t="shared" si="512"/>
        <v/>
      </c>
      <c r="FA134" s="196"/>
      <c r="FB134" s="84" t="e">
        <f>IF(AND(Include_study?="Yes",Sufficient_data="Yes",Moderator&lt;&gt;""),'Moderator Analysis'!E134,NA())</f>
        <v>#N/A</v>
      </c>
      <c r="FC134" s="39" t="e">
        <f>IF(AND(Include_study?="Yes",Sufficient_data="Yes",Moderator&lt;&gt;""),'Moderator Analysis'!F134,NA())</f>
        <v>#N/A</v>
      </c>
      <c r="FD134" s="39" t="str">
        <f t="shared" si="513"/>
        <v/>
      </c>
      <c r="FE134" s="39" t="str">
        <f t="shared" si="514"/>
        <v/>
      </c>
      <c r="FF134" s="39" t="str">
        <f>IF(AND(Include_study?="Yes",Sufficient_data="Yes",Moderator&lt;&gt;""),'Moderator Analysis'!F:F-FP$2,"")</f>
        <v/>
      </c>
      <c r="FG134" s="39" t="str">
        <f>IF(AND(Include_study?="Yes",Sufficient_data="Yes",Moderator&lt;&gt;""),'Moderator Analysis'!E:E-FP$3,"")</f>
        <v/>
      </c>
      <c r="FH134" s="74" t="str">
        <f>IF(AND(Include_study?="Yes",Sufficient_data="Yes",Moderator&lt;&gt;""),FE:FE*('Moderator Analysis'!F:F-FP$5-FP$4*'Moderator Analysis'!E:E)^2,"")</f>
        <v/>
      </c>
      <c r="FI134" s="128"/>
      <c r="FJ134" s="92" t="str">
        <f t="shared" si="515"/>
        <v/>
      </c>
      <c r="FK134" s="137" t="str">
        <f>IF(AND(Include_study?="Yes",Sufficient_data="Yes",Moderator&lt;&gt;""),'Moderator Analysis'!F:F-'Moderator Analysis'!J$37,"")</f>
        <v/>
      </c>
      <c r="FL134" s="137" t="str">
        <f>IF(AND(Include_study?="Yes",Sufficient_data="Yes",Moderator&lt;&gt;""),'Moderator Analysis'!E:E-SUMPRODUCT('Moderator Analysis'!E:E,FJ:FJ)/SUM(FJ:FJ),"")</f>
        <v/>
      </c>
      <c r="FM134" s="95" t="str">
        <f>IF(AND(Include_study?="Yes",Sufficient_data="Yes",Moderator&lt;&gt;""),FJ:FJ*('Moderator Analysis'!F:F-'Moderator Analysis'!J$29-'Moderator Analysis'!J$30*'Moderator Analysis'!E:E)^2,"")</f>
        <v/>
      </c>
      <c r="FR134" s="196"/>
      <c r="FS134" s="182"/>
      <c r="FT13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4" s="39" t="str">
        <f>IF(AND(Include_study?="Yes",Sufficient_data="Yes"),1/('Publication Bias Analysis'!F:F^2+IF(Additional_model="Fixed effect",0,Calculations!GH$12)),"")</f>
        <v/>
      </c>
      <c r="FV134" s="39" t="str">
        <f>IF(AND(Include_study?="Yes",Sufficient_data="Yes"),1/('Publication Bias Analysis'!F:F^2+IF(Additional_model="Fixed effect",0,'Publication Bias Analysis'!L$32)),"")</f>
        <v/>
      </c>
      <c r="FW134" s="39" t="str">
        <f>IF(AND(Include_study?="Yes",Sufficient_data="Yes"),'Publication Bias Analysis'!E:E-'Publication Bias Analysis'!I$37,"")</f>
        <v/>
      </c>
      <c r="FX134" s="39" t="str">
        <f>IF(AND(Include_study?="Yes",Sufficient_data="Yes"),IF(Additional_model="Fixed effect",1/'Publication Bias Analysis'!F:F,1/SQRT('Publication Bias Analysis'!F:F^2+GH$12)),"")</f>
        <v/>
      </c>
      <c r="FY13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4" s="136" t="str">
        <f t="shared" si="516"/>
        <v/>
      </c>
      <c r="GA134" s="144" t="str">
        <f>IF(AND(Include_study?="Yes",Sufficient_data="Yes"),FZ:FZ+IF(GL:GL&lt;0,-1,1)*COUNTIF(FZ$2:FZ133,FZ:FZ),"")</f>
        <v/>
      </c>
      <c r="GB134" s="144" t="str">
        <f>IF(AND(Include_study?="Yes",Sufficient_data="Yes"),RANK(GP:GP,GP:GP,1)*IF(GO:GO&lt;0,-1,1)+IF(GO:GO&lt;0,-1,1)*COUNTIF(FZ$2:FZ133,FZ:FZ),"")</f>
        <v/>
      </c>
      <c r="GC134" s="144" t="str">
        <f>IF(AND(Include_study?="Yes",Sufficient_data="Yes"),RANK(GS:GS,GS:GS,1)*IF(GR:GR&lt;0,-1,1)+IF(GR:GR&lt;0,-1,1)*COUNTIF(FZ$2:FZ133,FZ:FZ),"")</f>
        <v/>
      </c>
      <c r="GD134" s="39" t="e">
        <f>IF(AND(Include_study?="Yes",Sufficient_data="Yes"),'Publication Bias Analysis'!E134,NA())</f>
        <v>#N/A</v>
      </c>
      <c r="GE134" s="74" t="e">
        <f>IF(AND(Include_study?="Yes",Sufficient_data="Yes"),'Publication Bias Analysis'!F134,NA())</f>
        <v>#N/A</v>
      </c>
      <c r="GK134" s="176"/>
      <c r="GL13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4" s="39" t="str">
        <f t="shared" si="517"/>
        <v/>
      </c>
      <c r="GN13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4" s="39" t="str">
        <f>IF(AND(Include_study?="Yes",Sufficient_data="Yes"),IF('Publication Bias Analysis'!L$38="Left",'Publication Bias Analysis'!E:E-GW$3,GW$3-'Publication Bias Analysis'!E:E),"")</f>
        <v/>
      </c>
      <c r="GP134" s="39" t="str">
        <f t="shared" si="529"/>
        <v/>
      </c>
      <c r="GQ13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4" s="39" t="str">
        <f>IF(AND(Include_study?="Yes",Sufficient_data="Yes"),IF('Publication Bias Analysis'!L$38="Left",'Publication Bias Analysis'!E:E-GW$10,GW$10-'Publication Bias Analysis'!E:E),"")</f>
        <v/>
      </c>
      <c r="GS134" s="39" t="str">
        <f t="shared" si="530"/>
        <v/>
      </c>
      <c r="GT13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4" s="176"/>
      <c r="HL134" s="69" t="str">
        <f t="shared" si="518"/>
        <v/>
      </c>
      <c r="HM134" s="74" t="str">
        <f>IF(AND(Include_study?="Yes",Sufficient_data="Yes"),Z_score-('Publication Bias Analysis'!P$3+'Publication Bias Analysis'!P$4*Inverse_standard_error),"")</f>
        <v/>
      </c>
      <c r="HO134" s="176"/>
      <c r="HP134" s="69" t="str">
        <f>IF(AND(Include_study?="Yes",Sufficient_data="Yes"),(GD:GD-SUMPRODUCT(Calculations!FT:FT,'Publication Bias Analysis'!E:E)/SUM(Calculations!FT:FT))/SQRT(Calculations!HQ:HQ),"")</f>
        <v/>
      </c>
      <c r="HQ134" s="69" t="str">
        <f>IF(AND(Include_study?="Yes",Sufficient_data="Yes"),GE:GE^2-1/SUM(Calculations!FT:FT),"")</f>
        <v/>
      </c>
      <c r="HR134" s="7" t="str">
        <f t="shared" si="441"/>
        <v/>
      </c>
      <c r="HS134" s="7" t="str">
        <f t="shared" si="442"/>
        <v/>
      </c>
      <c r="HT134" s="7" t="str">
        <f>IF(AND(Include_study?="Yes",Sufficient_data="Yes"),COUNTIFS(HR$2:HR133,"&lt;"&amp;HR134,HS$2:HS133,"&lt;"&amp;HS134)+COUNTIFS(HR135:HR$201,"&lt;"&amp;HR134,HS135:HS$201,"&lt;"&amp;HS134)+COUNTIFS(HR$2:HR133,"&gt;"&amp;HR134,HS$2:HS133,"&gt;"&amp;HS134)+COUNTIFS(HR135:HR$201,"&gt;"&amp;HR134,HS135:HS$201,"&gt;"&amp;HS134),"")</f>
        <v/>
      </c>
      <c r="HU134" s="104" t="str">
        <f>IF(AND(Include_study?="Yes",Sufficient_data="Yes"),COUNTIFS(HR$2:HR133,"&lt;"&amp;HR134,HS$2:HS133,"&gt;"&amp;HS134)+COUNTIFS(HR135:HR$201,"&lt;"&amp;HR134,HS135:HS$201,"&gt;"&amp;HS134)+COUNTIFS(HR$2:HR133,"&gt;"&amp;HR134,HS$2:HS133,"&lt;"&amp;HS134)+COUNTIFS(HR135:HR$201,"&gt;"&amp;HR134,HS135:HS$201,"&lt;"&amp;HS134),"")</f>
        <v/>
      </c>
      <c r="HW134" s="176"/>
      <c r="IB134" s="176"/>
      <c r="IC134" s="146" t="e">
        <f t="shared" si="519"/>
        <v>#N/A</v>
      </c>
      <c r="ID134" s="137" t="e">
        <f t="shared" si="520"/>
        <v>#N/A</v>
      </c>
      <c r="IE134" s="137" t="str">
        <f t="shared" si="521"/>
        <v/>
      </c>
      <c r="IF134" s="95" t="str">
        <f t="shared" si="522"/>
        <v/>
      </c>
      <c r="IK134" s="176"/>
      <c r="IL134" s="69" t="e">
        <f>IF(AND(Include_study?="Yes",Sufficient_data="Yes"),'Publication Bias Analysis'!AV:AV,NA())</f>
        <v>#N/A</v>
      </c>
      <c r="IM134" s="158" t="e">
        <f>IF(AND(Sufficient_data="Yes",Include_study?="Yes"),'Publication Bias Analysis'!AU:AU,NA())</f>
        <v>#N/A</v>
      </c>
      <c r="IN134" s="69" t="str">
        <f t="shared" si="418"/>
        <v/>
      </c>
      <c r="IO134" s="74" t="str">
        <f>IF(AND(Include_study?="Yes",Sufficient_data="Yes"),Z_score-('Publication Bias Analysis'!AY$30+'Publication Bias Analysis'!AY$31*Inverse_standard_error),"")</f>
        <v/>
      </c>
      <c r="IU134" s="176"/>
      <c r="IV134" s="7" t="str">
        <f>IF('Publication Bias Analysis'!BG:BG&lt;&gt;"",RANK('Publication Bias Analysis'!BG:BG,'Publication Bias Analysis'!BG:BG,1)+COUNTIF('Publication Bias Analysis'!BG$2:BG133,'Publication Bias Analysis'!BG134),"")</f>
        <v/>
      </c>
      <c r="IW134" s="124" t="str">
        <f t="shared" si="523"/>
        <v/>
      </c>
      <c r="IX134" s="125" t="e">
        <f>IF('Publication Bias Analysis'!BF134&lt;&gt;"",'Publication Bias Analysis'!BF134,NA())</f>
        <v>#N/A</v>
      </c>
      <c r="IY134" s="125" t="e">
        <f>IF('Publication Bias Analysis'!BG134&lt;&gt;"",'Publication Bias Analysis'!BG134,NA())</f>
        <v>#N/A</v>
      </c>
      <c r="IZ134" s="69" t="str">
        <f>IF(AND(Include_study?="Yes",Sufficient_data="Yes"),'Publication Bias Analysis'!BF:BF-AVERAGE('Publication Bias Analysis'!BF:BF),"")</f>
        <v/>
      </c>
      <c r="JA134" s="74" t="str">
        <f>IF(AND(Include_study?="Yes",Sufficient_data="Yes"),'Publication Bias Analysis'!BG:BG-('Publication Bias Analysis'!BJ$30+'Publication Bias Analysis'!BJ$31*'Publication Bias Analysis'!BF:BF),"")</f>
        <v/>
      </c>
      <c r="JG134" s="176"/>
      <c r="JH134" s="39" t="str">
        <f t="shared" si="524"/>
        <v/>
      </c>
      <c r="JI134" s="148" t="str">
        <f t="shared" si="531"/>
        <v/>
      </c>
      <c r="JJ134" s="74" t="str">
        <f t="shared" si="532"/>
        <v/>
      </c>
    </row>
    <row r="135" spans="1:270" x14ac:dyDescent="0.2">
      <c r="A135" s="56" t="str">
        <f t="shared" si="334"/>
        <v/>
      </c>
      <c r="B135" s="7" t="str">
        <f>IF(AND(Include_study?="Yes",Sufficient_data="Yes"),IF(Input!a_&lt;&gt;"",Input!a_,Input!n1_-Input!b_),"")</f>
        <v/>
      </c>
      <c r="C135" s="7" t="str">
        <f>IF(AND(Include_study?="Yes",Sufficient_data="Yes"),IF(Input!b_&lt;&gt;"",Input!b_,Input!n1_-Input!a_),"")</f>
        <v/>
      </c>
      <c r="D135" s="7" t="str">
        <f>IF(AND(Include_study?="Yes",Sufficient_data="Yes"),IF(Input!c_&lt;&gt;"",Input!c_,Input!n2_-Input!d_),"")</f>
        <v/>
      </c>
      <c r="E135" s="7" t="str">
        <f>IF(AND(Include_study?="Yes",Sufficient_data="Yes"),IF(Input!d_&lt;&gt;"",Input!d_,Input!n2_-Input!c_),"")</f>
        <v/>
      </c>
      <c r="F135" s="74" t="str">
        <f t="shared" si="443"/>
        <v/>
      </c>
      <c r="H135" s="196"/>
      <c r="I135" s="182"/>
      <c r="J135" s="146" t="str">
        <f t="shared" si="444"/>
        <v/>
      </c>
      <c r="K135" s="39" t="str">
        <f t="shared" si="445"/>
        <v/>
      </c>
      <c r="L135" s="39" t="str">
        <f t="shared" si="446"/>
        <v/>
      </c>
      <c r="M135" s="39" t="str">
        <f t="shared" si="447"/>
        <v/>
      </c>
      <c r="N135" s="74" t="str">
        <f t="shared" si="448"/>
        <v/>
      </c>
      <c r="P135" s="176"/>
      <c r="Q135" s="130" t="str">
        <f t="shared" si="449"/>
        <v/>
      </c>
      <c r="R135" s="39" t="str">
        <f t="shared" si="450"/>
        <v/>
      </c>
      <c r="S135" s="39" t="str">
        <f t="shared" si="451"/>
        <v/>
      </c>
      <c r="T135" s="74" t="str">
        <f t="shared" si="452"/>
        <v/>
      </c>
      <c r="V135" s="176"/>
      <c r="W135" s="130" t="str">
        <f t="shared" si="453"/>
        <v/>
      </c>
      <c r="X135" s="39" t="str">
        <f t="shared" si="454"/>
        <v/>
      </c>
      <c r="Y135" s="39" t="str">
        <f t="shared" si="455"/>
        <v/>
      </c>
      <c r="Z135" s="74" t="str">
        <f t="shared" si="456"/>
        <v/>
      </c>
      <c r="AB135" s="176"/>
      <c r="AC135" s="130" t="str">
        <f t="shared" si="457"/>
        <v/>
      </c>
      <c r="AD135" s="39" t="str">
        <f t="shared" si="458"/>
        <v/>
      </c>
      <c r="AE135" s="39" t="str">
        <f t="shared" si="459"/>
        <v/>
      </c>
      <c r="AF135" s="39" t="str">
        <f t="shared" si="460"/>
        <v/>
      </c>
      <c r="AG135" s="74" t="str">
        <f t="shared" si="461"/>
        <v/>
      </c>
      <c r="AI135" s="196"/>
      <c r="AJ13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5" s="136" t="str">
        <f>IF(AJ135&lt;&gt;"",IF(AJ135=0,COUNTIF(AJ$2:AJ134,0)+1,COUNTIF(AJ$2:AJ134,AJ135)+AJ135+COUNTIF(AJ:AJ,0)),"")</f>
        <v/>
      </c>
      <c r="AL135" s="136" t="str">
        <f t="shared" si="462"/>
        <v/>
      </c>
      <c r="AM135" s="155" t="str">
        <f>IF(AND(Include_study?="Yes",Sufficient_data="Yes",Input!Study_name&lt;&gt;""),Input!Study_name,"")</f>
        <v/>
      </c>
      <c r="AN135" s="136" t="str">
        <f t="shared" si="463"/>
        <v/>
      </c>
      <c r="AO135" s="19" t="str">
        <f t="shared" si="464"/>
        <v/>
      </c>
      <c r="AP135" s="158" t="str">
        <f t="shared" si="465"/>
        <v/>
      </c>
      <c r="AQ135" s="158" t="str">
        <f t="shared" si="466"/>
        <v/>
      </c>
      <c r="AR135" s="39" t="str">
        <f t="shared" si="467"/>
        <v/>
      </c>
      <c r="AS135" s="158" t="str">
        <f t="shared" si="468"/>
        <v/>
      </c>
      <c r="AT135" s="39" t="str">
        <f t="shared" si="469"/>
        <v/>
      </c>
      <c r="AU135" s="172" t="str">
        <f t="shared" si="470"/>
        <v/>
      </c>
      <c r="AV135" s="45"/>
      <c r="AW135" s="84" t="e">
        <f t="shared" si="360"/>
        <v>#N/A</v>
      </c>
      <c r="AX135" s="69" t="e">
        <f t="shared" si="471"/>
        <v>#N/A</v>
      </c>
      <c r="AY135" s="74" t="e">
        <f t="shared" si="472"/>
        <v>#N/A</v>
      </c>
      <c r="AZ135" s="45"/>
      <c r="BA135" s="45"/>
      <c r="BB135" s="45"/>
      <c r="BC135" s="45"/>
      <c r="BD135" s="196"/>
      <c r="BE135" s="182"/>
      <c r="BF135" s="69" t="str">
        <f t="shared" si="363"/>
        <v/>
      </c>
      <c r="BG135" s="69" t="str">
        <f t="shared" si="364"/>
        <v/>
      </c>
      <c r="BH135" s="69" t="str">
        <f t="shared" si="365"/>
        <v/>
      </c>
      <c r="BI135" s="39" t="str">
        <f t="shared" si="366"/>
        <v/>
      </c>
      <c r="BJ135" s="95" t="str">
        <f t="shared" si="473"/>
        <v/>
      </c>
      <c r="BO135" s="176"/>
      <c r="BP135" s="158" t="str">
        <f t="shared" si="474"/>
        <v/>
      </c>
      <c r="BQ135" s="158" t="str">
        <f t="shared" si="475"/>
        <v/>
      </c>
      <c r="BR135" s="158" t="str">
        <f t="shared" si="476"/>
        <v/>
      </c>
      <c r="BS135" s="158" t="str">
        <f>IF(AND(Sufficient_data="Yes",Include_study?="Yes"),IF(Add_0_5="Yes",(a_+d_+1)*(ab_+0.5)*(c_+0.5)/(Number_of_subjects+2)^2,(a_+d_)*b_*c_/Number_of_subjects^2),"")</f>
        <v/>
      </c>
      <c r="BT135" s="158" t="str">
        <f t="shared" si="477"/>
        <v/>
      </c>
      <c r="BU135" s="158" t="str">
        <f t="shared" si="478"/>
        <v/>
      </c>
      <c r="BV135" s="158" t="str">
        <f t="shared" si="479"/>
        <v/>
      </c>
      <c r="BW135" s="69" t="str">
        <f t="shared" si="374"/>
        <v/>
      </c>
      <c r="BX135" s="137" t="str">
        <f t="shared" si="375"/>
        <v/>
      </c>
      <c r="BY135" s="95" t="str">
        <f t="shared" si="480"/>
        <v/>
      </c>
      <c r="CD135" s="176"/>
      <c r="CE135" s="130" t="str">
        <f t="shared" si="481"/>
        <v/>
      </c>
      <c r="CF135" s="39" t="str">
        <f t="shared" si="482"/>
        <v/>
      </c>
      <c r="CG135" s="39" t="str">
        <f t="shared" si="483"/>
        <v/>
      </c>
      <c r="CH135" s="39" t="str">
        <f t="shared" si="484"/>
        <v/>
      </c>
      <c r="CI135" s="39" t="str">
        <f t="shared" si="485"/>
        <v/>
      </c>
      <c r="CJ135" s="39" t="str">
        <f t="shared" si="486"/>
        <v/>
      </c>
      <c r="CK135" s="95" t="str">
        <f t="shared" si="487"/>
        <v/>
      </c>
      <c r="CP135" s="176"/>
      <c r="CQ135" s="99" t="str">
        <f t="shared" si="383"/>
        <v/>
      </c>
      <c r="CX135" s="196"/>
      <c r="CY135" s="89" t="e">
        <f t="shared" si="488"/>
        <v>#N/A</v>
      </c>
      <c r="CZ135" s="136" t="str">
        <f t="shared" si="489"/>
        <v/>
      </c>
      <c r="DA135" s="140" t="str">
        <f t="shared" si="490"/>
        <v/>
      </c>
      <c r="DB135" s="39" t="str">
        <f t="shared" si="491"/>
        <v/>
      </c>
      <c r="DC135" s="39" t="str">
        <f t="shared" si="492"/>
        <v/>
      </c>
      <c r="DD135" s="39" t="str">
        <f t="shared" si="493"/>
        <v/>
      </c>
      <c r="DE135" s="39" t="str">
        <f t="shared" si="494"/>
        <v/>
      </c>
      <c r="DF135" s="141" t="str">
        <f t="shared" si="495"/>
        <v/>
      </c>
      <c r="DG135" s="39" t="str">
        <f t="shared" si="496"/>
        <v/>
      </c>
      <c r="DH135" s="39" t="str">
        <f t="shared" si="497"/>
        <v/>
      </c>
      <c r="DI135" s="39" t="str">
        <f t="shared" si="498"/>
        <v/>
      </c>
      <c r="DJ135" s="74" t="str">
        <f t="shared" si="499"/>
        <v/>
      </c>
      <c r="DK135" s="45"/>
      <c r="DL135" s="84" t="e">
        <f t="shared" si="423"/>
        <v>#N/A</v>
      </c>
      <c r="DM135" s="39" t="e">
        <f t="shared" si="500"/>
        <v>#N/A</v>
      </c>
      <c r="DN135" s="74" t="e">
        <f t="shared" si="501"/>
        <v>#N/A</v>
      </c>
      <c r="DO135" s="45"/>
      <c r="DP135" s="89" t="str">
        <f t="shared" si="525"/>
        <v/>
      </c>
      <c r="DQ135" s="26" t="str">
        <f>IF(AND(Sufficient_data="Yes",Subgroup&lt;&gt;""),IF(COUNTIFS(Input!J$2:J134,"="&amp;"Yes",Input!C$2:C134,"="&amp;"Yes",Input!K$2:K134,"="&amp;Subgroup)&gt;0,"",Subgroup),"")</f>
        <v/>
      </c>
      <c r="DR135" s="7" t="str">
        <f t="shared" si="526"/>
        <v/>
      </c>
      <c r="DS135" s="7" t="str">
        <f t="shared" si="502"/>
        <v/>
      </c>
      <c r="DT135" s="19" t="str">
        <f t="shared" si="503"/>
        <v/>
      </c>
      <c r="DU135" s="12" t="str">
        <f t="shared" si="424"/>
        <v/>
      </c>
      <c r="DV135" s="11" t="str">
        <f t="shared" si="425"/>
        <v/>
      </c>
      <c r="DW135" s="12" t="str">
        <f t="shared" si="426"/>
        <v/>
      </c>
      <c r="DX135" s="12" t="str">
        <f t="shared" si="504"/>
        <v/>
      </c>
      <c r="DY135" s="19" t="str">
        <f t="shared" si="427"/>
        <v/>
      </c>
      <c r="DZ135" s="12" t="str">
        <f t="shared" si="428"/>
        <v/>
      </c>
      <c r="EA135" s="19" t="str">
        <f t="shared" si="505"/>
        <v/>
      </c>
      <c r="EB135" s="7" t="str">
        <f t="shared" si="506"/>
        <v/>
      </c>
      <c r="EC135" s="19" t="str">
        <f t="shared" si="507"/>
        <v/>
      </c>
      <c r="ED135" s="19" t="str">
        <f t="shared" si="508"/>
        <v/>
      </c>
      <c r="EE135" s="19" t="str">
        <f t="shared" si="429"/>
        <v/>
      </c>
      <c r="EF135" s="19" t="str">
        <f t="shared" si="430"/>
        <v/>
      </c>
      <c r="EG135" s="19" t="str">
        <f t="shared" si="431"/>
        <v/>
      </c>
      <c r="EH135" s="19" t="str">
        <f t="shared" si="432"/>
        <v/>
      </c>
      <c r="EI135" s="19" t="str">
        <f t="shared" si="433"/>
        <v/>
      </c>
      <c r="EJ135" s="19" t="str">
        <f t="shared" si="509"/>
        <v/>
      </c>
      <c r="EK135" s="19" t="str">
        <f t="shared" si="510"/>
        <v/>
      </c>
      <c r="EL135" s="19" t="str">
        <f t="shared" si="434"/>
        <v/>
      </c>
      <c r="EM135" s="19" t="str">
        <f t="shared" si="435"/>
        <v/>
      </c>
      <c r="EN135" s="19" t="str">
        <f t="shared" si="436"/>
        <v/>
      </c>
      <c r="EO135" s="19" t="str">
        <f t="shared" si="437"/>
        <v/>
      </c>
      <c r="EP135" s="19" t="str">
        <f t="shared" si="438"/>
        <v/>
      </c>
      <c r="EQ135" s="19" t="e">
        <f t="shared" si="439"/>
        <v>#N/A</v>
      </c>
      <c r="ER135" s="11" t="str">
        <f t="shared" si="527"/>
        <v/>
      </c>
      <c r="ES135" s="19" t="str">
        <f t="shared" si="528"/>
        <v/>
      </c>
      <c r="ET135" s="156" t="str">
        <f t="shared" si="511"/>
        <v/>
      </c>
      <c r="EU135" s="39" t="str">
        <f t="shared" si="440"/>
        <v/>
      </c>
      <c r="EV135" s="74" t="str">
        <f t="shared" si="512"/>
        <v/>
      </c>
      <c r="FA135" s="196"/>
      <c r="FB135" s="84" t="e">
        <f>IF(AND(Include_study?="Yes",Sufficient_data="Yes",Moderator&lt;&gt;""),'Moderator Analysis'!E135,NA())</f>
        <v>#N/A</v>
      </c>
      <c r="FC135" s="39" t="e">
        <f>IF(AND(Include_study?="Yes",Sufficient_data="Yes",Moderator&lt;&gt;""),'Moderator Analysis'!F135,NA())</f>
        <v>#N/A</v>
      </c>
      <c r="FD135" s="39" t="str">
        <f t="shared" si="513"/>
        <v/>
      </c>
      <c r="FE135" s="39" t="str">
        <f t="shared" si="514"/>
        <v/>
      </c>
      <c r="FF135" s="39" t="str">
        <f>IF(AND(Include_study?="Yes",Sufficient_data="Yes",Moderator&lt;&gt;""),'Moderator Analysis'!F:F-FP$2,"")</f>
        <v/>
      </c>
      <c r="FG135" s="39" t="str">
        <f>IF(AND(Include_study?="Yes",Sufficient_data="Yes",Moderator&lt;&gt;""),'Moderator Analysis'!E:E-FP$3,"")</f>
        <v/>
      </c>
      <c r="FH135" s="74" t="str">
        <f>IF(AND(Include_study?="Yes",Sufficient_data="Yes",Moderator&lt;&gt;""),FE:FE*('Moderator Analysis'!F:F-FP$5-FP$4*'Moderator Analysis'!E:E)^2,"")</f>
        <v/>
      </c>
      <c r="FI135" s="128"/>
      <c r="FJ135" s="92" t="str">
        <f t="shared" si="515"/>
        <v/>
      </c>
      <c r="FK135" s="137" t="str">
        <f>IF(AND(Include_study?="Yes",Sufficient_data="Yes",Moderator&lt;&gt;""),'Moderator Analysis'!F:F-'Moderator Analysis'!J$37,"")</f>
        <v/>
      </c>
      <c r="FL135" s="137" t="str">
        <f>IF(AND(Include_study?="Yes",Sufficient_data="Yes",Moderator&lt;&gt;""),'Moderator Analysis'!E:E-SUMPRODUCT('Moderator Analysis'!E:E,FJ:FJ)/SUM(FJ:FJ),"")</f>
        <v/>
      </c>
      <c r="FM135" s="95" t="str">
        <f>IF(AND(Include_study?="Yes",Sufficient_data="Yes",Moderator&lt;&gt;""),FJ:FJ*('Moderator Analysis'!F:F-'Moderator Analysis'!J$29-'Moderator Analysis'!J$30*'Moderator Analysis'!E:E)^2,"")</f>
        <v/>
      </c>
      <c r="FR135" s="196"/>
      <c r="FS135" s="182"/>
      <c r="FT13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5" s="39" t="str">
        <f>IF(AND(Include_study?="Yes",Sufficient_data="Yes"),1/('Publication Bias Analysis'!F:F^2+IF(Additional_model="Fixed effect",0,Calculations!GH$12)),"")</f>
        <v/>
      </c>
      <c r="FV135" s="39" t="str">
        <f>IF(AND(Include_study?="Yes",Sufficient_data="Yes"),1/('Publication Bias Analysis'!F:F^2+IF(Additional_model="Fixed effect",0,'Publication Bias Analysis'!L$32)),"")</f>
        <v/>
      </c>
      <c r="FW135" s="39" t="str">
        <f>IF(AND(Include_study?="Yes",Sufficient_data="Yes"),'Publication Bias Analysis'!E:E-'Publication Bias Analysis'!I$37,"")</f>
        <v/>
      </c>
      <c r="FX135" s="39" t="str">
        <f>IF(AND(Include_study?="Yes",Sufficient_data="Yes"),IF(Additional_model="Fixed effect",1/'Publication Bias Analysis'!F:F,1/SQRT('Publication Bias Analysis'!F:F^2+GH$12)),"")</f>
        <v/>
      </c>
      <c r="FY13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5" s="136" t="str">
        <f t="shared" si="516"/>
        <v/>
      </c>
      <c r="GA135" s="144" t="str">
        <f>IF(AND(Include_study?="Yes",Sufficient_data="Yes"),FZ:FZ+IF(GL:GL&lt;0,-1,1)*COUNTIF(FZ$2:FZ134,FZ:FZ),"")</f>
        <v/>
      </c>
      <c r="GB135" s="144" t="str">
        <f>IF(AND(Include_study?="Yes",Sufficient_data="Yes"),RANK(GP:GP,GP:GP,1)*IF(GO:GO&lt;0,-1,1)+IF(GO:GO&lt;0,-1,1)*COUNTIF(FZ$2:FZ134,FZ:FZ),"")</f>
        <v/>
      </c>
      <c r="GC135" s="144" t="str">
        <f>IF(AND(Include_study?="Yes",Sufficient_data="Yes"),RANK(GS:GS,GS:GS,1)*IF(GR:GR&lt;0,-1,1)+IF(GR:GR&lt;0,-1,1)*COUNTIF(FZ$2:FZ134,FZ:FZ),"")</f>
        <v/>
      </c>
      <c r="GD135" s="39" t="e">
        <f>IF(AND(Include_study?="Yes",Sufficient_data="Yes"),'Publication Bias Analysis'!E135,NA())</f>
        <v>#N/A</v>
      </c>
      <c r="GE135" s="74" t="e">
        <f>IF(AND(Include_study?="Yes",Sufficient_data="Yes"),'Publication Bias Analysis'!F135,NA())</f>
        <v>#N/A</v>
      </c>
      <c r="GK135" s="176"/>
      <c r="GL13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5" s="39" t="str">
        <f t="shared" si="517"/>
        <v/>
      </c>
      <c r="GN13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5" s="39" t="str">
        <f>IF(AND(Include_study?="Yes",Sufficient_data="Yes"),IF('Publication Bias Analysis'!L$38="Left",'Publication Bias Analysis'!E:E-GW$3,GW$3-'Publication Bias Analysis'!E:E),"")</f>
        <v/>
      </c>
      <c r="GP135" s="39" t="str">
        <f t="shared" si="529"/>
        <v/>
      </c>
      <c r="GQ13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5" s="39" t="str">
        <f>IF(AND(Include_study?="Yes",Sufficient_data="Yes"),IF('Publication Bias Analysis'!L$38="Left",'Publication Bias Analysis'!E:E-GW$10,GW$10-'Publication Bias Analysis'!E:E),"")</f>
        <v/>
      </c>
      <c r="GS135" s="39" t="str">
        <f t="shared" si="530"/>
        <v/>
      </c>
      <c r="GT13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5" s="176"/>
      <c r="HL135" s="69" t="str">
        <f t="shared" si="518"/>
        <v/>
      </c>
      <c r="HM135" s="74" t="str">
        <f>IF(AND(Include_study?="Yes",Sufficient_data="Yes"),Z_score-('Publication Bias Analysis'!P$3+'Publication Bias Analysis'!P$4*Inverse_standard_error),"")</f>
        <v/>
      </c>
      <c r="HO135" s="176"/>
      <c r="HP135" s="69" t="str">
        <f>IF(AND(Include_study?="Yes",Sufficient_data="Yes"),(GD:GD-SUMPRODUCT(Calculations!FT:FT,'Publication Bias Analysis'!E:E)/SUM(Calculations!FT:FT))/SQRT(Calculations!HQ:HQ),"")</f>
        <v/>
      </c>
      <c r="HQ135" s="69" t="str">
        <f>IF(AND(Include_study?="Yes",Sufficient_data="Yes"),GE:GE^2-1/SUM(Calculations!FT:FT),"")</f>
        <v/>
      </c>
      <c r="HR135" s="7" t="str">
        <f t="shared" si="441"/>
        <v/>
      </c>
      <c r="HS135" s="7" t="str">
        <f t="shared" si="442"/>
        <v/>
      </c>
      <c r="HT135" s="7" t="str">
        <f>IF(AND(Include_study?="Yes",Sufficient_data="Yes"),COUNTIFS(HR$2:HR134,"&lt;"&amp;HR135,HS$2:HS134,"&lt;"&amp;HS135)+COUNTIFS(HR136:HR$201,"&lt;"&amp;HR135,HS136:HS$201,"&lt;"&amp;HS135)+COUNTIFS(HR$2:HR134,"&gt;"&amp;HR135,HS$2:HS134,"&gt;"&amp;HS135)+COUNTIFS(HR136:HR$201,"&gt;"&amp;HR135,HS136:HS$201,"&gt;"&amp;HS135),"")</f>
        <v/>
      </c>
      <c r="HU135" s="104" t="str">
        <f>IF(AND(Include_study?="Yes",Sufficient_data="Yes"),COUNTIFS(HR$2:HR134,"&lt;"&amp;HR135,HS$2:HS134,"&gt;"&amp;HS135)+COUNTIFS(HR136:HR$201,"&lt;"&amp;HR135,HS136:HS$201,"&gt;"&amp;HS135)+COUNTIFS(HR$2:HR134,"&gt;"&amp;HR135,HS$2:HS134,"&lt;"&amp;HS135)+COUNTIFS(HR136:HR$201,"&gt;"&amp;HR135,HS136:HS$201,"&lt;"&amp;HS135),"")</f>
        <v/>
      </c>
      <c r="HW135" s="176"/>
      <c r="IB135" s="176"/>
      <c r="IC135" s="146" t="e">
        <f t="shared" si="519"/>
        <v>#N/A</v>
      </c>
      <c r="ID135" s="137" t="e">
        <f t="shared" si="520"/>
        <v>#N/A</v>
      </c>
      <c r="IE135" s="137" t="str">
        <f t="shared" si="521"/>
        <v/>
      </c>
      <c r="IF135" s="95" t="str">
        <f t="shared" si="522"/>
        <v/>
      </c>
      <c r="IK135" s="176"/>
      <c r="IL135" s="69" t="e">
        <f>IF(AND(Include_study?="Yes",Sufficient_data="Yes"),'Publication Bias Analysis'!AV:AV,NA())</f>
        <v>#N/A</v>
      </c>
      <c r="IM135" s="158" t="e">
        <f>IF(AND(Sufficient_data="Yes",Include_study?="Yes"),'Publication Bias Analysis'!AU:AU,NA())</f>
        <v>#N/A</v>
      </c>
      <c r="IN135" s="69" t="str">
        <f t="shared" si="418"/>
        <v/>
      </c>
      <c r="IO135" s="74" t="str">
        <f>IF(AND(Include_study?="Yes",Sufficient_data="Yes"),Z_score-('Publication Bias Analysis'!AY$30+'Publication Bias Analysis'!AY$31*Inverse_standard_error),"")</f>
        <v/>
      </c>
      <c r="IU135" s="176"/>
      <c r="IV135" s="7" t="str">
        <f>IF('Publication Bias Analysis'!BG:BG&lt;&gt;"",RANK('Publication Bias Analysis'!BG:BG,'Publication Bias Analysis'!BG:BG,1)+COUNTIF('Publication Bias Analysis'!BG$2:BG134,'Publication Bias Analysis'!BG135),"")</f>
        <v/>
      </c>
      <c r="IW135" s="124" t="str">
        <f t="shared" si="523"/>
        <v/>
      </c>
      <c r="IX135" s="125" t="e">
        <f>IF('Publication Bias Analysis'!BF135&lt;&gt;"",'Publication Bias Analysis'!BF135,NA())</f>
        <v>#N/A</v>
      </c>
      <c r="IY135" s="125" t="e">
        <f>IF('Publication Bias Analysis'!BG135&lt;&gt;"",'Publication Bias Analysis'!BG135,NA())</f>
        <v>#N/A</v>
      </c>
      <c r="IZ135" s="69" t="str">
        <f>IF(AND(Include_study?="Yes",Sufficient_data="Yes"),'Publication Bias Analysis'!BF:BF-AVERAGE('Publication Bias Analysis'!BF:BF),"")</f>
        <v/>
      </c>
      <c r="JA135" s="74" t="str">
        <f>IF(AND(Include_study?="Yes",Sufficient_data="Yes"),'Publication Bias Analysis'!BG:BG-('Publication Bias Analysis'!BJ$30+'Publication Bias Analysis'!BJ$31*'Publication Bias Analysis'!BF:BF),"")</f>
        <v/>
      </c>
      <c r="JG135" s="176"/>
      <c r="JH135" s="39" t="str">
        <f t="shared" si="524"/>
        <v/>
      </c>
      <c r="JI135" s="148" t="str">
        <f t="shared" si="531"/>
        <v/>
      </c>
      <c r="JJ135" s="74" t="str">
        <f t="shared" si="532"/>
        <v/>
      </c>
    </row>
    <row r="136" spans="1:270" x14ac:dyDescent="0.2">
      <c r="A136" s="56" t="str">
        <f t="shared" si="334"/>
        <v/>
      </c>
      <c r="B136" s="7" t="str">
        <f>IF(AND(Include_study?="Yes",Sufficient_data="Yes"),IF(Input!a_&lt;&gt;"",Input!a_,Input!n1_-Input!b_),"")</f>
        <v/>
      </c>
      <c r="C136" s="7" t="str">
        <f>IF(AND(Include_study?="Yes",Sufficient_data="Yes"),IF(Input!b_&lt;&gt;"",Input!b_,Input!n1_-Input!a_),"")</f>
        <v/>
      </c>
      <c r="D136" s="7" t="str">
        <f>IF(AND(Include_study?="Yes",Sufficient_data="Yes"),IF(Input!c_&lt;&gt;"",Input!c_,Input!n2_-Input!d_),"")</f>
        <v/>
      </c>
      <c r="E136" s="7" t="str">
        <f>IF(AND(Include_study?="Yes",Sufficient_data="Yes"),IF(Input!d_&lt;&gt;"",Input!d_,Input!n2_-Input!c_),"")</f>
        <v/>
      </c>
      <c r="F136" s="74" t="str">
        <f t="shared" si="443"/>
        <v/>
      </c>
      <c r="H136" s="196"/>
      <c r="I136" s="182"/>
      <c r="J136" s="146" t="str">
        <f t="shared" si="444"/>
        <v/>
      </c>
      <c r="K136" s="39" t="str">
        <f t="shared" si="445"/>
        <v/>
      </c>
      <c r="L136" s="39" t="str">
        <f t="shared" si="446"/>
        <v/>
      </c>
      <c r="M136" s="39" t="str">
        <f t="shared" si="447"/>
        <v/>
      </c>
      <c r="N136" s="74" t="str">
        <f t="shared" si="448"/>
        <v/>
      </c>
      <c r="P136" s="176"/>
      <c r="Q136" s="130" t="str">
        <f t="shared" si="449"/>
        <v/>
      </c>
      <c r="R136" s="39" t="str">
        <f t="shared" si="450"/>
        <v/>
      </c>
      <c r="S136" s="39" t="str">
        <f t="shared" si="451"/>
        <v/>
      </c>
      <c r="T136" s="74" t="str">
        <f t="shared" si="452"/>
        <v/>
      </c>
      <c r="V136" s="176"/>
      <c r="W136" s="130" t="str">
        <f t="shared" si="453"/>
        <v/>
      </c>
      <c r="X136" s="39" t="str">
        <f t="shared" si="454"/>
        <v/>
      </c>
      <c r="Y136" s="39" t="str">
        <f t="shared" si="455"/>
        <v/>
      </c>
      <c r="Z136" s="74" t="str">
        <f t="shared" si="456"/>
        <v/>
      </c>
      <c r="AB136" s="176"/>
      <c r="AC136" s="130" t="str">
        <f t="shared" si="457"/>
        <v/>
      </c>
      <c r="AD136" s="39" t="str">
        <f t="shared" si="458"/>
        <v/>
      </c>
      <c r="AE136" s="39" t="str">
        <f t="shared" si="459"/>
        <v/>
      </c>
      <c r="AF136" s="39" t="str">
        <f t="shared" si="460"/>
        <v/>
      </c>
      <c r="AG136" s="74" t="str">
        <f t="shared" si="461"/>
        <v/>
      </c>
      <c r="AI136" s="196"/>
      <c r="AJ13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6" s="136" t="str">
        <f>IF(AJ136&lt;&gt;"",IF(AJ136=0,COUNTIF(AJ$2:AJ135,0)+1,COUNTIF(AJ$2:AJ135,AJ136)+AJ136+COUNTIF(AJ:AJ,0)),"")</f>
        <v/>
      </c>
      <c r="AL136" s="136" t="str">
        <f t="shared" si="462"/>
        <v/>
      </c>
      <c r="AM136" s="155" t="str">
        <f>IF(AND(Include_study?="Yes",Sufficient_data="Yes",Input!Study_name&lt;&gt;""),Input!Study_name,"")</f>
        <v/>
      </c>
      <c r="AN136" s="136" t="str">
        <f t="shared" si="463"/>
        <v/>
      </c>
      <c r="AO136" s="19" t="str">
        <f t="shared" si="464"/>
        <v/>
      </c>
      <c r="AP136" s="158" t="str">
        <f t="shared" si="465"/>
        <v/>
      </c>
      <c r="AQ136" s="158" t="str">
        <f t="shared" si="466"/>
        <v/>
      </c>
      <c r="AR136" s="39" t="str">
        <f t="shared" si="467"/>
        <v/>
      </c>
      <c r="AS136" s="158" t="str">
        <f t="shared" si="468"/>
        <v/>
      </c>
      <c r="AT136" s="39" t="str">
        <f t="shared" si="469"/>
        <v/>
      </c>
      <c r="AU136" s="172" t="str">
        <f t="shared" si="470"/>
        <v/>
      </c>
      <c r="AV136" s="45"/>
      <c r="AW136" s="84" t="e">
        <f t="shared" si="360"/>
        <v>#N/A</v>
      </c>
      <c r="AX136" s="69" t="e">
        <f t="shared" si="471"/>
        <v>#N/A</v>
      </c>
      <c r="AY136" s="74" t="e">
        <f t="shared" si="472"/>
        <v>#N/A</v>
      </c>
      <c r="AZ136" s="45"/>
      <c r="BA136" s="45"/>
      <c r="BB136" s="45"/>
      <c r="BC136" s="45"/>
      <c r="BD136" s="196"/>
      <c r="BE136" s="182"/>
      <c r="BF136" s="69" t="str">
        <f t="shared" si="363"/>
        <v/>
      </c>
      <c r="BG136" s="69" t="str">
        <f t="shared" si="364"/>
        <v/>
      </c>
      <c r="BH136" s="69" t="str">
        <f t="shared" si="365"/>
        <v/>
      </c>
      <c r="BI136" s="39" t="str">
        <f t="shared" si="366"/>
        <v/>
      </c>
      <c r="BJ136" s="95" t="str">
        <f t="shared" si="473"/>
        <v/>
      </c>
      <c r="BO136" s="176"/>
      <c r="BP136" s="158" t="str">
        <f t="shared" si="474"/>
        <v/>
      </c>
      <c r="BQ136" s="158" t="str">
        <f t="shared" si="475"/>
        <v/>
      </c>
      <c r="BR136" s="158" t="str">
        <f t="shared" si="476"/>
        <v/>
      </c>
      <c r="BS136" s="158" t="str">
        <f>IF(AND(Sufficient_data="Yes",Include_study?="Yes"),IF(Add_0_5="Yes",(a_+d_+1)*(ab_+0.5)*(c_+0.5)/(Number_of_subjects+2)^2,(a_+d_)*b_*c_/Number_of_subjects^2),"")</f>
        <v/>
      </c>
      <c r="BT136" s="158" t="str">
        <f t="shared" si="477"/>
        <v/>
      </c>
      <c r="BU136" s="158" t="str">
        <f t="shared" si="478"/>
        <v/>
      </c>
      <c r="BV136" s="158" t="str">
        <f t="shared" si="479"/>
        <v/>
      </c>
      <c r="BW136" s="69" t="str">
        <f t="shared" si="374"/>
        <v/>
      </c>
      <c r="BX136" s="137" t="str">
        <f t="shared" si="375"/>
        <v/>
      </c>
      <c r="BY136" s="95" t="str">
        <f t="shared" si="480"/>
        <v/>
      </c>
      <c r="CD136" s="176"/>
      <c r="CE136" s="130" t="str">
        <f t="shared" si="481"/>
        <v/>
      </c>
      <c r="CF136" s="39" t="str">
        <f t="shared" si="482"/>
        <v/>
      </c>
      <c r="CG136" s="39" t="str">
        <f t="shared" si="483"/>
        <v/>
      </c>
      <c r="CH136" s="39" t="str">
        <f t="shared" si="484"/>
        <v/>
      </c>
      <c r="CI136" s="39" t="str">
        <f t="shared" si="485"/>
        <v/>
      </c>
      <c r="CJ136" s="39" t="str">
        <f t="shared" si="486"/>
        <v/>
      </c>
      <c r="CK136" s="95" t="str">
        <f t="shared" si="487"/>
        <v/>
      </c>
      <c r="CP136" s="176"/>
      <c r="CQ136" s="99" t="str">
        <f t="shared" si="383"/>
        <v/>
      </c>
      <c r="CX136" s="196"/>
      <c r="CY136" s="89" t="e">
        <f t="shared" si="488"/>
        <v>#N/A</v>
      </c>
      <c r="CZ136" s="136" t="str">
        <f t="shared" si="489"/>
        <v/>
      </c>
      <c r="DA136" s="140" t="str">
        <f t="shared" si="490"/>
        <v/>
      </c>
      <c r="DB136" s="39" t="str">
        <f t="shared" si="491"/>
        <v/>
      </c>
      <c r="DC136" s="39" t="str">
        <f t="shared" si="492"/>
        <v/>
      </c>
      <c r="DD136" s="39" t="str">
        <f t="shared" si="493"/>
        <v/>
      </c>
      <c r="DE136" s="39" t="str">
        <f t="shared" si="494"/>
        <v/>
      </c>
      <c r="DF136" s="141" t="str">
        <f t="shared" si="495"/>
        <v/>
      </c>
      <c r="DG136" s="39" t="str">
        <f t="shared" si="496"/>
        <v/>
      </c>
      <c r="DH136" s="39" t="str">
        <f t="shared" si="497"/>
        <v/>
      </c>
      <c r="DI136" s="39" t="str">
        <f t="shared" si="498"/>
        <v/>
      </c>
      <c r="DJ136" s="74" t="str">
        <f t="shared" si="499"/>
        <v/>
      </c>
      <c r="DK136" s="45"/>
      <c r="DL136" s="84" t="e">
        <f t="shared" si="423"/>
        <v>#N/A</v>
      </c>
      <c r="DM136" s="39" t="e">
        <f t="shared" si="500"/>
        <v>#N/A</v>
      </c>
      <c r="DN136" s="74" t="e">
        <f t="shared" si="501"/>
        <v>#N/A</v>
      </c>
      <c r="DO136" s="45"/>
      <c r="DP136" s="89" t="str">
        <f t="shared" si="525"/>
        <v/>
      </c>
      <c r="DQ136" s="26" t="str">
        <f>IF(AND(Sufficient_data="Yes",Subgroup&lt;&gt;""),IF(COUNTIFS(Input!J$2:J135,"="&amp;"Yes",Input!C$2:C135,"="&amp;"Yes",Input!K$2:K135,"="&amp;Subgroup)&gt;0,"",Subgroup),"")</f>
        <v/>
      </c>
      <c r="DR136" s="7" t="str">
        <f t="shared" si="526"/>
        <v/>
      </c>
      <c r="DS136" s="7" t="str">
        <f t="shared" si="502"/>
        <v/>
      </c>
      <c r="DT136" s="19" t="str">
        <f t="shared" si="503"/>
        <v/>
      </c>
      <c r="DU136" s="12" t="str">
        <f t="shared" si="424"/>
        <v/>
      </c>
      <c r="DV136" s="11" t="str">
        <f t="shared" si="425"/>
        <v/>
      </c>
      <c r="DW136" s="12" t="str">
        <f t="shared" si="426"/>
        <v/>
      </c>
      <c r="DX136" s="12" t="str">
        <f t="shared" si="504"/>
        <v/>
      </c>
      <c r="DY136" s="19" t="str">
        <f t="shared" si="427"/>
        <v/>
      </c>
      <c r="DZ136" s="12" t="str">
        <f t="shared" si="428"/>
        <v/>
      </c>
      <c r="EA136" s="19" t="str">
        <f t="shared" si="505"/>
        <v/>
      </c>
      <c r="EB136" s="7" t="str">
        <f t="shared" si="506"/>
        <v/>
      </c>
      <c r="EC136" s="19" t="str">
        <f t="shared" si="507"/>
        <v/>
      </c>
      <c r="ED136" s="19" t="str">
        <f t="shared" si="508"/>
        <v/>
      </c>
      <c r="EE136" s="19" t="str">
        <f t="shared" si="429"/>
        <v/>
      </c>
      <c r="EF136" s="19" t="str">
        <f t="shared" si="430"/>
        <v/>
      </c>
      <c r="EG136" s="19" t="str">
        <f t="shared" si="431"/>
        <v/>
      </c>
      <c r="EH136" s="19" t="str">
        <f t="shared" si="432"/>
        <v/>
      </c>
      <c r="EI136" s="19" t="str">
        <f t="shared" si="433"/>
        <v/>
      </c>
      <c r="EJ136" s="19" t="str">
        <f t="shared" si="509"/>
        <v/>
      </c>
      <c r="EK136" s="19" t="str">
        <f t="shared" si="510"/>
        <v/>
      </c>
      <c r="EL136" s="19" t="str">
        <f t="shared" si="434"/>
        <v/>
      </c>
      <c r="EM136" s="19" t="str">
        <f t="shared" si="435"/>
        <v/>
      </c>
      <c r="EN136" s="19" t="str">
        <f t="shared" si="436"/>
        <v/>
      </c>
      <c r="EO136" s="19" t="str">
        <f t="shared" si="437"/>
        <v/>
      </c>
      <c r="EP136" s="19" t="str">
        <f t="shared" si="438"/>
        <v/>
      </c>
      <c r="EQ136" s="19" t="e">
        <f t="shared" si="439"/>
        <v>#N/A</v>
      </c>
      <c r="ER136" s="11" t="str">
        <f t="shared" si="527"/>
        <v/>
      </c>
      <c r="ES136" s="19" t="str">
        <f t="shared" si="528"/>
        <v/>
      </c>
      <c r="ET136" s="156" t="str">
        <f t="shared" si="511"/>
        <v/>
      </c>
      <c r="EU136" s="39" t="str">
        <f t="shared" si="440"/>
        <v/>
      </c>
      <c r="EV136" s="74" t="str">
        <f t="shared" si="512"/>
        <v/>
      </c>
      <c r="FA136" s="196"/>
      <c r="FB136" s="84" t="e">
        <f>IF(AND(Include_study?="Yes",Sufficient_data="Yes",Moderator&lt;&gt;""),'Moderator Analysis'!E136,NA())</f>
        <v>#N/A</v>
      </c>
      <c r="FC136" s="39" t="e">
        <f>IF(AND(Include_study?="Yes",Sufficient_data="Yes",Moderator&lt;&gt;""),'Moderator Analysis'!F136,NA())</f>
        <v>#N/A</v>
      </c>
      <c r="FD136" s="39" t="str">
        <f t="shared" si="513"/>
        <v/>
      </c>
      <c r="FE136" s="39" t="str">
        <f t="shared" si="514"/>
        <v/>
      </c>
      <c r="FF136" s="39" t="str">
        <f>IF(AND(Include_study?="Yes",Sufficient_data="Yes",Moderator&lt;&gt;""),'Moderator Analysis'!F:F-FP$2,"")</f>
        <v/>
      </c>
      <c r="FG136" s="39" t="str">
        <f>IF(AND(Include_study?="Yes",Sufficient_data="Yes",Moderator&lt;&gt;""),'Moderator Analysis'!E:E-FP$3,"")</f>
        <v/>
      </c>
      <c r="FH136" s="74" t="str">
        <f>IF(AND(Include_study?="Yes",Sufficient_data="Yes",Moderator&lt;&gt;""),FE:FE*('Moderator Analysis'!F:F-FP$5-FP$4*'Moderator Analysis'!E:E)^2,"")</f>
        <v/>
      </c>
      <c r="FI136" s="128"/>
      <c r="FJ136" s="92" t="str">
        <f t="shared" si="515"/>
        <v/>
      </c>
      <c r="FK136" s="137" t="str">
        <f>IF(AND(Include_study?="Yes",Sufficient_data="Yes",Moderator&lt;&gt;""),'Moderator Analysis'!F:F-'Moderator Analysis'!J$37,"")</f>
        <v/>
      </c>
      <c r="FL136" s="137" t="str">
        <f>IF(AND(Include_study?="Yes",Sufficient_data="Yes",Moderator&lt;&gt;""),'Moderator Analysis'!E:E-SUMPRODUCT('Moderator Analysis'!E:E,FJ:FJ)/SUM(FJ:FJ),"")</f>
        <v/>
      </c>
      <c r="FM136" s="95" t="str">
        <f>IF(AND(Include_study?="Yes",Sufficient_data="Yes",Moderator&lt;&gt;""),FJ:FJ*('Moderator Analysis'!F:F-'Moderator Analysis'!J$29-'Moderator Analysis'!J$30*'Moderator Analysis'!E:E)^2,"")</f>
        <v/>
      </c>
      <c r="FR136" s="196"/>
      <c r="FS136" s="182"/>
      <c r="FT13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6" s="39" t="str">
        <f>IF(AND(Include_study?="Yes",Sufficient_data="Yes"),1/('Publication Bias Analysis'!F:F^2+IF(Additional_model="Fixed effect",0,Calculations!GH$12)),"")</f>
        <v/>
      </c>
      <c r="FV136" s="39" t="str">
        <f>IF(AND(Include_study?="Yes",Sufficient_data="Yes"),1/('Publication Bias Analysis'!F:F^2+IF(Additional_model="Fixed effect",0,'Publication Bias Analysis'!L$32)),"")</f>
        <v/>
      </c>
      <c r="FW136" s="39" t="str">
        <f>IF(AND(Include_study?="Yes",Sufficient_data="Yes"),'Publication Bias Analysis'!E:E-'Publication Bias Analysis'!I$37,"")</f>
        <v/>
      </c>
      <c r="FX136" s="39" t="str">
        <f>IF(AND(Include_study?="Yes",Sufficient_data="Yes"),IF(Additional_model="Fixed effect",1/'Publication Bias Analysis'!F:F,1/SQRT('Publication Bias Analysis'!F:F^2+GH$12)),"")</f>
        <v/>
      </c>
      <c r="FY13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6" s="136" t="str">
        <f t="shared" si="516"/>
        <v/>
      </c>
      <c r="GA136" s="144" t="str">
        <f>IF(AND(Include_study?="Yes",Sufficient_data="Yes"),FZ:FZ+IF(GL:GL&lt;0,-1,1)*COUNTIF(FZ$2:FZ135,FZ:FZ),"")</f>
        <v/>
      </c>
      <c r="GB136" s="144" t="str">
        <f>IF(AND(Include_study?="Yes",Sufficient_data="Yes"),RANK(GP:GP,GP:GP,1)*IF(GO:GO&lt;0,-1,1)+IF(GO:GO&lt;0,-1,1)*COUNTIF(FZ$2:FZ135,FZ:FZ),"")</f>
        <v/>
      </c>
      <c r="GC136" s="144" t="str">
        <f>IF(AND(Include_study?="Yes",Sufficient_data="Yes"),RANK(GS:GS,GS:GS,1)*IF(GR:GR&lt;0,-1,1)+IF(GR:GR&lt;0,-1,1)*COUNTIF(FZ$2:FZ135,FZ:FZ),"")</f>
        <v/>
      </c>
      <c r="GD136" s="39" t="e">
        <f>IF(AND(Include_study?="Yes",Sufficient_data="Yes"),'Publication Bias Analysis'!E136,NA())</f>
        <v>#N/A</v>
      </c>
      <c r="GE136" s="74" t="e">
        <f>IF(AND(Include_study?="Yes",Sufficient_data="Yes"),'Publication Bias Analysis'!F136,NA())</f>
        <v>#N/A</v>
      </c>
      <c r="GK136" s="176"/>
      <c r="GL13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6" s="39" t="str">
        <f t="shared" si="517"/>
        <v/>
      </c>
      <c r="GN13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6" s="39" t="str">
        <f>IF(AND(Include_study?="Yes",Sufficient_data="Yes"),IF('Publication Bias Analysis'!L$38="Left",'Publication Bias Analysis'!E:E-GW$3,GW$3-'Publication Bias Analysis'!E:E),"")</f>
        <v/>
      </c>
      <c r="GP136" s="39" t="str">
        <f t="shared" si="529"/>
        <v/>
      </c>
      <c r="GQ13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6" s="39" t="str">
        <f>IF(AND(Include_study?="Yes",Sufficient_data="Yes"),IF('Publication Bias Analysis'!L$38="Left",'Publication Bias Analysis'!E:E-GW$10,GW$10-'Publication Bias Analysis'!E:E),"")</f>
        <v/>
      </c>
      <c r="GS136" s="39" t="str">
        <f t="shared" si="530"/>
        <v/>
      </c>
      <c r="GT13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6" s="176"/>
      <c r="HL136" s="69" t="str">
        <f t="shared" si="518"/>
        <v/>
      </c>
      <c r="HM136" s="74" t="str">
        <f>IF(AND(Include_study?="Yes",Sufficient_data="Yes"),Z_score-('Publication Bias Analysis'!P$3+'Publication Bias Analysis'!P$4*Inverse_standard_error),"")</f>
        <v/>
      </c>
      <c r="HO136" s="176"/>
      <c r="HP136" s="69" t="str">
        <f>IF(AND(Include_study?="Yes",Sufficient_data="Yes"),(GD:GD-SUMPRODUCT(Calculations!FT:FT,'Publication Bias Analysis'!E:E)/SUM(Calculations!FT:FT))/SQRT(Calculations!HQ:HQ),"")</f>
        <v/>
      </c>
      <c r="HQ136" s="69" t="str">
        <f>IF(AND(Include_study?="Yes",Sufficient_data="Yes"),GE:GE^2-1/SUM(Calculations!FT:FT),"")</f>
        <v/>
      </c>
      <c r="HR136" s="7" t="str">
        <f t="shared" si="441"/>
        <v/>
      </c>
      <c r="HS136" s="7" t="str">
        <f t="shared" si="442"/>
        <v/>
      </c>
      <c r="HT136" s="7" t="str">
        <f>IF(AND(Include_study?="Yes",Sufficient_data="Yes"),COUNTIFS(HR$2:HR135,"&lt;"&amp;HR136,HS$2:HS135,"&lt;"&amp;HS136)+COUNTIFS(HR137:HR$201,"&lt;"&amp;HR136,HS137:HS$201,"&lt;"&amp;HS136)+COUNTIFS(HR$2:HR135,"&gt;"&amp;HR136,HS$2:HS135,"&gt;"&amp;HS136)+COUNTIFS(HR137:HR$201,"&gt;"&amp;HR136,HS137:HS$201,"&gt;"&amp;HS136),"")</f>
        <v/>
      </c>
      <c r="HU136" s="104" t="str">
        <f>IF(AND(Include_study?="Yes",Sufficient_data="Yes"),COUNTIFS(HR$2:HR135,"&lt;"&amp;HR136,HS$2:HS135,"&gt;"&amp;HS136)+COUNTIFS(HR137:HR$201,"&lt;"&amp;HR136,HS137:HS$201,"&gt;"&amp;HS136)+COUNTIFS(HR$2:HR135,"&gt;"&amp;HR136,HS$2:HS135,"&lt;"&amp;HS136)+COUNTIFS(HR137:HR$201,"&gt;"&amp;HR136,HS137:HS$201,"&lt;"&amp;HS136),"")</f>
        <v/>
      </c>
      <c r="HW136" s="176"/>
      <c r="IB136" s="176"/>
      <c r="IC136" s="146" t="e">
        <f t="shared" si="519"/>
        <v>#N/A</v>
      </c>
      <c r="ID136" s="137" t="e">
        <f t="shared" si="520"/>
        <v>#N/A</v>
      </c>
      <c r="IE136" s="137" t="str">
        <f t="shared" si="521"/>
        <v/>
      </c>
      <c r="IF136" s="95" t="str">
        <f t="shared" si="522"/>
        <v/>
      </c>
      <c r="IK136" s="176"/>
      <c r="IL136" s="69" t="e">
        <f>IF(AND(Include_study?="Yes",Sufficient_data="Yes"),'Publication Bias Analysis'!AV:AV,NA())</f>
        <v>#N/A</v>
      </c>
      <c r="IM136" s="158" t="e">
        <f>IF(AND(Sufficient_data="Yes",Include_study?="Yes"),'Publication Bias Analysis'!AU:AU,NA())</f>
        <v>#N/A</v>
      </c>
      <c r="IN136" s="69" t="str">
        <f t="shared" si="418"/>
        <v/>
      </c>
      <c r="IO136" s="74" t="str">
        <f>IF(AND(Include_study?="Yes",Sufficient_data="Yes"),Z_score-('Publication Bias Analysis'!AY$30+'Publication Bias Analysis'!AY$31*Inverse_standard_error),"")</f>
        <v/>
      </c>
      <c r="IU136" s="176"/>
      <c r="IV136" s="7" t="str">
        <f>IF('Publication Bias Analysis'!BG:BG&lt;&gt;"",RANK('Publication Bias Analysis'!BG:BG,'Publication Bias Analysis'!BG:BG,1)+COUNTIF('Publication Bias Analysis'!BG$2:BG135,'Publication Bias Analysis'!BG136),"")</f>
        <v/>
      </c>
      <c r="IW136" s="124" t="str">
        <f t="shared" si="523"/>
        <v/>
      </c>
      <c r="IX136" s="125" t="e">
        <f>IF('Publication Bias Analysis'!BF136&lt;&gt;"",'Publication Bias Analysis'!BF136,NA())</f>
        <v>#N/A</v>
      </c>
      <c r="IY136" s="125" t="e">
        <f>IF('Publication Bias Analysis'!BG136&lt;&gt;"",'Publication Bias Analysis'!BG136,NA())</f>
        <v>#N/A</v>
      </c>
      <c r="IZ136" s="69" t="str">
        <f>IF(AND(Include_study?="Yes",Sufficient_data="Yes"),'Publication Bias Analysis'!BF:BF-AVERAGE('Publication Bias Analysis'!BF:BF),"")</f>
        <v/>
      </c>
      <c r="JA136" s="74" t="str">
        <f>IF(AND(Include_study?="Yes",Sufficient_data="Yes"),'Publication Bias Analysis'!BG:BG-('Publication Bias Analysis'!BJ$30+'Publication Bias Analysis'!BJ$31*'Publication Bias Analysis'!BF:BF),"")</f>
        <v/>
      </c>
      <c r="JG136" s="176"/>
      <c r="JH136" s="39" t="str">
        <f t="shared" si="524"/>
        <v/>
      </c>
      <c r="JI136" s="148" t="str">
        <f t="shared" si="531"/>
        <v/>
      </c>
      <c r="JJ136" s="74" t="str">
        <f t="shared" si="532"/>
        <v/>
      </c>
    </row>
    <row r="137" spans="1:270" x14ac:dyDescent="0.2">
      <c r="A137" s="56" t="str">
        <f t="shared" si="334"/>
        <v/>
      </c>
      <c r="B137" s="7" t="str">
        <f>IF(AND(Include_study?="Yes",Sufficient_data="Yes"),IF(Input!a_&lt;&gt;"",Input!a_,Input!n1_-Input!b_),"")</f>
        <v/>
      </c>
      <c r="C137" s="7" t="str">
        <f>IF(AND(Include_study?="Yes",Sufficient_data="Yes"),IF(Input!b_&lt;&gt;"",Input!b_,Input!n1_-Input!a_),"")</f>
        <v/>
      </c>
      <c r="D137" s="7" t="str">
        <f>IF(AND(Include_study?="Yes",Sufficient_data="Yes"),IF(Input!c_&lt;&gt;"",Input!c_,Input!n2_-Input!d_),"")</f>
        <v/>
      </c>
      <c r="E137" s="7" t="str">
        <f>IF(AND(Include_study?="Yes",Sufficient_data="Yes"),IF(Input!d_&lt;&gt;"",Input!d_,Input!n2_-Input!c_),"")</f>
        <v/>
      </c>
      <c r="F137" s="74" t="str">
        <f t="shared" si="443"/>
        <v/>
      </c>
      <c r="H137" s="196"/>
      <c r="I137" s="182"/>
      <c r="J137" s="146" t="str">
        <f t="shared" si="444"/>
        <v/>
      </c>
      <c r="K137" s="39" t="str">
        <f t="shared" si="445"/>
        <v/>
      </c>
      <c r="L137" s="39" t="str">
        <f t="shared" si="446"/>
        <v/>
      </c>
      <c r="M137" s="39" t="str">
        <f t="shared" si="447"/>
        <v/>
      </c>
      <c r="N137" s="74" t="str">
        <f t="shared" si="448"/>
        <v/>
      </c>
      <c r="P137" s="176"/>
      <c r="Q137" s="130" t="str">
        <f t="shared" si="449"/>
        <v/>
      </c>
      <c r="R137" s="39" t="str">
        <f t="shared" si="450"/>
        <v/>
      </c>
      <c r="S137" s="39" t="str">
        <f t="shared" si="451"/>
        <v/>
      </c>
      <c r="T137" s="74" t="str">
        <f t="shared" si="452"/>
        <v/>
      </c>
      <c r="V137" s="176"/>
      <c r="W137" s="130" t="str">
        <f t="shared" si="453"/>
        <v/>
      </c>
      <c r="X137" s="39" t="str">
        <f t="shared" si="454"/>
        <v/>
      </c>
      <c r="Y137" s="39" t="str">
        <f t="shared" si="455"/>
        <v/>
      </c>
      <c r="Z137" s="74" t="str">
        <f t="shared" si="456"/>
        <v/>
      </c>
      <c r="AB137" s="176"/>
      <c r="AC137" s="130" t="str">
        <f t="shared" si="457"/>
        <v/>
      </c>
      <c r="AD137" s="39" t="str">
        <f t="shared" si="458"/>
        <v/>
      </c>
      <c r="AE137" s="39" t="str">
        <f t="shared" si="459"/>
        <v/>
      </c>
      <c r="AF137" s="39" t="str">
        <f t="shared" si="460"/>
        <v/>
      </c>
      <c r="AG137" s="74" t="str">
        <f t="shared" si="461"/>
        <v/>
      </c>
      <c r="AI137" s="196"/>
      <c r="AJ13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7" s="136" t="str">
        <f>IF(AJ137&lt;&gt;"",IF(AJ137=0,COUNTIF(AJ$2:AJ136,0)+1,COUNTIF(AJ$2:AJ136,AJ137)+AJ137+COUNTIF(AJ:AJ,0)),"")</f>
        <v/>
      </c>
      <c r="AL137" s="136" t="str">
        <f t="shared" si="462"/>
        <v/>
      </c>
      <c r="AM137" s="155" t="str">
        <f>IF(AND(Include_study?="Yes",Sufficient_data="Yes",Input!Study_name&lt;&gt;""),Input!Study_name,"")</f>
        <v/>
      </c>
      <c r="AN137" s="136" t="str">
        <f t="shared" si="463"/>
        <v/>
      </c>
      <c r="AO137" s="19" t="str">
        <f t="shared" si="464"/>
        <v/>
      </c>
      <c r="AP137" s="158" t="str">
        <f t="shared" si="465"/>
        <v/>
      </c>
      <c r="AQ137" s="158" t="str">
        <f t="shared" si="466"/>
        <v/>
      </c>
      <c r="AR137" s="39" t="str">
        <f t="shared" si="467"/>
        <v/>
      </c>
      <c r="AS137" s="158" t="str">
        <f t="shared" si="468"/>
        <v/>
      </c>
      <c r="AT137" s="39" t="str">
        <f t="shared" si="469"/>
        <v/>
      </c>
      <c r="AU137" s="172" t="str">
        <f t="shared" si="470"/>
        <v/>
      </c>
      <c r="AV137" s="45"/>
      <c r="AW137" s="84" t="e">
        <f t="shared" si="360"/>
        <v>#N/A</v>
      </c>
      <c r="AX137" s="69" t="e">
        <f t="shared" si="471"/>
        <v>#N/A</v>
      </c>
      <c r="AY137" s="74" t="e">
        <f t="shared" si="472"/>
        <v>#N/A</v>
      </c>
      <c r="AZ137" s="45"/>
      <c r="BA137" s="45"/>
      <c r="BB137" s="45"/>
      <c r="BC137" s="45"/>
      <c r="BD137" s="196"/>
      <c r="BE137" s="182"/>
      <c r="BF137" s="69" t="str">
        <f t="shared" si="363"/>
        <v/>
      </c>
      <c r="BG137" s="69" t="str">
        <f t="shared" si="364"/>
        <v/>
      </c>
      <c r="BH137" s="69" t="str">
        <f t="shared" si="365"/>
        <v/>
      </c>
      <c r="BI137" s="39" t="str">
        <f t="shared" si="366"/>
        <v/>
      </c>
      <c r="BJ137" s="95" t="str">
        <f t="shared" si="473"/>
        <v/>
      </c>
      <c r="BO137" s="176"/>
      <c r="BP137" s="158" t="str">
        <f t="shared" si="474"/>
        <v/>
      </c>
      <c r="BQ137" s="158" t="str">
        <f t="shared" si="475"/>
        <v/>
      </c>
      <c r="BR137" s="158" t="str">
        <f t="shared" si="476"/>
        <v/>
      </c>
      <c r="BS137" s="158" t="str">
        <f>IF(AND(Sufficient_data="Yes",Include_study?="Yes"),IF(Add_0_5="Yes",(a_+d_+1)*(ab_+0.5)*(c_+0.5)/(Number_of_subjects+2)^2,(a_+d_)*b_*c_/Number_of_subjects^2),"")</f>
        <v/>
      </c>
      <c r="BT137" s="158" t="str">
        <f t="shared" si="477"/>
        <v/>
      </c>
      <c r="BU137" s="158" t="str">
        <f t="shared" si="478"/>
        <v/>
      </c>
      <c r="BV137" s="158" t="str">
        <f t="shared" si="479"/>
        <v/>
      </c>
      <c r="BW137" s="69" t="str">
        <f t="shared" si="374"/>
        <v/>
      </c>
      <c r="BX137" s="137" t="str">
        <f t="shared" si="375"/>
        <v/>
      </c>
      <c r="BY137" s="95" t="str">
        <f t="shared" si="480"/>
        <v/>
      </c>
      <c r="CD137" s="176"/>
      <c r="CE137" s="130" t="str">
        <f t="shared" si="481"/>
        <v/>
      </c>
      <c r="CF137" s="39" t="str">
        <f t="shared" si="482"/>
        <v/>
      </c>
      <c r="CG137" s="39" t="str">
        <f t="shared" si="483"/>
        <v/>
      </c>
      <c r="CH137" s="39" t="str">
        <f t="shared" si="484"/>
        <v/>
      </c>
      <c r="CI137" s="39" t="str">
        <f t="shared" si="485"/>
        <v/>
      </c>
      <c r="CJ137" s="39" t="str">
        <f t="shared" si="486"/>
        <v/>
      </c>
      <c r="CK137" s="95" t="str">
        <f t="shared" si="487"/>
        <v/>
      </c>
      <c r="CP137" s="176"/>
      <c r="CQ137" s="99" t="str">
        <f t="shared" si="383"/>
        <v/>
      </c>
      <c r="CX137" s="196"/>
      <c r="CY137" s="89" t="e">
        <f t="shared" si="488"/>
        <v>#N/A</v>
      </c>
      <c r="CZ137" s="136" t="str">
        <f t="shared" si="489"/>
        <v/>
      </c>
      <c r="DA137" s="140" t="str">
        <f t="shared" si="490"/>
        <v/>
      </c>
      <c r="DB137" s="39" t="str">
        <f t="shared" si="491"/>
        <v/>
      </c>
      <c r="DC137" s="39" t="str">
        <f t="shared" si="492"/>
        <v/>
      </c>
      <c r="DD137" s="39" t="str">
        <f t="shared" si="493"/>
        <v/>
      </c>
      <c r="DE137" s="39" t="str">
        <f t="shared" si="494"/>
        <v/>
      </c>
      <c r="DF137" s="141" t="str">
        <f t="shared" si="495"/>
        <v/>
      </c>
      <c r="DG137" s="39" t="str">
        <f t="shared" si="496"/>
        <v/>
      </c>
      <c r="DH137" s="39" t="str">
        <f t="shared" si="497"/>
        <v/>
      </c>
      <c r="DI137" s="39" t="str">
        <f t="shared" si="498"/>
        <v/>
      </c>
      <c r="DJ137" s="74" t="str">
        <f t="shared" si="499"/>
        <v/>
      </c>
      <c r="DK137" s="45"/>
      <c r="DL137" s="84" t="e">
        <f t="shared" si="423"/>
        <v>#N/A</v>
      </c>
      <c r="DM137" s="39" t="e">
        <f t="shared" si="500"/>
        <v>#N/A</v>
      </c>
      <c r="DN137" s="74" t="e">
        <f t="shared" si="501"/>
        <v>#N/A</v>
      </c>
      <c r="DO137" s="45"/>
      <c r="DP137" s="89" t="str">
        <f t="shared" si="525"/>
        <v/>
      </c>
      <c r="DQ137" s="26" t="str">
        <f>IF(AND(Sufficient_data="Yes",Subgroup&lt;&gt;""),IF(COUNTIFS(Input!J$2:J136,"="&amp;"Yes",Input!C$2:C136,"="&amp;"Yes",Input!K$2:K136,"="&amp;Subgroup)&gt;0,"",Subgroup),"")</f>
        <v/>
      </c>
      <c r="DR137" s="7" t="str">
        <f t="shared" si="526"/>
        <v/>
      </c>
      <c r="DS137" s="7" t="str">
        <f t="shared" si="502"/>
        <v/>
      </c>
      <c r="DT137" s="19" t="str">
        <f t="shared" si="503"/>
        <v/>
      </c>
      <c r="DU137" s="12" t="str">
        <f t="shared" si="424"/>
        <v/>
      </c>
      <c r="DV137" s="11" t="str">
        <f t="shared" si="425"/>
        <v/>
      </c>
      <c r="DW137" s="12" t="str">
        <f t="shared" si="426"/>
        <v/>
      </c>
      <c r="DX137" s="12" t="str">
        <f t="shared" si="504"/>
        <v/>
      </c>
      <c r="DY137" s="19" t="str">
        <f t="shared" si="427"/>
        <v/>
      </c>
      <c r="DZ137" s="12" t="str">
        <f t="shared" si="428"/>
        <v/>
      </c>
      <c r="EA137" s="19" t="str">
        <f t="shared" si="505"/>
        <v/>
      </c>
      <c r="EB137" s="7" t="str">
        <f t="shared" si="506"/>
        <v/>
      </c>
      <c r="EC137" s="19" t="str">
        <f t="shared" si="507"/>
        <v/>
      </c>
      <c r="ED137" s="19" t="str">
        <f t="shared" si="508"/>
        <v/>
      </c>
      <c r="EE137" s="19" t="str">
        <f t="shared" si="429"/>
        <v/>
      </c>
      <c r="EF137" s="19" t="str">
        <f t="shared" si="430"/>
        <v/>
      </c>
      <c r="EG137" s="19" t="str">
        <f t="shared" si="431"/>
        <v/>
      </c>
      <c r="EH137" s="19" t="str">
        <f t="shared" si="432"/>
        <v/>
      </c>
      <c r="EI137" s="19" t="str">
        <f t="shared" si="433"/>
        <v/>
      </c>
      <c r="EJ137" s="19" t="str">
        <f t="shared" si="509"/>
        <v/>
      </c>
      <c r="EK137" s="19" t="str">
        <f t="shared" si="510"/>
        <v/>
      </c>
      <c r="EL137" s="19" t="str">
        <f t="shared" si="434"/>
        <v/>
      </c>
      <c r="EM137" s="19" t="str">
        <f t="shared" si="435"/>
        <v/>
      </c>
      <c r="EN137" s="19" t="str">
        <f t="shared" si="436"/>
        <v/>
      </c>
      <c r="EO137" s="19" t="str">
        <f t="shared" si="437"/>
        <v/>
      </c>
      <c r="EP137" s="19" t="str">
        <f t="shared" si="438"/>
        <v/>
      </c>
      <c r="EQ137" s="19" t="e">
        <f t="shared" si="439"/>
        <v>#N/A</v>
      </c>
      <c r="ER137" s="11" t="str">
        <f t="shared" si="527"/>
        <v/>
      </c>
      <c r="ES137" s="19" t="str">
        <f t="shared" si="528"/>
        <v/>
      </c>
      <c r="ET137" s="156" t="str">
        <f t="shared" si="511"/>
        <v/>
      </c>
      <c r="EU137" s="39" t="str">
        <f t="shared" si="440"/>
        <v/>
      </c>
      <c r="EV137" s="74" t="str">
        <f t="shared" si="512"/>
        <v/>
      </c>
      <c r="FA137" s="196"/>
      <c r="FB137" s="84" t="e">
        <f>IF(AND(Include_study?="Yes",Sufficient_data="Yes",Moderator&lt;&gt;""),'Moderator Analysis'!E137,NA())</f>
        <v>#N/A</v>
      </c>
      <c r="FC137" s="39" t="e">
        <f>IF(AND(Include_study?="Yes",Sufficient_data="Yes",Moderator&lt;&gt;""),'Moderator Analysis'!F137,NA())</f>
        <v>#N/A</v>
      </c>
      <c r="FD137" s="39" t="str">
        <f t="shared" si="513"/>
        <v/>
      </c>
      <c r="FE137" s="39" t="str">
        <f t="shared" si="514"/>
        <v/>
      </c>
      <c r="FF137" s="39" t="str">
        <f>IF(AND(Include_study?="Yes",Sufficient_data="Yes",Moderator&lt;&gt;""),'Moderator Analysis'!F:F-FP$2,"")</f>
        <v/>
      </c>
      <c r="FG137" s="39" t="str">
        <f>IF(AND(Include_study?="Yes",Sufficient_data="Yes",Moderator&lt;&gt;""),'Moderator Analysis'!E:E-FP$3,"")</f>
        <v/>
      </c>
      <c r="FH137" s="74" t="str">
        <f>IF(AND(Include_study?="Yes",Sufficient_data="Yes",Moderator&lt;&gt;""),FE:FE*('Moderator Analysis'!F:F-FP$5-FP$4*'Moderator Analysis'!E:E)^2,"")</f>
        <v/>
      </c>
      <c r="FI137" s="128"/>
      <c r="FJ137" s="92" t="str">
        <f t="shared" si="515"/>
        <v/>
      </c>
      <c r="FK137" s="137" t="str">
        <f>IF(AND(Include_study?="Yes",Sufficient_data="Yes",Moderator&lt;&gt;""),'Moderator Analysis'!F:F-'Moderator Analysis'!J$37,"")</f>
        <v/>
      </c>
      <c r="FL137" s="137" t="str">
        <f>IF(AND(Include_study?="Yes",Sufficient_data="Yes",Moderator&lt;&gt;""),'Moderator Analysis'!E:E-SUMPRODUCT('Moderator Analysis'!E:E,FJ:FJ)/SUM(FJ:FJ),"")</f>
        <v/>
      </c>
      <c r="FM137" s="95" t="str">
        <f>IF(AND(Include_study?="Yes",Sufficient_data="Yes",Moderator&lt;&gt;""),FJ:FJ*('Moderator Analysis'!F:F-'Moderator Analysis'!J$29-'Moderator Analysis'!J$30*'Moderator Analysis'!E:E)^2,"")</f>
        <v/>
      </c>
      <c r="FR137" s="196"/>
      <c r="FS137" s="182"/>
      <c r="FT13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7" s="39" t="str">
        <f>IF(AND(Include_study?="Yes",Sufficient_data="Yes"),1/('Publication Bias Analysis'!F:F^2+IF(Additional_model="Fixed effect",0,Calculations!GH$12)),"")</f>
        <v/>
      </c>
      <c r="FV137" s="39" t="str">
        <f>IF(AND(Include_study?="Yes",Sufficient_data="Yes"),1/('Publication Bias Analysis'!F:F^2+IF(Additional_model="Fixed effect",0,'Publication Bias Analysis'!L$32)),"")</f>
        <v/>
      </c>
      <c r="FW137" s="39" t="str">
        <f>IF(AND(Include_study?="Yes",Sufficient_data="Yes"),'Publication Bias Analysis'!E:E-'Publication Bias Analysis'!I$37,"")</f>
        <v/>
      </c>
      <c r="FX137" s="39" t="str">
        <f>IF(AND(Include_study?="Yes",Sufficient_data="Yes"),IF(Additional_model="Fixed effect",1/'Publication Bias Analysis'!F:F,1/SQRT('Publication Bias Analysis'!F:F^2+GH$12)),"")</f>
        <v/>
      </c>
      <c r="FY13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7" s="136" t="str">
        <f t="shared" si="516"/>
        <v/>
      </c>
      <c r="GA137" s="144" t="str">
        <f>IF(AND(Include_study?="Yes",Sufficient_data="Yes"),FZ:FZ+IF(GL:GL&lt;0,-1,1)*COUNTIF(FZ$2:FZ136,FZ:FZ),"")</f>
        <v/>
      </c>
      <c r="GB137" s="144" t="str">
        <f>IF(AND(Include_study?="Yes",Sufficient_data="Yes"),RANK(GP:GP,GP:GP,1)*IF(GO:GO&lt;0,-1,1)+IF(GO:GO&lt;0,-1,1)*COUNTIF(FZ$2:FZ136,FZ:FZ),"")</f>
        <v/>
      </c>
      <c r="GC137" s="144" t="str">
        <f>IF(AND(Include_study?="Yes",Sufficient_data="Yes"),RANK(GS:GS,GS:GS,1)*IF(GR:GR&lt;0,-1,1)+IF(GR:GR&lt;0,-1,1)*COUNTIF(FZ$2:FZ136,FZ:FZ),"")</f>
        <v/>
      </c>
      <c r="GD137" s="39" t="e">
        <f>IF(AND(Include_study?="Yes",Sufficient_data="Yes"),'Publication Bias Analysis'!E137,NA())</f>
        <v>#N/A</v>
      </c>
      <c r="GE137" s="74" t="e">
        <f>IF(AND(Include_study?="Yes",Sufficient_data="Yes"),'Publication Bias Analysis'!F137,NA())</f>
        <v>#N/A</v>
      </c>
      <c r="GK137" s="176"/>
      <c r="GL13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7" s="39" t="str">
        <f t="shared" si="517"/>
        <v/>
      </c>
      <c r="GN13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7" s="39" t="str">
        <f>IF(AND(Include_study?="Yes",Sufficient_data="Yes"),IF('Publication Bias Analysis'!L$38="Left",'Publication Bias Analysis'!E:E-GW$3,GW$3-'Publication Bias Analysis'!E:E),"")</f>
        <v/>
      </c>
      <c r="GP137" s="39" t="str">
        <f t="shared" si="529"/>
        <v/>
      </c>
      <c r="GQ13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7" s="39" t="str">
        <f>IF(AND(Include_study?="Yes",Sufficient_data="Yes"),IF('Publication Bias Analysis'!L$38="Left",'Publication Bias Analysis'!E:E-GW$10,GW$10-'Publication Bias Analysis'!E:E),"")</f>
        <v/>
      </c>
      <c r="GS137" s="39" t="str">
        <f t="shared" si="530"/>
        <v/>
      </c>
      <c r="GT13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7" s="176"/>
      <c r="HL137" s="69" t="str">
        <f t="shared" si="518"/>
        <v/>
      </c>
      <c r="HM137" s="74" t="str">
        <f>IF(AND(Include_study?="Yes",Sufficient_data="Yes"),Z_score-('Publication Bias Analysis'!P$3+'Publication Bias Analysis'!P$4*Inverse_standard_error),"")</f>
        <v/>
      </c>
      <c r="HO137" s="176"/>
      <c r="HP137" s="69" t="str">
        <f>IF(AND(Include_study?="Yes",Sufficient_data="Yes"),(GD:GD-SUMPRODUCT(Calculations!FT:FT,'Publication Bias Analysis'!E:E)/SUM(Calculations!FT:FT))/SQRT(Calculations!HQ:HQ),"")</f>
        <v/>
      </c>
      <c r="HQ137" s="69" t="str">
        <f>IF(AND(Include_study?="Yes",Sufficient_data="Yes"),GE:GE^2-1/SUM(Calculations!FT:FT),"")</f>
        <v/>
      </c>
      <c r="HR137" s="7" t="str">
        <f t="shared" si="441"/>
        <v/>
      </c>
      <c r="HS137" s="7" t="str">
        <f t="shared" si="442"/>
        <v/>
      </c>
      <c r="HT137" s="7" t="str">
        <f>IF(AND(Include_study?="Yes",Sufficient_data="Yes"),COUNTIFS(HR$2:HR136,"&lt;"&amp;HR137,HS$2:HS136,"&lt;"&amp;HS137)+COUNTIFS(HR138:HR$201,"&lt;"&amp;HR137,HS138:HS$201,"&lt;"&amp;HS137)+COUNTIFS(HR$2:HR136,"&gt;"&amp;HR137,HS$2:HS136,"&gt;"&amp;HS137)+COUNTIFS(HR138:HR$201,"&gt;"&amp;HR137,HS138:HS$201,"&gt;"&amp;HS137),"")</f>
        <v/>
      </c>
      <c r="HU137" s="104" t="str">
        <f>IF(AND(Include_study?="Yes",Sufficient_data="Yes"),COUNTIFS(HR$2:HR136,"&lt;"&amp;HR137,HS$2:HS136,"&gt;"&amp;HS137)+COUNTIFS(HR138:HR$201,"&lt;"&amp;HR137,HS138:HS$201,"&gt;"&amp;HS137)+COUNTIFS(HR$2:HR136,"&gt;"&amp;HR137,HS$2:HS136,"&lt;"&amp;HS137)+COUNTIFS(HR138:HR$201,"&gt;"&amp;HR137,HS138:HS$201,"&lt;"&amp;HS137),"")</f>
        <v/>
      </c>
      <c r="HW137" s="176"/>
      <c r="IB137" s="176"/>
      <c r="IC137" s="146" t="e">
        <f t="shared" si="519"/>
        <v>#N/A</v>
      </c>
      <c r="ID137" s="137" t="e">
        <f t="shared" si="520"/>
        <v>#N/A</v>
      </c>
      <c r="IE137" s="137" t="str">
        <f t="shared" si="521"/>
        <v/>
      </c>
      <c r="IF137" s="95" t="str">
        <f t="shared" si="522"/>
        <v/>
      </c>
      <c r="IK137" s="176"/>
      <c r="IL137" s="69" t="e">
        <f>IF(AND(Include_study?="Yes",Sufficient_data="Yes"),'Publication Bias Analysis'!AV:AV,NA())</f>
        <v>#N/A</v>
      </c>
      <c r="IM137" s="158" t="e">
        <f>IF(AND(Sufficient_data="Yes",Include_study?="Yes"),'Publication Bias Analysis'!AU:AU,NA())</f>
        <v>#N/A</v>
      </c>
      <c r="IN137" s="69" t="str">
        <f t="shared" si="418"/>
        <v/>
      </c>
      <c r="IO137" s="74" t="str">
        <f>IF(AND(Include_study?="Yes",Sufficient_data="Yes"),Z_score-('Publication Bias Analysis'!AY$30+'Publication Bias Analysis'!AY$31*Inverse_standard_error),"")</f>
        <v/>
      </c>
      <c r="IU137" s="176"/>
      <c r="IV137" s="7" t="str">
        <f>IF('Publication Bias Analysis'!BG:BG&lt;&gt;"",RANK('Publication Bias Analysis'!BG:BG,'Publication Bias Analysis'!BG:BG,1)+COUNTIF('Publication Bias Analysis'!BG$2:BG136,'Publication Bias Analysis'!BG137),"")</f>
        <v/>
      </c>
      <c r="IW137" s="124" t="str">
        <f t="shared" si="523"/>
        <v/>
      </c>
      <c r="IX137" s="125" t="e">
        <f>IF('Publication Bias Analysis'!BF137&lt;&gt;"",'Publication Bias Analysis'!BF137,NA())</f>
        <v>#N/A</v>
      </c>
      <c r="IY137" s="125" t="e">
        <f>IF('Publication Bias Analysis'!BG137&lt;&gt;"",'Publication Bias Analysis'!BG137,NA())</f>
        <v>#N/A</v>
      </c>
      <c r="IZ137" s="69" t="str">
        <f>IF(AND(Include_study?="Yes",Sufficient_data="Yes"),'Publication Bias Analysis'!BF:BF-AVERAGE('Publication Bias Analysis'!BF:BF),"")</f>
        <v/>
      </c>
      <c r="JA137" s="74" t="str">
        <f>IF(AND(Include_study?="Yes",Sufficient_data="Yes"),'Publication Bias Analysis'!BG:BG-('Publication Bias Analysis'!BJ$30+'Publication Bias Analysis'!BJ$31*'Publication Bias Analysis'!BF:BF),"")</f>
        <v/>
      </c>
      <c r="JG137" s="176"/>
      <c r="JH137" s="39" t="str">
        <f t="shared" si="524"/>
        <v/>
      </c>
      <c r="JI137" s="148" t="str">
        <f t="shared" si="531"/>
        <v/>
      </c>
      <c r="JJ137" s="74" t="str">
        <f t="shared" si="532"/>
        <v/>
      </c>
    </row>
    <row r="138" spans="1:270" x14ac:dyDescent="0.2">
      <c r="A138" s="56" t="str">
        <f t="shared" si="334"/>
        <v/>
      </c>
      <c r="B138" s="7" t="str">
        <f>IF(AND(Include_study?="Yes",Sufficient_data="Yes"),IF(Input!a_&lt;&gt;"",Input!a_,Input!n1_-Input!b_),"")</f>
        <v/>
      </c>
      <c r="C138" s="7" t="str">
        <f>IF(AND(Include_study?="Yes",Sufficient_data="Yes"),IF(Input!b_&lt;&gt;"",Input!b_,Input!n1_-Input!a_),"")</f>
        <v/>
      </c>
      <c r="D138" s="7" t="str">
        <f>IF(AND(Include_study?="Yes",Sufficient_data="Yes"),IF(Input!c_&lt;&gt;"",Input!c_,Input!n2_-Input!d_),"")</f>
        <v/>
      </c>
      <c r="E138" s="7" t="str">
        <f>IF(AND(Include_study?="Yes",Sufficient_data="Yes"),IF(Input!d_&lt;&gt;"",Input!d_,Input!n2_-Input!c_),"")</f>
        <v/>
      </c>
      <c r="F138" s="74" t="str">
        <f t="shared" si="443"/>
        <v/>
      </c>
      <c r="H138" s="196"/>
      <c r="I138" s="182"/>
      <c r="J138" s="146" t="str">
        <f t="shared" si="444"/>
        <v/>
      </c>
      <c r="K138" s="39" t="str">
        <f t="shared" si="445"/>
        <v/>
      </c>
      <c r="L138" s="39" t="str">
        <f t="shared" si="446"/>
        <v/>
      </c>
      <c r="M138" s="39" t="str">
        <f t="shared" si="447"/>
        <v/>
      </c>
      <c r="N138" s="74" t="str">
        <f t="shared" si="448"/>
        <v/>
      </c>
      <c r="P138" s="176"/>
      <c r="Q138" s="130" t="str">
        <f t="shared" si="449"/>
        <v/>
      </c>
      <c r="R138" s="39" t="str">
        <f t="shared" si="450"/>
        <v/>
      </c>
      <c r="S138" s="39" t="str">
        <f t="shared" si="451"/>
        <v/>
      </c>
      <c r="T138" s="74" t="str">
        <f t="shared" si="452"/>
        <v/>
      </c>
      <c r="V138" s="176"/>
      <c r="W138" s="130" t="str">
        <f t="shared" si="453"/>
        <v/>
      </c>
      <c r="X138" s="39" t="str">
        <f t="shared" si="454"/>
        <v/>
      </c>
      <c r="Y138" s="39" t="str">
        <f t="shared" si="455"/>
        <v/>
      </c>
      <c r="Z138" s="74" t="str">
        <f t="shared" si="456"/>
        <v/>
      </c>
      <c r="AB138" s="176"/>
      <c r="AC138" s="130" t="str">
        <f t="shared" si="457"/>
        <v/>
      </c>
      <c r="AD138" s="39" t="str">
        <f t="shared" si="458"/>
        <v/>
      </c>
      <c r="AE138" s="39" t="str">
        <f t="shared" si="459"/>
        <v/>
      </c>
      <c r="AF138" s="39" t="str">
        <f t="shared" si="460"/>
        <v/>
      </c>
      <c r="AG138" s="74" t="str">
        <f t="shared" si="461"/>
        <v/>
      </c>
      <c r="AI138" s="196"/>
      <c r="AJ13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8" s="136" t="str">
        <f>IF(AJ138&lt;&gt;"",IF(AJ138=0,COUNTIF(AJ$2:AJ137,0)+1,COUNTIF(AJ$2:AJ137,AJ138)+AJ138+COUNTIF(AJ:AJ,0)),"")</f>
        <v/>
      </c>
      <c r="AL138" s="136" t="str">
        <f t="shared" si="462"/>
        <v/>
      </c>
      <c r="AM138" s="155" t="str">
        <f>IF(AND(Include_study?="Yes",Sufficient_data="Yes",Input!Study_name&lt;&gt;""),Input!Study_name,"")</f>
        <v/>
      </c>
      <c r="AN138" s="136" t="str">
        <f t="shared" si="463"/>
        <v/>
      </c>
      <c r="AO138" s="19" t="str">
        <f t="shared" si="464"/>
        <v/>
      </c>
      <c r="AP138" s="158" t="str">
        <f t="shared" si="465"/>
        <v/>
      </c>
      <c r="AQ138" s="158" t="str">
        <f t="shared" si="466"/>
        <v/>
      </c>
      <c r="AR138" s="39" t="str">
        <f t="shared" si="467"/>
        <v/>
      </c>
      <c r="AS138" s="158" t="str">
        <f t="shared" si="468"/>
        <v/>
      </c>
      <c r="AT138" s="39" t="str">
        <f t="shared" si="469"/>
        <v/>
      </c>
      <c r="AU138" s="172" t="str">
        <f t="shared" si="470"/>
        <v/>
      </c>
      <c r="AV138" s="45"/>
      <c r="AW138" s="84" t="e">
        <f t="shared" si="360"/>
        <v>#N/A</v>
      </c>
      <c r="AX138" s="69" t="e">
        <f t="shared" si="471"/>
        <v>#N/A</v>
      </c>
      <c r="AY138" s="74" t="e">
        <f t="shared" si="472"/>
        <v>#N/A</v>
      </c>
      <c r="AZ138" s="45"/>
      <c r="BA138" s="45"/>
      <c r="BB138" s="45"/>
      <c r="BC138" s="45"/>
      <c r="BD138" s="196"/>
      <c r="BE138" s="182"/>
      <c r="BF138" s="69" t="str">
        <f t="shared" si="363"/>
        <v/>
      </c>
      <c r="BG138" s="69" t="str">
        <f t="shared" si="364"/>
        <v/>
      </c>
      <c r="BH138" s="69" t="str">
        <f t="shared" si="365"/>
        <v/>
      </c>
      <c r="BI138" s="39" t="str">
        <f t="shared" si="366"/>
        <v/>
      </c>
      <c r="BJ138" s="95" t="str">
        <f t="shared" si="473"/>
        <v/>
      </c>
      <c r="BO138" s="176"/>
      <c r="BP138" s="158" t="str">
        <f t="shared" si="474"/>
        <v/>
      </c>
      <c r="BQ138" s="158" t="str">
        <f t="shared" si="475"/>
        <v/>
      </c>
      <c r="BR138" s="158" t="str">
        <f t="shared" si="476"/>
        <v/>
      </c>
      <c r="BS138" s="158" t="str">
        <f>IF(AND(Sufficient_data="Yes",Include_study?="Yes"),IF(Add_0_5="Yes",(a_+d_+1)*(ab_+0.5)*(c_+0.5)/(Number_of_subjects+2)^2,(a_+d_)*b_*c_/Number_of_subjects^2),"")</f>
        <v/>
      </c>
      <c r="BT138" s="158" t="str">
        <f t="shared" si="477"/>
        <v/>
      </c>
      <c r="BU138" s="158" t="str">
        <f t="shared" si="478"/>
        <v/>
      </c>
      <c r="BV138" s="158" t="str">
        <f t="shared" si="479"/>
        <v/>
      </c>
      <c r="BW138" s="69" t="str">
        <f t="shared" si="374"/>
        <v/>
      </c>
      <c r="BX138" s="137" t="str">
        <f t="shared" si="375"/>
        <v/>
      </c>
      <c r="BY138" s="95" t="str">
        <f t="shared" si="480"/>
        <v/>
      </c>
      <c r="CD138" s="176"/>
      <c r="CE138" s="130" t="str">
        <f t="shared" si="481"/>
        <v/>
      </c>
      <c r="CF138" s="39" t="str">
        <f t="shared" si="482"/>
        <v/>
      </c>
      <c r="CG138" s="39" t="str">
        <f t="shared" si="483"/>
        <v/>
      </c>
      <c r="CH138" s="39" t="str">
        <f t="shared" si="484"/>
        <v/>
      </c>
      <c r="CI138" s="39" t="str">
        <f t="shared" si="485"/>
        <v/>
      </c>
      <c r="CJ138" s="39" t="str">
        <f t="shared" si="486"/>
        <v/>
      </c>
      <c r="CK138" s="95" t="str">
        <f t="shared" si="487"/>
        <v/>
      </c>
      <c r="CP138" s="176"/>
      <c r="CQ138" s="99" t="str">
        <f t="shared" si="383"/>
        <v/>
      </c>
      <c r="CX138" s="196"/>
      <c r="CY138" s="89" t="e">
        <f t="shared" si="488"/>
        <v>#N/A</v>
      </c>
      <c r="CZ138" s="136" t="str">
        <f t="shared" si="489"/>
        <v/>
      </c>
      <c r="DA138" s="140" t="str">
        <f t="shared" si="490"/>
        <v/>
      </c>
      <c r="DB138" s="39" t="str">
        <f t="shared" si="491"/>
        <v/>
      </c>
      <c r="DC138" s="39" t="str">
        <f t="shared" si="492"/>
        <v/>
      </c>
      <c r="DD138" s="39" t="str">
        <f t="shared" si="493"/>
        <v/>
      </c>
      <c r="DE138" s="39" t="str">
        <f t="shared" si="494"/>
        <v/>
      </c>
      <c r="DF138" s="141" t="str">
        <f t="shared" si="495"/>
        <v/>
      </c>
      <c r="DG138" s="39" t="str">
        <f t="shared" si="496"/>
        <v/>
      </c>
      <c r="DH138" s="39" t="str">
        <f t="shared" si="497"/>
        <v/>
      </c>
      <c r="DI138" s="39" t="str">
        <f t="shared" si="498"/>
        <v/>
      </c>
      <c r="DJ138" s="74" t="str">
        <f t="shared" si="499"/>
        <v/>
      </c>
      <c r="DK138" s="45"/>
      <c r="DL138" s="84" t="e">
        <f t="shared" si="423"/>
        <v>#N/A</v>
      </c>
      <c r="DM138" s="39" t="e">
        <f t="shared" si="500"/>
        <v>#N/A</v>
      </c>
      <c r="DN138" s="74" t="e">
        <f t="shared" si="501"/>
        <v>#N/A</v>
      </c>
      <c r="DO138" s="45"/>
      <c r="DP138" s="89" t="str">
        <f t="shared" si="525"/>
        <v/>
      </c>
      <c r="DQ138" s="26" t="str">
        <f>IF(AND(Sufficient_data="Yes",Subgroup&lt;&gt;""),IF(COUNTIFS(Input!J$2:J137,"="&amp;"Yes",Input!C$2:C137,"="&amp;"Yes",Input!K$2:K137,"="&amp;Subgroup)&gt;0,"",Subgroup),"")</f>
        <v/>
      </c>
      <c r="DR138" s="7" t="str">
        <f t="shared" si="526"/>
        <v/>
      </c>
      <c r="DS138" s="7" t="str">
        <f t="shared" si="502"/>
        <v/>
      </c>
      <c r="DT138" s="19" t="str">
        <f t="shared" si="503"/>
        <v/>
      </c>
      <c r="DU138" s="12" t="str">
        <f t="shared" si="424"/>
        <v/>
      </c>
      <c r="DV138" s="11" t="str">
        <f t="shared" si="425"/>
        <v/>
      </c>
      <c r="DW138" s="12" t="str">
        <f t="shared" si="426"/>
        <v/>
      </c>
      <c r="DX138" s="12" t="str">
        <f t="shared" si="504"/>
        <v/>
      </c>
      <c r="DY138" s="19" t="str">
        <f t="shared" si="427"/>
        <v/>
      </c>
      <c r="DZ138" s="12" t="str">
        <f t="shared" si="428"/>
        <v/>
      </c>
      <c r="EA138" s="19" t="str">
        <f t="shared" si="505"/>
        <v/>
      </c>
      <c r="EB138" s="7" t="str">
        <f t="shared" si="506"/>
        <v/>
      </c>
      <c r="EC138" s="19" t="str">
        <f t="shared" si="507"/>
        <v/>
      </c>
      <c r="ED138" s="19" t="str">
        <f t="shared" si="508"/>
        <v/>
      </c>
      <c r="EE138" s="19" t="str">
        <f t="shared" si="429"/>
        <v/>
      </c>
      <c r="EF138" s="19" t="str">
        <f t="shared" si="430"/>
        <v/>
      </c>
      <c r="EG138" s="19" t="str">
        <f t="shared" si="431"/>
        <v/>
      </c>
      <c r="EH138" s="19" t="str">
        <f t="shared" si="432"/>
        <v/>
      </c>
      <c r="EI138" s="19" t="str">
        <f t="shared" si="433"/>
        <v/>
      </c>
      <c r="EJ138" s="19" t="str">
        <f t="shared" si="509"/>
        <v/>
      </c>
      <c r="EK138" s="19" t="str">
        <f t="shared" si="510"/>
        <v/>
      </c>
      <c r="EL138" s="19" t="str">
        <f t="shared" si="434"/>
        <v/>
      </c>
      <c r="EM138" s="19" t="str">
        <f t="shared" si="435"/>
        <v/>
      </c>
      <c r="EN138" s="19" t="str">
        <f t="shared" si="436"/>
        <v/>
      </c>
      <c r="EO138" s="19" t="str">
        <f t="shared" si="437"/>
        <v/>
      </c>
      <c r="EP138" s="19" t="str">
        <f t="shared" si="438"/>
        <v/>
      </c>
      <c r="EQ138" s="19" t="e">
        <f t="shared" si="439"/>
        <v>#N/A</v>
      </c>
      <c r="ER138" s="11" t="str">
        <f t="shared" si="527"/>
        <v/>
      </c>
      <c r="ES138" s="19" t="str">
        <f t="shared" si="528"/>
        <v/>
      </c>
      <c r="ET138" s="156" t="str">
        <f t="shared" si="511"/>
        <v/>
      </c>
      <c r="EU138" s="39" t="str">
        <f t="shared" si="440"/>
        <v/>
      </c>
      <c r="EV138" s="74" t="str">
        <f t="shared" si="512"/>
        <v/>
      </c>
      <c r="FA138" s="196"/>
      <c r="FB138" s="84" t="e">
        <f>IF(AND(Include_study?="Yes",Sufficient_data="Yes",Moderator&lt;&gt;""),'Moderator Analysis'!E138,NA())</f>
        <v>#N/A</v>
      </c>
      <c r="FC138" s="39" t="e">
        <f>IF(AND(Include_study?="Yes",Sufficient_data="Yes",Moderator&lt;&gt;""),'Moderator Analysis'!F138,NA())</f>
        <v>#N/A</v>
      </c>
      <c r="FD138" s="39" t="str">
        <f t="shared" si="513"/>
        <v/>
      </c>
      <c r="FE138" s="39" t="str">
        <f t="shared" si="514"/>
        <v/>
      </c>
      <c r="FF138" s="39" t="str">
        <f>IF(AND(Include_study?="Yes",Sufficient_data="Yes",Moderator&lt;&gt;""),'Moderator Analysis'!F:F-FP$2,"")</f>
        <v/>
      </c>
      <c r="FG138" s="39" t="str">
        <f>IF(AND(Include_study?="Yes",Sufficient_data="Yes",Moderator&lt;&gt;""),'Moderator Analysis'!E:E-FP$3,"")</f>
        <v/>
      </c>
      <c r="FH138" s="74" t="str">
        <f>IF(AND(Include_study?="Yes",Sufficient_data="Yes",Moderator&lt;&gt;""),FE:FE*('Moderator Analysis'!F:F-FP$5-FP$4*'Moderator Analysis'!E:E)^2,"")</f>
        <v/>
      </c>
      <c r="FI138" s="128"/>
      <c r="FJ138" s="92" t="str">
        <f t="shared" si="515"/>
        <v/>
      </c>
      <c r="FK138" s="137" t="str">
        <f>IF(AND(Include_study?="Yes",Sufficient_data="Yes",Moderator&lt;&gt;""),'Moderator Analysis'!F:F-'Moderator Analysis'!J$37,"")</f>
        <v/>
      </c>
      <c r="FL138" s="137" t="str">
        <f>IF(AND(Include_study?="Yes",Sufficient_data="Yes",Moderator&lt;&gt;""),'Moderator Analysis'!E:E-SUMPRODUCT('Moderator Analysis'!E:E,FJ:FJ)/SUM(FJ:FJ),"")</f>
        <v/>
      </c>
      <c r="FM138" s="95" t="str">
        <f>IF(AND(Include_study?="Yes",Sufficient_data="Yes",Moderator&lt;&gt;""),FJ:FJ*('Moderator Analysis'!F:F-'Moderator Analysis'!J$29-'Moderator Analysis'!J$30*'Moderator Analysis'!E:E)^2,"")</f>
        <v/>
      </c>
      <c r="FR138" s="196"/>
      <c r="FS138" s="182"/>
      <c r="FT13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8" s="39" t="str">
        <f>IF(AND(Include_study?="Yes",Sufficient_data="Yes"),1/('Publication Bias Analysis'!F:F^2+IF(Additional_model="Fixed effect",0,Calculations!GH$12)),"")</f>
        <v/>
      </c>
      <c r="FV138" s="39" t="str">
        <f>IF(AND(Include_study?="Yes",Sufficient_data="Yes"),1/('Publication Bias Analysis'!F:F^2+IF(Additional_model="Fixed effect",0,'Publication Bias Analysis'!L$32)),"")</f>
        <v/>
      </c>
      <c r="FW138" s="39" t="str">
        <f>IF(AND(Include_study?="Yes",Sufficient_data="Yes"),'Publication Bias Analysis'!E:E-'Publication Bias Analysis'!I$37,"")</f>
        <v/>
      </c>
      <c r="FX138" s="39" t="str">
        <f>IF(AND(Include_study?="Yes",Sufficient_data="Yes"),IF(Additional_model="Fixed effect",1/'Publication Bias Analysis'!F:F,1/SQRT('Publication Bias Analysis'!F:F^2+GH$12)),"")</f>
        <v/>
      </c>
      <c r="FY13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8" s="136" t="str">
        <f t="shared" si="516"/>
        <v/>
      </c>
      <c r="GA138" s="144" t="str">
        <f>IF(AND(Include_study?="Yes",Sufficient_data="Yes"),FZ:FZ+IF(GL:GL&lt;0,-1,1)*COUNTIF(FZ$2:FZ137,FZ:FZ),"")</f>
        <v/>
      </c>
      <c r="GB138" s="144" t="str">
        <f>IF(AND(Include_study?="Yes",Sufficient_data="Yes"),RANK(GP:GP,GP:GP,1)*IF(GO:GO&lt;0,-1,1)+IF(GO:GO&lt;0,-1,1)*COUNTIF(FZ$2:FZ137,FZ:FZ),"")</f>
        <v/>
      </c>
      <c r="GC138" s="144" t="str">
        <f>IF(AND(Include_study?="Yes",Sufficient_data="Yes"),RANK(GS:GS,GS:GS,1)*IF(GR:GR&lt;0,-1,1)+IF(GR:GR&lt;0,-1,1)*COUNTIF(FZ$2:FZ137,FZ:FZ),"")</f>
        <v/>
      </c>
      <c r="GD138" s="39" t="e">
        <f>IF(AND(Include_study?="Yes",Sufficient_data="Yes"),'Publication Bias Analysis'!E138,NA())</f>
        <v>#N/A</v>
      </c>
      <c r="GE138" s="74" t="e">
        <f>IF(AND(Include_study?="Yes",Sufficient_data="Yes"),'Publication Bias Analysis'!F138,NA())</f>
        <v>#N/A</v>
      </c>
      <c r="GK138" s="176"/>
      <c r="GL13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8" s="39" t="str">
        <f t="shared" si="517"/>
        <v/>
      </c>
      <c r="GN13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8" s="39" t="str">
        <f>IF(AND(Include_study?="Yes",Sufficient_data="Yes"),IF('Publication Bias Analysis'!L$38="Left",'Publication Bias Analysis'!E:E-GW$3,GW$3-'Publication Bias Analysis'!E:E),"")</f>
        <v/>
      </c>
      <c r="GP138" s="39" t="str">
        <f t="shared" si="529"/>
        <v/>
      </c>
      <c r="GQ13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8" s="39" t="str">
        <f>IF(AND(Include_study?="Yes",Sufficient_data="Yes"),IF('Publication Bias Analysis'!L$38="Left",'Publication Bias Analysis'!E:E-GW$10,GW$10-'Publication Bias Analysis'!E:E),"")</f>
        <v/>
      </c>
      <c r="GS138" s="39" t="str">
        <f t="shared" si="530"/>
        <v/>
      </c>
      <c r="GT13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8" s="176"/>
      <c r="HL138" s="69" t="str">
        <f t="shared" si="518"/>
        <v/>
      </c>
      <c r="HM138" s="74" t="str">
        <f>IF(AND(Include_study?="Yes",Sufficient_data="Yes"),Z_score-('Publication Bias Analysis'!P$3+'Publication Bias Analysis'!P$4*Inverse_standard_error),"")</f>
        <v/>
      </c>
      <c r="HO138" s="176"/>
      <c r="HP138" s="69" t="str">
        <f>IF(AND(Include_study?="Yes",Sufficient_data="Yes"),(GD:GD-SUMPRODUCT(Calculations!FT:FT,'Publication Bias Analysis'!E:E)/SUM(Calculations!FT:FT))/SQRT(Calculations!HQ:HQ),"")</f>
        <v/>
      </c>
      <c r="HQ138" s="69" t="str">
        <f>IF(AND(Include_study?="Yes",Sufficient_data="Yes"),GE:GE^2-1/SUM(Calculations!FT:FT),"")</f>
        <v/>
      </c>
      <c r="HR138" s="7" t="str">
        <f t="shared" si="441"/>
        <v/>
      </c>
      <c r="HS138" s="7" t="str">
        <f t="shared" si="442"/>
        <v/>
      </c>
      <c r="HT138" s="7" t="str">
        <f>IF(AND(Include_study?="Yes",Sufficient_data="Yes"),COUNTIFS(HR$2:HR137,"&lt;"&amp;HR138,HS$2:HS137,"&lt;"&amp;HS138)+COUNTIFS(HR139:HR$201,"&lt;"&amp;HR138,HS139:HS$201,"&lt;"&amp;HS138)+COUNTIFS(HR$2:HR137,"&gt;"&amp;HR138,HS$2:HS137,"&gt;"&amp;HS138)+COUNTIFS(HR139:HR$201,"&gt;"&amp;HR138,HS139:HS$201,"&gt;"&amp;HS138),"")</f>
        <v/>
      </c>
      <c r="HU138" s="104" t="str">
        <f>IF(AND(Include_study?="Yes",Sufficient_data="Yes"),COUNTIFS(HR$2:HR137,"&lt;"&amp;HR138,HS$2:HS137,"&gt;"&amp;HS138)+COUNTIFS(HR139:HR$201,"&lt;"&amp;HR138,HS139:HS$201,"&gt;"&amp;HS138)+COUNTIFS(HR$2:HR137,"&gt;"&amp;HR138,HS$2:HS137,"&lt;"&amp;HS138)+COUNTIFS(HR139:HR$201,"&gt;"&amp;HR138,HS139:HS$201,"&lt;"&amp;HS138),"")</f>
        <v/>
      </c>
      <c r="HW138" s="176"/>
      <c r="IB138" s="176"/>
      <c r="IC138" s="146" t="e">
        <f t="shared" si="519"/>
        <v>#N/A</v>
      </c>
      <c r="ID138" s="137" t="e">
        <f t="shared" si="520"/>
        <v>#N/A</v>
      </c>
      <c r="IE138" s="137" t="str">
        <f t="shared" si="521"/>
        <v/>
      </c>
      <c r="IF138" s="95" t="str">
        <f t="shared" si="522"/>
        <v/>
      </c>
      <c r="IK138" s="176"/>
      <c r="IL138" s="69" t="e">
        <f>IF(AND(Include_study?="Yes",Sufficient_data="Yes"),'Publication Bias Analysis'!AV:AV,NA())</f>
        <v>#N/A</v>
      </c>
      <c r="IM138" s="158" t="e">
        <f>IF(AND(Sufficient_data="Yes",Include_study?="Yes"),'Publication Bias Analysis'!AU:AU,NA())</f>
        <v>#N/A</v>
      </c>
      <c r="IN138" s="69" t="str">
        <f t="shared" si="418"/>
        <v/>
      </c>
      <c r="IO138" s="74" t="str">
        <f>IF(AND(Include_study?="Yes",Sufficient_data="Yes"),Z_score-('Publication Bias Analysis'!AY$30+'Publication Bias Analysis'!AY$31*Inverse_standard_error),"")</f>
        <v/>
      </c>
      <c r="IU138" s="176"/>
      <c r="IV138" s="7" t="str">
        <f>IF('Publication Bias Analysis'!BG:BG&lt;&gt;"",RANK('Publication Bias Analysis'!BG:BG,'Publication Bias Analysis'!BG:BG,1)+COUNTIF('Publication Bias Analysis'!BG$2:BG137,'Publication Bias Analysis'!BG138),"")</f>
        <v/>
      </c>
      <c r="IW138" s="124" t="str">
        <f t="shared" si="523"/>
        <v/>
      </c>
      <c r="IX138" s="125" t="e">
        <f>IF('Publication Bias Analysis'!BF138&lt;&gt;"",'Publication Bias Analysis'!BF138,NA())</f>
        <v>#N/A</v>
      </c>
      <c r="IY138" s="125" t="e">
        <f>IF('Publication Bias Analysis'!BG138&lt;&gt;"",'Publication Bias Analysis'!BG138,NA())</f>
        <v>#N/A</v>
      </c>
      <c r="IZ138" s="69" t="str">
        <f>IF(AND(Include_study?="Yes",Sufficient_data="Yes"),'Publication Bias Analysis'!BF:BF-AVERAGE('Publication Bias Analysis'!BF:BF),"")</f>
        <v/>
      </c>
      <c r="JA138" s="74" t="str">
        <f>IF(AND(Include_study?="Yes",Sufficient_data="Yes"),'Publication Bias Analysis'!BG:BG-('Publication Bias Analysis'!BJ$30+'Publication Bias Analysis'!BJ$31*'Publication Bias Analysis'!BF:BF),"")</f>
        <v/>
      </c>
      <c r="JG138" s="176"/>
      <c r="JH138" s="39" t="str">
        <f t="shared" si="524"/>
        <v/>
      </c>
      <c r="JI138" s="148" t="str">
        <f t="shared" si="531"/>
        <v/>
      </c>
      <c r="JJ138" s="74" t="str">
        <f t="shared" si="532"/>
        <v/>
      </c>
    </row>
    <row r="139" spans="1:270" x14ac:dyDescent="0.2">
      <c r="A139" s="56" t="str">
        <f t="shared" si="334"/>
        <v/>
      </c>
      <c r="B139" s="7" t="str">
        <f>IF(AND(Include_study?="Yes",Sufficient_data="Yes"),IF(Input!a_&lt;&gt;"",Input!a_,Input!n1_-Input!b_),"")</f>
        <v/>
      </c>
      <c r="C139" s="7" t="str">
        <f>IF(AND(Include_study?="Yes",Sufficient_data="Yes"),IF(Input!b_&lt;&gt;"",Input!b_,Input!n1_-Input!a_),"")</f>
        <v/>
      </c>
      <c r="D139" s="7" t="str">
        <f>IF(AND(Include_study?="Yes",Sufficient_data="Yes"),IF(Input!c_&lt;&gt;"",Input!c_,Input!n2_-Input!d_),"")</f>
        <v/>
      </c>
      <c r="E139" s="7" t="str">
        <f>IF(AND(Include_study?="Yes",Sufficient_data="Yes"),IF(Input!d_&lt;&gt;"",Input!d_,Input!n2_-Input!c_),"")</f>
        <v/>
      </c>
      <c r="F139" s="74" t="str">
        <f t="shared" si="443"/>
        <v/>
      </c>
      <c r="H139" s="196"/>
      <c r="I139" s="182"/>
      <c r="J139" s="146" t="str">
        <f t="shared" si="444"/>
        <v/>
      </c>
      <c r="K139" s="39" t="str">
        <f t="shared" si="445"/>
        <v/>
      </c>
      <c r="L139" s="39" t="str">
        <f t="shared" si="446"/>
        <v/>
      </c>
      <c r="M139" s="39" t="str">
        <f t="shared" si="447"/>
        <v/>
      </c>
      <c r="N139" s="74" t="str">
        <f t="shared" si="448"/>
        <v/>
      </c>
      <c r="P139" s="176"/>
      <c r="Q139" s="130" t="str">
        <f t="shared" si="449"/>
        <v/>
      </c>
      <c r="R139" s="39" t="str">
        <f t="shared" si="450"/>
        <v/>
      </c>
      <c r="S139" s="39" t="str">
        <f t="shared" si="451"/>
        <v/>
      </c>
      <c r="T139" s="74" t="str">
        <f t="shared" si="452"/>
        <v/>
      </c>
      <c r="V139" s="176"/>
      <c r="W139" s="130" t="str">
        <f t="shared" si="453"/>
        <v/>
      </c>
      <c r="X139" s="39" t="str">
        <f t="shared" si="454"/>
        <v/>
      </c>
      <c r="Y139" s="39" t="str">
        <f t="shared" si="455"/>
        <v/>
      </c>
      <c r="Z139" s="74" t="str">
        <f t="shared" si="456"/>
        <v/>
      </c>
      <c r="AB139" s="176"/>
      <c r="AC139" s="130" t="str">
        <f t="shared" si="457"/>
        <v/>
      </c>
      <c r="AD139" s="39" t="str">
        <f t="shared" si="458"/>
        <v/>
      </c>
      <c r="AE139" s="39" t="str">
        <f t="shared" si="459"/>
        <v/>
      </c>
      <c r="AF139" s="39" t="str">
        <f t="shared" si="460"/>
        <v/>
      </c>
      <c r="AG139" s="74" t="str">
        <f t="shared" si="461"/>
        <v/>
      </c>
      <c r="AI139" s="196"/>
      <c r="AJ13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39" s="136" t="str">
        <f>IF(AJ139&lt;&gt;"",IF(AJ139=0,COUNTIF(AJ$2:AJ138,0)+1,COUNTIF(AJ$2:AJ138,AJ139)+AJ139+COUNTIF(AJ:AJ,0)),"")</f>
        <v/>
      </c>
      <c r="AL139" s="136" t="str">
        <f t="shared" si="462"/>
        <v/>
      </c>
      <c r="AM139" s="155" t="str">
        <f>IF(AND(Include_study?="Yes",Sufficient_data="Yes",Input!Study_name&lt;&gt;""),Input!Study_name,"")</f>
        <v/>
      </c>
      <c r="AN139" s="136" t="str">
        <f t="shared" si="463"/>
        <v/>
      </c>
      <c r="AO139" s="19" t="str">
        <f t="shared" si="464"/>
        <v/>
      </c>
      <c r="AP139" s="158" t="str">
        <f t="shared" si="465"/>
        <v/>
      </c>
      <c r="AQ139" s="158" t="str">
        <f t="shared" si="466"/>
        <v/>
      </c>
      <c r="AR139" s="39" t="str">
        <f t="shared" si="467"/>
        <v/>
      </c>
      <c r="AS139" s="158" t="str">
        <f t="shared" si="468"/>
        <v/>
      </c>
      <c r="AT139" s="39" t="str">
        <f t="shared" si="469"/>
        <v/>
      </c>
      <c r="AU139" s="172" t="str">
        <f t="shared" si="470"/>
        <v/>
      </c>
      <c r="AV139" s="45"/>
      <c r="AW139" s="84" t="e">
        <f t="shared" si="360"/>
        <v>#N/A</v>
      </c>
      <c r="AX139" s="69" t="e">
        <f t="shared" si="471"/>
        <v>#N/A</v>
      </c>
      <c r="AY139" s="74" t="e">
        <f t="shared" si="472"/>
        <v>#N/A</v>
      </c>
      <c r="AZ139" s="45"/>
      <c r="BA139" s="45"/>
      <c r="BB139" s="45"/>
      <c r="BC139" s="45"/>
      <c r="BD139" s="196"/>
      <c r="BE139" s="182"/>
      <c r="BF139" s="69" t="str">
        <f t="shared" si="363"/>
        <v/>
      </c>
      <c r="BG139" s="69" t="str">
        <f t="shared" si="364"/>
        <v/>
      </c>
      <c r="BH139" s="69" t="str">
        <f t="shared" si="365"/>
        <v/>
      </c>
      <c r="BI139" s="39" t="str">
        <f t="shared" si="366"/>
        <v/>
      </c>
      <c r="BJ139" s="95" t="str">
        <f t="shared" si="473"/>
        <v/>
      </c>
      <c r="BO139" s="176"/>
      <c r="BP139" s="158" t="str">
        <f t="shared" si="474"/>
        <v/>
      </c>
      <c r="BQ139" s="158" t="str">
        <f t="shared" si="475"/>
        <v/>
      </c>
      <c r="BR139" s="158" t="str">
        <f t="shared" si="476"/>
        <v/>
      </c>
      <c r="BS139" s="158" t="str">
        <f>IF(AND(Sufficient_data="Yes",Include_study?="Yes"),IF(Add_0_5="Yes",(a_+d_+1)*(ab_+0.5)*(c_+0.5)/(Number_of_subjects+2)^2,(a_+d_)*b_*c_/Number_of_subjects^2),"")</f>
        <v/>
      </c>
      <c r="BT139" s="158" t="str">
        <f t="shared" si="477"/>
        <v/>
      </c>
      <c r="BU139" s="158" t="str">
        <f t="shared" si="478"/>
        <v/>
      </c>
      <c r="BV139" s="158" t="str">
        <f t="shared" si="479"/>
        <v/>
      </c>
      <c r="BW139" s="69" t="str">
        <f t="shared" si="374"/>
        <v/>
      </c>
      <c r="BX139" s="137" t="str">
        <f t="shared" si="375"/>
        <v/>
      </c>
      <c r="BY139" s="95" t="str">
        <f t="shared" si="480"/>
        <v/>
      </c>
      <c r="CD139" s="176"/>
      <c r="CE139" s="130" t="str">
        <f t="shared" si="481"/>
        <v/>
      </c>
      <c r="CF139" s="39" t="str">
        <f t="shared" si="482"/>
        <v/>
      </c>
      <c r="CG139" s="39" t="str">
        <f t="shared" si="483"/>
        <v/>
      </c>
      <c r="CH139" s="39" t="str">
        <f t="shared" si="484"/>
        <v/>
      </c>
      <c r="CI139" s="39" t="str">
        <f t="shared" si="485"/>
        <v/>
      </c>
      <c r="CJ139" s="39" t="str">
        <f t="shared" si="486"/>
        <v/>
      </c>
      <c r="CK139" s="95" t="str">
        <f t="shared" si="487"/>
        <v/>
      </c>
      <c r="CP139" s="176"/>
      <c r="CQ139" s="99" t="str">
        <f t="shared" si="383"/>
        <v/>
      </c>
      <c r="CX139" s="196"/>
      <c r="CY139" s="89" t="e">
        <f t="shared" si="488"/>
        <v>#N/A</v>
      </c>
      <c r="CZ139" s="136" t="str">
        <f t="shared" si="489"/>
        <v/>
      </c>
      <c r="DA139" s="140" t="str">
        <f t="shared" si="490"/>
        <v/>
      </c>
      <c r="DB139" s="39" t="str">
        <f t="shared" si="491"/>
        <v/>
      </c>
      <c r="DC139" s="39" t="str">
        <f t="shared" si="492"/>
        <v/>
      </c>
      <c r="DD139" s="39" t="str">
        <f t="shared" si="493"/>
        <v/>
      </c>
      <c r="DE139" s="39" t="str">
        <f t="shared" si="494"/>
        <v/>
      </c>
      <c r="DF139" s="141" t="str">
        <f t="shared" si="495"/>
        <v/>
      </c>
      <c r="DG139" s="39" t="str">
        <f t="shared" si="496"/>
        <v/>
      </c>
      <c r="DH139" s="39" t="str">
        <f t="shared" si="497"/>
        <v/>
      </c>
      <c r="DI139" s="39" t="str">
        <f t="shared" si="498"/>
        <v/>
      </c>
      <c r="DJ139" s="74" t="str">
        <f t="shared" si="499"/>
        <v/>
      </c>
      <c r="DK139" s="45"/>
      <c r="DL139" s="84" t="e">
        <f t="shared" si="423"/>
        <v>#N/A</v>
      </c>
      <c r="DM139" s="39" t="e">
        <f t="shared" si="500"/>
        <v>#N/A</v>
      </c>
      <c r="DN139" s="74" t="e">
        <f t="shared" si="501"/>
        <v>#N/A</v>
      </c>
      <c r="DO139" s="45"/>
      <c r="DP139" s="89" t="str">
        <f t="shared" si="525"/>
        <v/>
      </c>
      <c r="DQ139" s="26" t="str">
        <f>IF(AND(Sufficient_data="Yes",Subgroup&lt;&gt;""),IF(COUNTIFS(Input!J$2:J138,"="&amp;"Yes",Input!C$2:C138,"="&amp;"Yes",Input!K$2:K138,"="&amp;Subgroup)&gt;0,"",Subgroup),"")</f>
        <v/>
      </c>
      <c r="DR139" s="7" t="str">
        <f t="shared" si="526"/>
        <v/>
      </c>
      <c r="DS139" s="7" t="str">
        <f t="shared" si="502"/>
        <v/>
      </c>
      <c r="DT139" s="19" t="str">
        <f t="shared" si="503"/>
        <v/>
      </c>
      <c r="DU139" s="12" t="str">
        <f t="shared" si="424"/>
        <v/>
      </c>
      <c r="DV139" s="11" t="str">
        <f t="shared" si="425"/>
        <v/>
      </c>
      <c r="DW139" s="12" t="str">
        <f t="shared" si="426"/>
        <v/>
      </c>
      <c r="DX139" s="12" t="str">
        <f t="shared" si="504"/>
        <v/>
      </c>
      <c r="DY139" s="19" t="str">
        <f t="shared" si="427"/>
        <v/>
      </c>
      <c r="DZ139" s="12" t="str">
        <f t="shared" si="428"/>
        <v/>
      </c>
      <c r="EA139" s="19" t="str">
        <f t="shared" si="505"/>
        <v/>
      </c>
      <c r="EB139" s="7" t="str">
        <f t="shared" si="506"/>
        <v/>
      </c>
      <c r="EC139" s="19" t="str">
        <f t="shared" si="507"/>
        <v/>
      </c>
      <c r="ED139" s="19" t="str">
        <f t="shared" si="508"/>
        <v/>
      </c>
      <c r="EE139" s="19" t="str">
        <f t="shared" si="429"/>
        <v/>
      </c>
      <c r="EF139" s="19" t="str">
        <f t="shared" si="430"/>
        <v/>
      </c>
      <c r="EG139" s="19" t="str">
        <f t="shared" si="431"/>
        <v/>
      </c>
      <c r="EH139" s="19" t="str">
        <f t="shared" si="432"/>
        <v/>
      </c>
      <c r="EI139" s="19" t="str">
        <f t="shared" si="433"/>
        <v/>
      </c>
      <c r="EJ139" s="19" t="str">
        <f t="shared" si="509"/>
        <v/>
      </c>
      <c r="EK139" s="19" t="str">
        <f t="shared" si="510"/>
        <v/>
      </c>
      <c r="EL139" s="19" t="str">
        <f t="shared" si="434"/>
        <v/>
      </c>
      <c r="EM139" s="19" t="str">
        <f t="shared" si="435"/>
        <v/>
      </c>
      <c r="EN139" s="19" t="str">
        <f t="shared" si="436"/>
        <v/>
      </c>
      <c r="EO139" s="19" t="str">
        <f t="shared" si="437"/>
        <v/>
      </c>
      <c r="EP139" s="19" t="str">
        <f t="shared" si="438"/>
        <v/>
      </c>
      <c r="EQ139" s="19" t="e">
        <f t="shared" si="439"/>
        <v>#N/A</v>
      </c>
      <c r="ER139" s="11" t="str">
        <f t="shared" si="527"/>
        <v/>
      </c>
      <c r="ES139" s="19" t="str">
        <f t="shared" si="528"/>
        <v/>
      </c>
      <c r="ET139" s="156" t="str">
        <f t="shared" si="511"/>
        <v/>
      </c>
      <c r="EU139" s="39" t="str">
        <f t="shared" si="440"/>
        <v/>
      </c>
      <c r="EV139" s="74" t="str">
        <f t="shared" si="512"/>
        <v/>
      </c>
      <c r="FA139" s="196"/>
      <c r="FB139" s="84" t="e">
        <f>IF(AND(Include_study?="Yes",Sufficient_data="Yes",Moderator&lt;&gt;""),'Moderator Analysis'!E139,NA())</f>
        <v>#N/A</v>
      </c>
      <c r="FC139" s="39" t="e">
        <f>IF(AND(Include_study?="Yes",Sufficient_data="Yes",Moderator&lt;&gt;""),'Moderator Analysis'!F139,NA())</f>
        <v>#N/A</v>
      </c>
      <c r="FD139" s="39" t="str">
        <f t="shared" si="513"/>
        <v/>
      </c>
      <c r="FE139" s="39" t="str">
        <f t="shared" si="514"/>
        <v/>
      </c>
      <c r="FF139" s="39" t="str">
        <f>IF(AND(Include_study?="Yes",Sufficient_data="Yes",Moderator&lt;&gt;""),'Moderator Analysis'!F:F-FP$2,"")</f>
        <v/>
      </c>
      <c r="FG139" s="39" t="str">
        <f>IF(AND(Include_study?="Yes",Sufficient_data="Yes",Moderator&lt;&gt;""),'Moderator Analysis'!E:E-FP$3,"")</f>
        <v/>
      </c>
      <c r="FH139" s="74" t="str">
        <f>IF(AND(Include_study?="Yes",Sufficient_data="Yes",Moderator&lt;&gt;""),FE:FE*('Moderator Analysis'!F:F-FP$5-FP$4*'Moderator Analysis'!E:E)^2,"")</f>
        <v/>
      </c>
      <c r="FI139" s="128"/>
      <c r="FJ139" s="92" t="str">
        <f t="shared" si="515"/>
        <v/>
      </c>
      <c r="FK139" s="137" t="str">
        <f>IF(AND(Include_study?="Yes",Sufficient_data="Yes",Moderator&lt;&gt;""),'Moderator Analysis'!F:F-'Moderator Analysis'!J$37,"")</f>
        <v/>
      </c>
      <c r="FL139" s="137" t="str">
        <f>IF(AND(Include_study?="Yes",Sufficient_data="Yes",Moderator&lt;&gt;""),'Moderator Analysis'!E:E-SUMPRODUCT('Moderator Analysis'!E:E,FJ:FJ)/SUM(FJ:FJ),"")</f>
        <v/>
      </c>
      <c r="FM139" s="95" t="str">
        <f>IF(AND(Include_study?="Yes",Sufficient_data="Yes",Moderator&lt;&gt;""),FJ:FJ*('Moderator Analysis'!F:F-'Moderator Analysis'!J$29-'Moderator Analysis'!J$30*'Moderator Analysis'!E:E)^2,"")</f>
        <v/>
      </c>
      <c r="FR139" s="196"/>
      <c r="FS139" s="182"/>
      <c r="FT13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39" s="39" t="str">
        <f>IF(AND(Include_study?="Yes",Sufficient_data="Yes"),1/('Publication Bias Analysis'!F:F^2+IF(Additional_model="Fixed effect",0,Calculations!GH$12)),"")</f>
        <v/>
      </c>
      <c r="FV139" s="39" t="str">
        <f>IF(AND(Include_study?="Yes",Sufficient_data="Yes"),1/('Publication Bias Analysis'!F:F^2+IF(Additional_model="Fixed effect",0,'Publication Bias Analysis'!L$32)),"")</f>
        <v/>
      </c>
      <c r="FW139" s="39" t="str">
        <f>IF(AND(Include_study?="Yes",Sufficient_data="Yes"),'Publication Bias Analysis'!E:E-'Publication Bias Analysis'!I$37,"")</f>
        <v/>
      </c>
      <c r="FX139" s="39" t="str">
        <f>IF(AND(Include_study?="Yes",Sufficient_data="Yes"),IF(Additional_model="Fixed effect",1/'Publication Bias Analysis'!F:F,1/SQRT('Publication Bias Analysis'!F:F^2+GH$12)),"")</f>
        <v/>
      </c>
      <c r="FY13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39" s="136" t="str">
        <f t="shared" si="516"/>
        <v/>
      </c>
      <c r="GA139" s="144" t="str">
        <f>IF(AND(Include_study?="Yes",Sufficient_data="Yes"),FZ:FZ+IF(GL:GL&lt;0,-1,1)*COUNTIF(FZ$2:FZ138,FZ:FZ),"")</f>
        <v/>
      </c>
      <c r="GB139" s="144" t="str">
        <f>IF(AND(Include_study?="Yes",Sufficient_data="Yes"),RANK(GP:GP,GP:GP,1)*IF(GO:GO&lt;0,-1,1)+IF(GO:GO&lt;0,-1,1)*COUNTIF(FZ$2:FZ138,FZ:FZ),"")</f>
        <v/>
      </c>
      <c r="GC139" s="144" t="str">
        <f>IF(AND(Include_study?="Yes",Sufficient_data="Yes"),RANK(GS:GS,GS:GS,1)*IF(GR:GR&lt;0,-1,1)+IF(GR:GR&lt;0,-1,1)*COUNTIF(FZ$2:FZ138,FZ:FZ),"")</f>
        <v/>
      </c>
      <c r="GD139" s="39" t="e">
        <f>IF(AND(Include_study?="Yes",Sufficient_data="Yes"),'Publication Bias Analysis'!E139,NA())</f>
        <v>#N/A</v>
      </c>
      <c r="GE139" s="74" t="e">
        <f>IF(AND(Include_study?="Yes",Sufficient_data="Yes"),'Publication Bias Analysis'!F139,NA())</f>
        <v>#N/A</v>
      </c>
      <c r="GK139" s="176"/>
      <c r="GL13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39" s="39" t="str">
        <f t="shared" si="517"/>
        <v/>
      </c>
      <c r="GN13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39" s="39" t="str">
        <f>IF(AND(Include_study?="Yes",Sufficient_data="Yes"),IF('Publication Bias Analysis'!L$38="Left",'Publication Bias Analysis'!E:E-GW$3,GW$3-'Publication Bias Analysis'!E:E),"")</f>
        <v/>
      </c>
      <c r="GP139" s="39" t="str">
        <f t="shared" si="529"/>
        <v/>
      </c>
      <c r="GQ13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39" s="39" t="str">
        <f>IF(AND(Include_study?="Yes",Sufficient_data="Yes"),IF('Publication Bias Analysis'!L$38="Left",'Publication Bias Analysis'!E:E-GW$10,GW$10-'Publication Bias Analysis'!E:E),"")</f>
        <v/>
      </c>
      <c r="GS139" s="39" t="str">
        <f t="shared" si="530"/>
        <v/>
      </c>
      <c r="GT13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39" s="176"/>
      <c r="HL139" s="69" t="str">
        <f t="shared" si="518"/>
        <v/>
      </c>
      <c r="HM139" s="74" t="str">
        <f>IF(AND(Include_study?="Yes",Sufficient_data="Yes"),Z_score-('Publication Bias Analysis'!P$3+'Publication Bias Analysis'!P$4*Inverse_standard_error),"")</f>
        <v/>
      </c>
      <c r="HO139" s="176"/>
      <c r="HP139" s="69" t="str">
        <f>IF(AND(Include_study?="Yes",Sufficient_data="Yes"),(GD:GD-SUMPRODUCT(Calculations!FT:FT,'Publication Bias Analysis'!E:E)/SUM(Calculations!FT:FT))/SQRT(Calculations!HQ:HQ),"")</f>
        <v/>
      </c>
      <c r="HQ139" s="69" t="str">
        <f>IF(AND(Include_study?="Yes",Sufficient_data="Yes"),GE:GE^2-1/SUM(Calculations!FT:FT),"")</f>
        <v/>
      </c>
      <c r="HR139" s="7" t="str">
        <f t="shared" si="441"/>
        <v/>
      </c>
      <c r="HS139" s="7" t="str">
        <f t="shared" si="442"/>
        <v/>
      </c>
      <c r="HT139" s="7" t="str">
        <f>IF(AND(Include_study?="Yes",Sufficient_data="Yes"),COUNTIFS(HR$2:HR138,"&lt;"&amp;HR139,HS$2:HS138,"&lt;"&amp;HS139)+COUNTIFS(HR140:HR$201,"&lt;"&amp;HR139,HS140:HS$201,"&lt;"&amp;HS139)+COUNTIFS(HR$2:HR138,"&gt;"&amp;HR139,HS$2:HS138,"&gt;"&amp;HS139)+COUNTIFS(HR140:HR$201,"&gt;"&amp;HR139,HS140:HS$201,"&gt;"&amp;HS139),"")</f>
        <v/>
      </c>
      <c r="HU139" s="104" t="str">
        <f>IF(AND(Include_study?="Yes",Sufficient_data="Yes"),COUNTIFS(HR$2:HR138,"&lt;"&amp;HR139,HS$2:HS138,"&gt;"&amp;HS139)+COUNTIFS(HR140:HR$201,"&lt;"&amp;HR139,HS140:HS$201,"&gt;"&amp;HS139)+COUNTIFS(HR$2:HR138,"&gt;"&amp;HR139,HS$2:HS138,"&lt;"&amp;HS139)+COUNTIFS(HR140:HR$201,"&gt;"&amp;HR139,HS140:HS$201,"&lt;"&amp;HS139),"")</f>
        <v/>
      </c>
      <c r="HW139" s="176"/>
      <c r="IB139" s="176"/>
      <c r="IC139" s="146" t="e">
        <f t="shared" si="519"/>
        <v>#N/A</v>
      </c>
      <c r="ID139" s="137" t="e">
        <f t="shared" si="520"/>
        <v>#N/A</v>
      </c>
      <c r="IE139" s="137" t="str">
        <f t="shared" si="521"/>
        <v/>
      </c>
      <c r="IF139" s="95" t="str">
        <f t="shared" si="522"/>
        <v/>
      </c>
      <c r="IK139" s="176"/>
      <c r="IL139" s="69" t="e">
        <f>IF(AND(Include_study?="Yes",Sufficient_data="Yes"),'Publication Bias Analysis'!AV:AV,NA())</f>
        <v>#N/A</v>
      </c>
      <c r="IM139" s="158" t="e">
        <f>IF(AND(Sufficient_data="Yes",Include_study?="Yes"),'Publication Bias Analysis'!AU:AU,NA())</f>
        <v>#N/A</v>
      </c>
      <c r="IN139" s="69" t="str">
        <f t="shared" si="418"/>
        <v/>
      </c>
      <c r="IO139" s="74" t="str">
        <f>IF(AND(Include_study?="Yes",Sufficient_data="Yes"),Z_score-('Publication Bias Analysis'!AY$30+'Publication Bias Analysis'!AY$31*Inverse_standard_error),"")</f>
        <v/>
      </c>
      <c r="IU139" s="176"/>
      <c r="IV139" s="7" t="str">
        <f>IF('Publication Bias Analysis'!BG:BG&lt;&gt;"",RANK('Publication Bias Analysis'!BG:BG,'Publication Bias Analysis'!BG:BG,1)+COUNTIF('Publication Bias Analysis'!BG$2:BG138,'Publication Bias Analysis'!BG139),"")</f>
        <v/>
      </c>
      <c r="IW139" s="124" t="str">
        <f t="shared" si="523"/>
        <v/>
      </c>
      <c r="IX139" s="125" t="e">
        <f>IF('Publication Bias Analysis'!BF139&lt;&gt;"",'Publication Bias Analysis'!BF139,NA())</f>
        <v>#N/A</v>
      </c>
      <c r="IY139" s="125" t="e">
        <f>IF('Publication Bias Analysis'!BG139&lt;&gt;"",'Publication Bias Analysis'!BG139,NA())</f>
        <v>#N/A</v>
      </c>
      <c r="IZ139" s="69" t="str">
        <f>IF(AND(Include_study?="Yes",Sufficient_data="Yes"),'Publication Bias Analysis'!BF:BF-AVERAGE('Publication Bias Analysis'!BF:BF),"")</f>
        <v/>
      </c>
      <c r="JA139" s="74" t="str">
        <f>IF(AND(Include_study?="Yes",Sufficient_data="Yes"),'Publication Bias Analysis'!BG:BG-('Publication Bias Analysis'!BJ$30+'Publication Bias Analysis'!BJ$31*'Publication Bias Analysis'!BF:BF),"")</f>
        <v/>
      </c>
      <c r="JG139" s="176"/>
      <c r="JH139" s="39" t="str">
        <f t="shared" si="524"/>
        <v/>
      </c>
      <c r="JI139" s="148" t="str">
        <f t="shared" si="531"/>
        <v/>
      </c>
      <c r="JJ139" s="74" t="str">
        <f t="shared" si="532"/>
        <v/>
      </c>
    </row>
    <row r="140" spans="1:270" x14ac:dyDescent="0.2">
      <c r="A140" s="56" t="str">
        <f t="shared" si="334"/>
        <v/>
      </c>
      <c r="B140" s="7" t="str">
        <f>IF(AND(Include_study?="Yes",Sufficient_data="Yes"),IF(Input!a_&lt;&gt;"",Input!a_,Input!n1_-Input!b_),"")</f>
        <v/>
      </c>
      <c r="C140" s="7" t="str">
        <f>IF(AND(Include_study?="Yes",Sufficient_data="Yes"),IF(Input!b_&lt;&gt;"",Input!b_,Input!n1_-Input!a_),"")</f>
        <v/>
      </c>
      <c r="D140" s="7" t="str">
        <f>IF(AND(Include_study?="Yes",Sufficient_data="Yes"),IF(Input!c_&lt;&gt;"",Input!c_,Input!n2_-Input!d_),"")</f>
        <v/>
      </c>
      <c r="E140" s="7" t="str">
        <f>IF(AND(Include_study?="Yes",Sufficient_data="Yes"),IF(Input!d_&lt;&gt;"",Input!d_,Input!n2_-Input!c_),"")</f>
        <v/>
      </c>
      <c r="F140" s="74" t="str">
        <f t="shared" si="443"/>
        <v/>
      </c>
      <c r="H140" s="196"/>
      <c r="I140" s="182"/>
      <c r="J140" s="146" t="str">
        <f t="shared" si="444"/>
        <v/>
      </c>
      <c r="K140" s="39" t="str">
        <f t="shared" si="445"/>
        <v/>
      </c>
      <c r="L140" s="39" t="str">
        <f t="shared" si="446"/>
        <v/>
      </c>
      <c r="M140" s="39" t="str">
        <f t="shared" si="447"/>
        <v/>
      </c>
      <c r="N140" s="74" t="str">
        <f t="shared" si="448"/>
        <v/>
      </c>
      <c r="P140" s="176"/>
      <c r="Q140" s="130" t="str">
        <f t="shared" si="449"/>
        <v/>
      </c>
      <c r="R140" s="39" t="str">
        <f t="shared" si="450"/>
        <v/>
      </c>
      <c r="S140" s="39" t="str">
        <f t="shared" si="451"/>
        <v/>
      </c>
      <c r="T140" s="74" t="str">
        <f t="shared" si="452"/>
        <v/>
      </c>
      <c r="V140" s="176"/>
      <c r="W140" s="130" t="str">
        <f t="shared" si="453"/>
        <v/>
      </c>
      <c r="X140" s="39" t="str">
        <f t="shared" si="454"/>
        <v/>
      </c>
      <c r="Y140" s="39" t="str">
        <f t="shared" si="455"/>
        <v/>
      </c>
      <c r="Z140" s="74" t="str">
        <f t="shared" si="456"/>
        <v/>
      </c>
      <c r="AB140" s="176"/>
      <c r="AC140" s="130" t="str">
        <f t="shared" si="457"/>
        <v/>
      </c>
      <c r="AD140" s="39" t="str">
        <f t="shared" si="458"/>
        <v/>
      </c>
      <c r="AE140" s="39" t="str">
        <f t="shared" si="459"/>
        <v/>
      </c>
      <c r="AF140" s="39" t="str">
        <f t="shared" si="460"/>
        <v/>
      </c>
      <c r="AG140" s="74" t="str">
        <f t="shared" si="461"/>
        <v/>
      </c>
      <c r="AI140" s="196"/>
      <c r="AJ14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0" s="136" t="str">
        <f>IF(AJ140&lt;&gt;"",IF(AJ140=0,COUNTIF(AJ$2:AJ139,0)+1,COUNTIF(AJ$2:AJ139,AJ140)+AJ140+COUNTIF(AJ:AJ,0)),"")</f>
        <v/>
      </c>
      <c r="AL140" s="136" t="str">
        <f t="shared" si="462"/>
        <v/>
      </c>
      <c r="AM140" s="155" t="str">
        <f>IF(AND(Include_study?="Yes",Sufficient_data="Yes",Input!Study_name&lt;&gt;""),Input!Study_name,"")</f>
        <v/>
      </c>
      <c r="AN140" s="136" t="str">
        <f t="shared" si="463"/>
        <v/>
      </c>
      <c r="AO140" s="19" t="str">
        <f t="shared" si="464"/>
        <v/>
      </c>
      <c r="AP140" s="158" t="str">
        <f t="shared" si="465"/>
        <v/>
      </c>
      <c r="AQ140" s="158" t="str">
        <f t="shared" si="466"/>
        <v/>
      </c>
      <c r="AR140" s="39" t="str">
        <f t="shared" si="467"/>
        <v/>
      </c>
      <c r="AS140" s="158" t="str">
        <f t="shared" si="468"/>
        <v/>
      </c>
      <c r="AT140" s="39" t="str">
        <f t="shared" si="469"/>
        <v/>
      </c>
      <c r="AU140" s="172" t="str">
        <f t="shared" si="470"/>
        <v/>
      </c>
      <c r="AV140" s="45"/>
      <c r="AW140" s="84" t="e">
        <f t="shared" si="360"/>
        <v>#N/A</v>
      </c>
      <c r="AX140" s="69" t="e">
        <f t="shared" si="471"/>
        <v>#N/A</v>
      </c>
      <c r="AY140" s="74" t="e">
        <f t="shared" si="472"/>
        <v>#N/A</v>
      </c>
      <c r="AZ140" s="45"/>
      <c r="BA140" s="45"/>
      <c r="BB140" s="45"/>
      <c r="BC140" s="45"/>
      <c r="BD140" s="196"/>
      <c r="BE140" s="182"/>
      <c r="BF140" s="69" t="str">
        <f t="shared" si="363"/>
        <v/>
      </c>
      <c r="BG140" s="69" t="str">
        <f t="shared" si="364"/>
        <v/>
      </c>
      <c r="BH140" s="69" t="str">
        <f t="shared" si="365"/>
        <v/>
      </c>
      <c r="BI140" s="39" t="str">
        <f t="shared" si="366"/>
        <v/>
      </c>
      <c r="BJ140" s="95" t="str">
        <f t="shared" si="473"/>
        <v/>
      </c>
      <c r="BO140" s="176"/>
      <c r="BP140" s="158" t="str">
        <f t="shared" si="474"/>
        <v/>
      </c>
      <c r="BQ140" s="158" t="str">
        <f t="shared" si="475"/>
        <v/>
      </c>
      <c r="BR140" s="158" t="str">
        <f t="shared" si="476"/>
        <v/>
      </c>
      <c r="BS140" s="158" t="str">
        <f>IF(AND(Sufficient_data="Yes",Include_study?="Yes"),IF(Add_0_5="Yes",(a_+d_+1)*(ab_+0.5)*(c_+0.5)/(Number_of_subjects+2)^2,(a_+d_)*b_*c_/Number_of_subjects^2),"")</f>
        <v/>
      </c>
      <c r="BT140" s="158" t="str">
        <f t="shared" si="477"/>
        <v/>
      </c>
      <c r="BU140" s="158" t="str">
        <f t="shared" si="478"/>
        <v/>
      </c>
      <c r="BV140" s="158" t="str">
        <f t="shared" si="479"/>
        <v/>
      </c>
      <c r="BW140" s="69" t="str">
        <f t="shared" si="374"/>
        <v/>
      </c>
      <c r="BX140" s="137" t="str">
        <f t="shared" si="375"/>
        <v/>
      </c>
      <c r="BY140" s="95" t="str">
        <f t="shared" si="480"/>
        <v/>
      </c>
      <c r="CD140" s="176"/>
      <c r="CE140" s="130" t="str">
        <f t="shared" si="481"/>
        <v/>
      </c>
      <c r="CF140" s="39" t="str">
        <f t="shared" si="482"/>
        <v/>
      </c>
      <c r="CG140" s="39" t="str">
        <f t="shared" si="483"/>
        <v/>
      </c>
      <c r="CH140" s="39" t="str">
        <f t="shared" si="484"/>
        <v/>
      </c>
      <c r="CI140" s="39" t="str">
        <f t="shared" si="485"/>
        <v/>
      </c>
      <c r="CJ140" s="39" t="str">
        <f t="shared" si="486"/>
        <v/>
      </c>
      <c r="CK140" s="95" t="str">
        <f t="shared" si="487"/>
        <v/>
      </c>
      <c r="CP140" s="176"/>
      <c r="CQ140" s="99" t="str">
        <f t="shared" si="383"/>
        <v/>
      </c>
      <c r="CX140" s="196"/>
      <c r="CY140" s="89" t="e">
        <f t="shared" si="488"/>
        <v>#N/A</v>
      </c>
      <c r="CZ140" s="136" t="str">
        <f t="shared" si="489"/>
        <v/>
      </c>
      <c r="DA140" s="140" t="str">
        <f t="shared" si="490"/>
        <v/>
      </c>
      <c r="DB140" s="39" t="str">
        <f t="shared" si="491"/>
        <v/>
      </c>
      <c r="DC140" s="39" t="str">
        <f t="shared" si="492"/>
        <v/>
      </c>
      <c r="DD140" s="39" t="str">
        <f t="shared" si="493"/>
        <v/>
      </c>
      <c r="DE140" s="39" t="str">
        <f t="shared" si="494"/>
        <v/>
      </c>
      <c r="DF140" s="141" t="str">
        <f t="shared" si="495"/>
        <v/>
      </c>
      <c r="DG140" s="39" t="str">
        <f t="shared" si="496"/>
        <v/>
      </c>
      <c r="DH140" s="39" t="str">
        <f t="shared" si="497"/>
        <v/>
      </c>
      <c r="DI140" s="39" t="str">
        <f t="shared" si="498"/>
        <v/>
      </c>
      <c r="DJ140" s="74" t="str">
        <f t="shared" si="499"/>
        <v/>
      </c>
      <c r="DK140" s="45"/>
      <c r="DL140" s="84" t="e">
        <f t="shared" si="423"/>
        <v>#N/A</v>
      </c>
      <c r="DM140" s="39" t="e">
        <f t="shared" si="500"/>
        <v>#N/A</v>
      </c>
      <c r="DN140" s="74" t="e">
        <f t="shared" si="501"/>
        <v>#N/A</v>
      </c>
      <c r="DO140" s="45"/>
      <c r="DP140" s="89" t="str">
        <f t="shared" si="525"/>
        <v/>
      </c>
      <c r="DQ140" s="26" t="str">
        <f>IF(AND(Sufficient_data="Yes",Subgroup&lt;&gt;""),IF(COUNTIFS(Input!J$2:J139,"="&amp;"Yes",Input!C$2:C139,"="&amp;"Yes",Input!K$2:K139,"="&amp;Subgroup)&gt;0,"",Subgroup),"")</f>
        <v/>
      </c>
      <c r="DR140" s="7" t="str">
        <f t="shared" si="526"/>
        <v/>
      </c>
      <c r="DS140" s="7" t="str">
        <f t="shared" si="502"/>
        <v/>
      </c>
      <c r="DT140" s="19" t="str">
        <f t="shared" si="503"/>
        <v/>
      </c>
      <c r="DU140" s="12" t="str">
        <f t="shared" si="424"/>
        <v/>
      </c>
      <c r="DV140" s="11" t="str">
        <f t="shared" si="425"/>
        <v/>
      </c>
      <c r="DW140" s="12" t="str">
        <f t="shared" si="426"/>
        <v/>
      </c>
      <c r="DX140" s="12" t="str">
        <f t="shared" si="504"/>
        <v/>
      </c>
      <c r="DY140" s="19" t="str">
        <f t="shared" si="427"/>
        <v/>
      </c>
      <c r="DZ140" s="12" t="str">
        <f t="shared" si="428"/>
        <v/>
      </c>
      <c r="EA140" s="19" t="str">
        <f t="shared" si="505"/>
        <v/>
      </c>
      <c r="EB140" s="7" t="str">
        <f t="shared" si="506"/>
        <v/>
      </c>
      <c r="EC140" s="19" t="str">
        <f t="shared" si="507"/>
        <v/>
      </c>
      <c r="ED140" s="19" t="str">
        <f t="shared" si="508"/>
        <v/>
      </c>
      <c r="EE140" s="19" t="str">
        <f t="shared" si="429"/>
        <v/>
      </c>
      <c r="EF140" s="19" t="str">
        <f t="shared" si="430"/>
        <v/>
      </c>
      <c r="EG140" s="19" t="str">
        <f t="shared" si="431"/>
        <v/>
      </c>
      <c r="EH140" s="19" t="str">
        <f t="shared" si="432"/>
        <v/>
      </c>
      <c r="EI140" s="19" t="str">
        <f t="shared" si="433"/>
        <v/>
      </c>
      <c r="EJ140" s="19" t="str">
        <f t="shared" si="509"/>
        <v/>
      </c>
      <c r="EK140" s="19" t="str">
        <f t="shared" si="510"/>
        <v/>
      </c>
      <c r="EL140" s="19" t="str">
        <f t="shared" si="434"/>
        <v/>
      </c>
      <c r="EM140" s="19" t="str">
        <f t="shared" si="435"/>
        <v/>
      </c>
      <c r="EN140" s="19" t="str">
        <f t="shared" si="436"/>
        <v/>
      </c>
      <c r="EO140" s="19" t="str">
        <f t="shared" si="437"/>
        <v/>
      </c>
      <c r="EP140" s="19" t="str">
        <f t="shared" si="438"/>
        <v/>
      </c>
      <c r="EQ140" s="19" t="e">
        <f t="shared" si="439"/>
        <v>#N/A</v>
      </c>
      <c r="ER140" s="11" t="str">
        <f t="shared" si="527"/>
        <v/>
      </c>
      <c r="ES140" s="19" t="str">
        <f t="shared" si="528"/>
        <v/>
      </c>
      <c r="ET140" s="156" t="str">
        <f t="shared" si="511"/>
        <v/>
      </c>
      <c r="EU140" s="39" t="str">
        <f t="shared" si="440"/>
        <v/>
      </c>
      <c r="EV140" s="74" t="str">
        <f t="shared" si="512"/>
        <v/>
      </c>
      <c r="FA140" s="196"/>
      <c r="FB140" s="84" t="e">
        <f>IF(AND(Include_study?="Yes",Sufficient_data="Yes",Moderator&lt;&gt;""),'Moderator Analysis'!E140,NA())</f>
        <v>#N/A</v>
      </c>
      <c r="FC140" s="39" t="e">
        <f>IF(AND(Include_study?="Yes",Sufficient_data="Yes",Moderator&lt;&gt;""),'Moderator Analysis'!F140,NA())</f>
        <v>#N/A</v>
      </c>
      <c r="FD140" s="39" t="str">
        <f t="shared" si="513"/>
        <v/>
      </c>
      <c r="FE140" s="39" t="str">
        <f t="shared" si="514"/>
        <v/>
      </c>
      <c r="FF140" s="39" t="str">
        <f>IF(AND(Include_study?="Yes",Sufficient_data="Yes",Moderator&lt;&gt;""),'Moderator Analysis'!F:F-FP$2,"")</f>
        <v/>
      </c>
      <c r="FG140" s="39" t="str">
        <f>IF(AND(Include_study?="Yes",Sufficient_data="Yes",Moderator&lt;&gt;""),'Moderator Analysis'!E:E-FP$3,"")</f>
        <v/>
      </c>
      <c r="FH140" s="74" t="str">
        <f>IF(AND(Include_study?="Yes",Sufficient_data="Yes",Moderator&lt;&gt;""),FE:FE*('Moderator Analysis'!F:F-FP$5-FP$4*'Moderator Analysis'!E:E)^2,"")</f>
        <v/>
      </c>
      <c r="FI140" s="128"/>
      <c r="FJ140" s="92" t="str">
        <f t="shared" si="515"/>
        <v/>
      </c>
      <c r="FK140" s="137" t="str">
        <f>IF(AND(Include_study?="Yes",Sufficient_data="Yes",Moderator&lt;&gt;""),'Moderator Analysis'!F:F-'Moderator Analysis'!J$37,"")</f>
        <v/>
      </c>
      <c r="FL140" s="137" t="str">
        <f>IF(AND(Include_study?="Yes",Sufficient_data="Yes",Moderator&lt;&gt;""),'Moderator Analysis'!E:E-SUMPRODUCT('Moderator Analysis'!E:E,FJ:FJ)/SUM(FJ:FJ),"")</f>
        <v/>
      </c>
      <c r="FM140" s="95" t="str">
        <f>IF(AND(Include_study?="Yes",Sufficient_data="Yes",Moderator&lt;&gt;""),FJ:FJ*('Moderator Analysis'!F:F-'Moderator Analysis'!J$29-'Moderator Analysis'!J$30*'Moderator Analysis'!E:E)^2,"")</f>
        <v/>
      </c>
      <c r="FR140" s="196"/>
      <c r="FS140" s="182"/>
      <c r="FT14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0" s="39" t="str">
        <f>IF(AND(Include_study?="Yes",Sufficient_data="Yes"),1/('Publication Bias Analysis'!F:F^2+IF(Additional_model="Fixed effect",0,Calculations!GH$12)),"")</f>
        <v/>
      </c>
      <c r="FV140" s="39" t="str">
        <f>IF(AND(Include_study?="Yes",Sufficient_data="Yes"),1/('Publication Bias Analysis'!F:F^2+IF(Additional_model="Fixed effect",0,'Publication Bias Analysis'!L$32)),"")</f>
        <v/>
      </c>
      <c r="FW140" s="39" t="str">
        <f>IF(AND(Include_study?="Yes",Sufficient_data="Yes"),'Publication Bias Analysis'!E:E-'Publication Bias Analysis'!I$37,"")</f>
        <v/>
      </c>
      <c r="FX140" s="39" t="str">
        <f>IF(AND(Include_study?="Yes",Sufficient_data="Yes"),IF(Additional_model="Fixed effect",1/'Publication Bias Analysis'!F:F,1/SQRT('Publication Bias Analysis'!F:F^2+GH$12)),"")</f>
        <v/>
      </c>
      <c r="FY14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0" s="136" t="str">
        <f t="shared" si="516"/>
        <v/>
      </c>
      <c r="GA140" s="144" t="str">
        <f>IF(AND(Include_study?="Yes",Sufficient_data="Yes"),FZ:FZ+IF(GL:GL&lt;0,-1,1)*COUNTIF(FZ$2:FZ139,FZ:FZ),"")</f>
        <v/>
      </c>
      <c r="GB140" s="144" t="str">
        <f>IF(AND(Include_study?="Yes",Sufficient_data="Yes"),RANK(GP:GP,GP:GP,1)*IF(GO:GO&lt;0,-1,1)+IF(GO:GO&lt;0,-1,1)*COUNTIF(FZ$2:FZ139,FZ:FZ),"")</f>
        <v/>
      </c>
      <c r="GC140" s="144" t="str">
        <f>IF(AND(Include_study?="Yes",Sufficient_data="Yes"),RANK(GS:GS,GS:GS,1)*IF(GR:GR&lt;0,-1,1)+IF(GR:GR&lt;0,-1,1)*COUNTIF(FZ$2:FZ139,FZ:FZ),"")</f>
        <v/>
      </c>
      <c r="GD140" s="39" t="e">
        <f>IF(AND(Include_study?="Yes",Sufficient_data="Yes"),'Publication Bias Analysis'!E140,NA())</f>
        <v>#N/A</v>
      </c>
      <c r="GE140" s="74" t="e">
        <f>IF(AND(Include_study?="Yes",Sufficient_data="Yes"),'Publication Bias Analysis'!F140,NA())</f>
        <v>#N/A</v>
      </c>
      <c r="GK140" s="176"/>
      <c r="GL14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0" s="39" t="str">
        <f t="shared" si="517"/>
        <v/>
      </c>
      <c r="GN14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0" s="39" t="str">
        <f>IF(AND(Include_study?="Yes",Sufficient_data="Yes"),IF('Publication Bias Analysis'!L$38="Left",'Publication Bias Analysis'!E:E-GW$3,GW$3-'Publication Bias Analysis'!E:E),"")</f>
        <v/>
      </c>
      <c r="GP140" s="39" t="str">
        <f t="shared" si="529"/>
        <v/>
      </c>
      <c r="GQ14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0" s="39" t="str">
        <f>IF(AND(Include_study?="Yes",Sufficient_data="Yes"),IF('Publication Bias Analysis'!L$38="Left",'Publication Bias Analysis'!E:E-GW$10,GW$10-'Publication Bias Analysis'!E:E),"")</f>
        <v/>
      </c>
      <c r="GS140" s="39" t="str">
        <f t="shared" si="530"/>
        <v/>
      </c>
      <c r="GT14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0" s="176"/>
      <c r="HL140" s="69" t="str">
        <f t="shared" si="518"/>
        <v/>
      </c>
      <c r="HM140" s="74" t="str">
        <f>IF(AND(Include_study?="Yes",Sufficient_data="Yes"),Z_score-('Publication Bias Analysis'!P$3+'Publication Bias Analysis'!P$4*Inverse_standard_error),"")</f>
        <v/>
      </c>
      <c r="HO140" s="176"/>
      <c r="HP140" s="69" t="str">
        <f>IF(AND(Include_study?="Yes",Sufficient_data="Yes"),(GD:GD-SUMPRODUCT(Calculations!FT:FT,'Publication Bias Analysis'!E:E)/SUM(Calculations!FT:FT))/SQRT(Calculations!HQ:HQ),"")</f>
        <v/>
      </c>
      <c r="HQ140" s="69" t="str">
        <f>IF(AND(Include_study?="Yes",Sufficient_data="Yes"),GE:GE^2-1/SUM(Calculations!FT:FT),"")</f>
        <v/>
      </c>
      <c r="HR140" s="7" t="str">
        <f t="shared" si="441"/>
        <v/>
      </c>
      <c r="HS140" s="7" t="str">
        <f t="shared" si="442"/>
        <v/>
      </c>
      <c r="HT140" s="7" t="str">
        <f>IF(AND(Include_study?="Yes",Sufficient_data="Yes"),COUNTIFS(HR$2:HR139,"&lt;"&amp;HR140,HS$2:HS139,"&lt;"&amp;HS140)+COUNTIFS(HR141:HR$201,"&lt;"&amp;HR140,HS141:HS$201,"&lt;"&amp;HS140)+COUNTIFS(HR$2:HR139,"&gt;"&amp;HR140,HS$2:HS139,"&gt;"&amp;HS140)+COUNTIFS(HR141:HR$201,"&gt;"&amp;HR140,HS141:HS$201,"&gt;"&amp;HS140),"")</f>
        <v/>
      </c>
      <c r="HU140" s="104" t="str">
        <f>IF(AND(Include_study?="Yes",Sufficient_data="Yes"),COUNTIFS(HR$2:HR139,"&lt;"&amp;HR140,HS$2:HS139,"&gt;"&amp;HS140)+COUNTIFS(HR141:HR$201,"&lt;"&amp;HR140,HS141:HS$201,"&gt;"&amp;HS140)+COUNTIFS(HR$2:HR139,"&gt;"&amp;HR140,HS$2:HS139,"&lt;"&amp;HS140)+COUNTIFS(HR141:HR$201,"&gt;"&amp;HR140,HS141:HS$201,"&lt;"&amp;HS140),"")</f>
        <v/>
      </c>
      <c r="HW140" s="176"/>
      <c r="IB140" s="176"/>
      <c r="IC140" s="146" t="e">
        <f t="shared" si="519"/>
        <v>#N/A</v>
      </c>
      <c r="ID140" s="137" t="e">
        <f t="shared" si="520"/>
        <v>#N/A</v>
      </c>
      <c r="IE140" s="137" t="str">
        <f t="shared" si="521"/>
        <v/>
      </c>
      <c r="IF140" s="95" t="str">
        <f t="shared" si="522"/>
        <v/>
      </c>
      <c r="IK140" s="176"/>
      <c r="IL140" s="69" t="e">
        <f>IF(AND(Include_study?="Yes",Sufficient_data="Yes"),'Publication Bias Analysis'!AV:AV,NA())</f>
        <v>#N/A</v>
      </c>
      <c r="IM140" s="158" t="e">
        <f>IF(AND(Sufficient_data="Yes",Include_study?="Yes"),'Publication Bias Analysis'!AU:AU,NA())</f>
        <v>#N/A</v>
      </c>
      <c r="IN140" s="69" t="str">
        <f t="shared" si="418"/>
        <v/>
      </c>
      <c r="IO140" s="74" t="str">
        <f>IF(AND(Include_study?="Yes",Sufficient_data="Yes"),Z_score-('Publication Bias Analysis'!AY$30+'Publication Bias Analysis'!AY$31*Inverse_standard_error),"")</f>
        <v/>
      </c>
      <c r="IU140" s="176"/>
      <c r="IV140" s="7" t="str">
        <f>IF('Publication Bias Analysis'!BG:BG&lt;&gt;"",RANK('Publication Bias Analysis'!BG:BG,'Publication Bias Analysis'!BG:BG,1)+COUNTIF('Publication Bias Analysis'!BG$2:BG139,'Publication Bias Analysis'!BG140),"")</f>
        <v/>
      </c>
      <c r="IW140" s="124" t="str">
        <f t="shared" si="523"/>
        <v/>
      </c>
      <c r="IX140" s="125" t="e">
        <f>IF('Publication Bias Analysis'!BF140&lt;&gt;"",'Publication Bias Analysis'!BF140,NA())</f>
        <v>#N/A</v>
      </c>
      <c r="IY140" s="125" t="e">
        <f>IF('Publication Bias Analysis'!BG140&lt;&gt;"",'Publication Bias Analysis'!BG140,NA())</f>
        <v>#N/A</v>
      </c>
      <c r="IZ140" s="69" t="str">
        <f>IF(AND(Include_study?="Yes",Sufficient_data="Yes"),'Publication Bias Analysis'!BF:BF-AVERAGE('Publication Bias Analysis'!BF:BF),"")</f>
        <v/>
      </c>
      <c r="JA140" s="74" t="str">
        <f>IF(AND(Include_study?="Yes",Sufficient_data="Yes"),'Publication Bias Analysis'!BG:BG-('Publication Bias Analysis'!BJ$30+'Publication Bias Analysis'!BJ$31*'Publication Bias Analysis'!BF:BF),"")</f>
        <v/>
      </c>
      <c r="JG140" s="176"/>
      <c r="JH140" s="39" t="str">
        <f t="shared" si="524"/>
        <v/>
      </c>
      <c r="JI140" s="148" t="str">
        <f t="shared" si="531"/>
        <v/>
      </c>
      <c r="JJ140" s="74" t="str">
        <f t="shared" si="532"/>
        <v/>
      </c>
    </row>
    <row r="141" spans="1:270" x14ac:dyDescent="0.2">
      <c r="A141" s="56" t="str">
        <f t="shared" si="334"/>
        <v/>
      </c>
      <c r="B141" s="7" t="str">
        <f>IF(AND(Include_study?="Yes",Sufficient_data="Yes"),IF(Input!a_&lt;&gt;"",Input!a_,Input!n1_-Input!b_),"")</f>
        <v/>
      </c>
      <c r="C141" s="7" t="str">
        <f>IF(AND(Include_study?="Yes",Sufficient_data="Yes"),IF(Input!b_&lt;&gt;"",Input!b_,Input!n1_-Input!a_),"")</f>
        <v/>
      </c>
      <c r="D141" s="7" t="str">
        <f>IF(AND(Include_study?="Yes",Sufficient_data="Yes"),IF(Input!c_&lt;&gt;"",Input!c_,Input!n2_-Input!d_),"")</f>
        <v/>
      </c>
      <c r="E141" s="7" t="str">
        <f>IF(AND(Include_study?="Yes",Sufficient_data="Yes"),IF(Input!d_&lt;&gt;"",Input!d_,Input!n2_-Input!c_),"")</f>
        <v/>
      </c>
      <c r="F141" s="74" t="str">
        <f t="shared" si="443"/>
        <v/>
      </c>
      <c r="H141" s="196"/>
      <c r="I141" s="182"/>
      <c r="J141" s="146" t="str">
        <f t="shared" si="444"/>
        <v/>
      </c>
      <c r="K141" s="39" t="str">
        <f t="shared" si="445"/>
        <v/>
      </c>
      <c r="L141" s="39" t="str">
        <f t="shared" si="446"/>
        <v/>
      </c>
      <c r="M141" s="39" t="str">
        <f t="shared" si="447"/>
        <v/>
      </c>
      <c r="N141" s="74" t="str">
        <f t="shared" si="448"/>
        <v/>
      </c>
      <c r="P141" s="176"/>
      <c r="Q141" s="130" t="str">
        <f t="shared" si="449"/>
        <v/>
      </c>
      <c r="R141" s="39" t="str">
        <f t="shared" si="450"/>
        <v/>
      </c>
      <c r="S141" s="39" t="str">
        <f t="shared" si="451"/>
        <v/>
      </c>
      <c r="T141" s="74" t="str">
        <f t="shared" si="452"/>
        <v/>
      </c>
      <c r="V141" s="176"/>
      <c r="W141" s="130" t="str">
        <f t="shared" si="453"/>
        <v/>
      </c>
      <c r="X141" s="39" t="str">
        <f t="shared" si="454"/>
        <v/>
      </c>
      <c r="Y141" s="39" t="str">
        <f t="shared" si="455"/>
        <v/>
      </c>
      <c r="Z141" s="74" t="str">
        <f t="shared" si="456"/>
        <v/>
      </c>
      <c r="AB141" s="176"/>
      <c r="AC141" s="130" t="str">
        <f t="shared" si="457"/>
        <v/>
      </c>
      <c r="AD141" s="39" t="str">
        <f t="shared" si="458"/>
        <v/>
      </c>
      <c r="AE141" s="39" t="str">
        <f t="shared" si="459"/>
        <v/>
      </c>
      <c r="AF141" s="39" t="str">
        <f t="shared" si="460"/>
        <v/>
      </c>
      <c r="AG141" s="74" t="str">
        <f t="shared" si="461"/>
        <v/>
      </c>
      <c r="AI141" s="196"/>
      <c r="AJ14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1" s="136" t="str">
        <f>IF(AJ141&lt;&gt;"",IF(AJ141=0,COUNTIF(AJ$2:AJ140,0)+1,COUNTIF(AJ$2:AJ140,AJ141)+AJ141+COUNTIF(AJ:AJ,0)),"")</f>
        <v/>
      </c>
      <c r="AL141" s="136" t="str">
        <f t="shared" si="462"/>
        <v/>
      </c>
      <c r="AM141" s="155" t="str">
        <f>IF(AND(Include_study?="Yes",Sufficient_data="Yes",Input!Study_name&lt;&gt;""),Input!Study_name,"")</f>
        <v/>
      </c>
      <c r="AN141" s="136" t="str">
        <f t="shared" si="463"/>
        <v/>
      </c>
      <c r="AO141" s="19" t="str">
        <f t="shared" si="464"/>
        <v/>
      </c>
      <c r="AP141" s="158" t="str">
        <f t="shared" si="465"/>
        <v/>
      </c>
      <c r="AQ141" s="158" t="str">
        <f t="shared" si="466"/>
        <v/>
      </c>
      <c r="AR141" s="39" t="str">
        <f t="shared" si="467"/>
        <v/>
      </c>
      <c r="AS141" s="158" t="str">
        <f t="shared" si="468"/>
        <v/>
      </c>
      <c r="AT141" s="39" t="str">
        <f t="shared" si="469"/>
        <v/>
      </c>
      <c r="AU141" s="172" t="str">
        <f t="shared" si="470"/>
        <v/>
      </c>
      <c r="AV141" s="45"/>
      <c r="AW141" s="84" t="e">
        <f t="shared" si="360"/>
        <v>#N/A</v>
      </c>
      <c r="AX141" s="69" t="e">
        <f t="shared" si="471"/>
        <v>#N/A</v>
      </c>
      <c r="AY141" s="74" t="e">
        <f t="shared" si="472"/>
        <v>#N/A</v>
      </c>
      <c r="AZ141" s="45"/>
      <c r="BA141" s="45"/>
      <c r="BB141" s="45"/>
      <c r="BC141" s="45"/>
      <c r="BD141" s="196"/>
      <c r="BE141" s="182"/>
      <c r="BF141" s="69" t="str">
        <f t="shared" si="363"/>
        <v/>
      </c>
      <c r="BG141" s="69" t="str">
        <f t="shared" si="364"/>
        <v/>
      </c>
      <c r="BH141" s="69" t="str">
        <f t="shared" si="365"/>
        <v/>
      </c>
      <c r="BI141" s="39" t="str">
        <f t="shared" si="366"/>
        <v/>
      </c>
      <c r="BJ141" s="95" t="str">
        <f t="shared" si="473"/>
        <v/>
      </c>
      <c r="BO141" s="176"/>
      <c r="BP141" s="158" t="str">
        <f t="shared" si="474"/>
        <v/>
      </c>
      <c r="BQ141" s="158" t="str">
        <f t="shared" si="475"/>
        <v/>
      </c>
      <c r="BR141" s="158" t="str">
        <f t="shared" si="476"/>
        <v/>
      </c>
      <c r="BS141" s="158" t="str">
        <f>IF(AND(Sufficient_data="Yes",Include_study?="Yes"),IF(Add_0_5="Yes",(a_+d_+1)*(ab_+0.5)*(c_+0.5)/(Number_of_subjects+2)^2,(a_+d_)*b_*c_/Number_of_subjects^2),"")</f>
        <v/>
      </c>
      <c r="BT141" s="158" t="str">
        <f t="shared" si="477"/>
        <v/>
      </c>
      <c r="BU141" s="158" t="str">
        <f t="shared" si="478"/>
        <v/>
      </c>
      <c r="BV141" s="158" t="str">
        <f t="shared" si="479"/>
        <v/>
      </c>
      <c r="BW141" s="69" t="str">
        <f t="shared" si="374"/>
        <v/>
      </c>
      <c r="BX141" s="137" t="str">
        <f t="shared" si="375"/>
        <v/>
      </c>
      <c r="BY141" s="95" t="str">
        <f t="shared" si="480"/>
        <v/>
      </c>
      <c r="CD141" s="176"/>
      <c r="CE141" s="130" t="str">
        <f t="shared" si="481"/>
        <v/>
      </c>
      <c r="CF141" s="39" t="str">
        <f t="shared" si="482"/>
        <v/>
      </c>
      <c r="CG141" s="39" t="str">
        <f t="shared" si="483"/>
        <v/>
      </c>
      <c r="CH141" s="39" t="str">
        <f t="shared" si="484"/>
        <v/>
      </c>
      <c r="CI141" s="39" t="str">
        <f t="shared" si="485"/>
        <v/>
      </c>
      <c r="CJ141" s="39" t="str">
        <f t="shared" si="486"/>
        <v/>
      </c>
      <c r="CK141" s="95" t="str">
        <f t="shared" si="487"/>
        <v/>
      </c>
      <c r="CP141" s="176"/>
      <c r="CQ141" s="99" t="str">
        <f t="shared" si="383"/>
        <v/>
      </c>
      <c r="CX141" s="196"/>
      <c r="CY141" s="89" t="e">
        <f t="shared" si="488"/>
        <v>#N/A</v>
      </c>
      <c r="CZ141" s="136" t="str">
        <f t="shared" si="489"/>
        <v/>
      </c>
      <c r="DA141" s="140" t="str">
        <f t="shared" si="490"/>
        <v/>
      </c>
      <c r="DB141" s="39" t="str">
        <f t="shared" si="491"/>
        <v/>
      </c>
      <c r="DC141" s="39" t="str">
        <f t="shared" si="492"/>
        <v/>
      </c>
      <c r="DD141" s="39" t="str">
        <f t="shared" si="493"/>
        <v/>
      </c>
      <c r="DE141" s="39" t="str">
        <f t="shared" si="494"/>
        <v/>
      </c>
      <c r="DF141" s="141" t="str">
        <f t="shared" si="495"/>
        <v/>
      </c>
      <c r="DG141" s="39" t="str">
        <f t="shared" si="496"/>
        <v/>
      </c>
      <c r="DH141" s="39" t="str">
        <f t="shared" si="497"/>
        <v/>
      </c>
      <c r="DI141" s="39" t="str">
        <f t="shared" si="498"/>
        <v/>
      </c>
      <c r="DJ141" s="74" t="str">
        <f t="shared" si="499"/>
        <v/>
      </c>
      <c r="DK141" s="45"/>
      <c r="DL141" s="84" t="e">
        <f t="shared" si="423"/>
        <v>#N/A</v>
      </c>
      <c r="DM141" s="39" t="e">
        <f t="shared" si="500"/>
        <v>#N/A</v>
      </c>
      <c r="DN141" s="74" t="e">
        <f t="shared" si="501"/>
        <v>#N/A</v>
      </c>
      <c r="DO141" s="45"/>
      <c r="DP141" s="89" t="str">
        <f t="shared" si="525"/>
        <v/>
      </c>
      <c r="DQ141" s="26" t="str">
        <f>IF(AND(Sufficient_data="Yes",Subgroup&lt;&gt;""),IF(COUNTIFS(Input!J$2:J140,"="&amp;"Yes",Input!C$2:C140,"="&amp;"Yes",Input!K$2:K140,"="&amp;Subgroup)&gt;0,"",Subgroup),"")</f>
        <v/>
      </c>
      <c r="DR141" s="7" t="str">
        <f t="shared" si="526"/>
        <v/>
      </c>
      <c r="DS141" s="7" t="str">
        <f t="shared" si="502"/>
        <v/>
      </c>
      <c r="DT141" s="19" t="str">
        <f t="shared" si="503"/>
        <v/>
      </c>
      <c r="DU141" s="12" t="str">
        <f t="shared" si="424"/>
        <v/>
      </c>
      <c r="DV141" s="11" t="str">
        <f t="shared" si="425"/>
        <v/>
      </c>
      <c r="DW141" s="12" t="str">
        <f t="shared" si="426"/>
        <v/>
      </c>
      <c r="DX141" s="12" t="str">
        <f t="shared" si="504"/>
        <v/>
      </c>
      <c r="DY141" s="19" t="str">
        <f t="shared" si="427"/>
        <v/>
      </c>
      <c r="DZ141" s="12" t="str">
        <f t="shared" si="428"/>
        <v/>
      </c>
      <c r="EA141" s="19" t="str">
        <f t="shared" si="505"/>
        <v/>
      </c>
      <c r="EB141" s="7" t="str">
        <f t="shared" si="506"/>
        <v/>
      </c>
      <c r="EC141" s="19" t="str">
        <f t="shared" si="507"/>
        <v/>
      </c>
      <c r="ED141" s="19" t="str">
        <f t="shared" si="508"/>
        <v/>
      </c>
      <c r="EE141" s="19" t="str">
        <f t="shared" si="429"/>
        <v/>
      </c>
      <c r="EF141" s="19" t="str">
        <f t="shared" si="430"/>
        <v/>
      </c>
      <c r="EG141" s="19" t="str">
        <f t="shared" si="431"/>
        <v/>
      </c>
      <c r="EH141" s="19" t="str">
        <f t="shared" si="432"/>
        <v/>
      </c>
      <c r="EI141" s="19" t="str">
        <f t="shared" si="433"/>
        <v/>
      </c>
      <c r="EJ141" s="19" t="str">
        <f t="shared" si="509"/>
        <v/>
      </c>
      <c r="EK141" s="19" t="str">
        <f t="shared" si="510"/>
        <v/>
      </c>
      <c r="EL141" s="19" t="str">
        <f t="shared" si="434"/>
        <v/>
      </c>
      <c r="EM141" s="19" t="str">
        <f t="shared" si="435"/>
        <v/>
      </c>
      <c r="EN141" s="19" t="str">
        <f t="shared" si="436"/>
        <v/>
      </c>
      <c r="EO141" s="19" t="str">
        <f t="shared" si="437"/>
        <v/>
      </c>
      <c r="EP141" s="19" t="str">
        <f t="shared" si="438"/>
        <v/>
      </c>
      <c r="EQ141" s="19" t="e">
        <f t="shared" si="439"/>
        <v>#N/A</v>
      </c>
      <c r="ER141" s="11" t="str">
        <f t="shared" si="527"/>
        <v/>
      </c>
      <c r="ES141" s="19" t="str">
        <f t="shared" si="528"/>
        <v/>
      </c>
      <c r="ET141" s="156" t="str">
        <f t="shared" si="511"/>
        <v/>
      </c>
      <c r="EU141" s="39" t="str">
        <f t="shared" si="440"/>
        <v/>
      </c>
      <c r="EV141" s="74" t="str">
        <f t="shared" si="512"/>
        <v/>
      </c>
      <c r="FA141" s="196"/>
      <c r="FB141" s="84" t="e">
        <f>IF(AND(Include_study?="Yes",Sufficient_data="Yes",Moderator&lt;&gt;""),'Moderator Analysis'!E141,NA())</f>
        <v>#N/A</v>
      </c>
      <c r="FC141" s="39" t="e">
        <f>IF(AND(Include_study?="Yes",Sufficient_data="Yes",Moderator&lt;&gt;""),'Moderator Analysis'!F141,NA())</f>
        <v>#N/A</v>
      </c>
      <c r="FD141" s="39" t="str">
        <f t="shared" si="513"/>
        <v/>
      </c>
      <c r="FE141" s="39" t="str">
        <f t="shared" si="514"/>
        <v/>
      </c>
      <c r="FF141" s="39" t="str">
        <f>IF(AND(Include_study?="Yes",Sufficient_data="Yes",Moderator&lt;&gt;""),'Moderator Analysis'!F:F-FP$2,"")</f>
        <v/>
      </c>
      <c r="FG141" s="39" t="str">
        <f>IF(AND(Include_study?="Yes",Sufficient_data="Yes",Moderator&lt;&gt;""),'Moderator Analysis'!E:E-FP$3,"")</f>
        <v/>
      </c>
      <c r="FH141" s="74" t="str">
        <f>IF(AND(Include_study?="Yes",Sufficient_data="Yes",Moderator&lt;&gt;""),FE:FE*('Moderator Analysis'!F:F-FP$5-FP$4*'Moderator Analysis'!E:E)^2,"")</f>
        <v/>
      </c>
      <c r="FI141" s="128"/>
      <c r="FJ141" s="92" t="str">
        <f t="shared" si="515"/>
        <v/>
      </c>
      <c r="FK141" s="137" t="str">
        <f>IF(AND(Include_study?="Yes",Sufficient_data="Yes",Moderator&lt;&gt;""),'Moderator Analysis'!F:F-'Moderator Analysis'!J$37,"")</f>
        <v/>
      </c>
      <c r="FL141" s="137" t="str">
        <f>IF(AND(Include_study?="Yes",Sufficient_data="Yes",Moderator&lt;&gt;""),'Moderator Analysis'!E:E-SUMPRODUCT('Moderator Analysis'!E:E,FJ:FJ)/SUM(FJ:FJ),"")</f>
        <v/>
      </c>
      <c r="FM141" s="95" t="str">
        <f>IF(AND(Include_study?="Yes",Sufficient_data="Yes",Moderator&lt;&gt;""),FJ:FJ*('Moderator Analysis'!F:F-'Moderator Analysis'!J$29-'Moderator Analysis'!J$30*'Moderator Analysis'!E:E)^2,"")</f>
        <v/>
      </c>
      <c r="FR141" s="196"/>
      <c r="FS141" s="182"/>
      <c r="FT14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1" s="39" t="str">
        <f>IF(AND(Include_study?="Yes",Sufficient_data="Yes"),1/('Publication Bias Analysis'!F:F^2+IF(Additional_model="Fixed effect",0,Calculations!GH$12)),"")</f>
        <v/>
      </c>
      <c r="FV141" s="39" t="str">
        <f>IF(AND(Include_study?="Yes",Sufficient_data="Yes"),1/('Publication Bias Analysis'!F:F^2+IF(Additional_model="Fixed effect",0,'Publication Bias Analysis'!L$32)),"")</f>
        <v/>
      </c>
      <c r="FW141" s="39" t="str">
        <f>IF(AND(Include_study?="Yes",Sufficient_data="Yes"),'Publication Bias Analysis'!E:E-'Publication Bias Analysis'!I$37,"")</f>
        <v/>
      </c>
      <c r="FX141" s="39" t="str">
        <f>IF(AND(Include_study?="Yes",Sufficient_data="Yes"),IF(Additional_model="Fixed effect",1/'Publication Bias Analysis'!F:F,1/SQRT('Publication Bias Analysis'!F:F^2+GH$12)),"")</f>
        <v/>
      </c>
      <c r="FY14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1" s="136" t="str">
        <f t="shared" si="516"/>
        <v/>
      </c>
      <c r="GA141" s="144" t="str">
        <f>IF(AND(Include_study?="Yes",Sufficient_data="Yes"),FZ:FZ+IF(GL:GL&lt;0,-1,1)*COUNTIF(FZ$2:FZ140,FZ:FZ),"")</f>
        <v/>
      </c>
      <c r="GB141" s="144" t="str">
        <f>IF(AND(Include_study?="Yes",Sufficient_data="Yes"),RANK(GP:GP,GP:GP,1)*IF(GO:GO&lt;0,-1,1)+IF(GO:GO&lt;0,-1,1)*COUNTIF(FZ$2:FZ140,FZ:FZ),"")</f>
        <v/>
      </c>
      <c r="GC141" s="144" t="str">
        <f>IF(AND(Include_study?="Yes",Sufficient_data="Yes"),RANK(GS:GS,GS:GS,1)*IF(GR:GR&lt;0,-1,1)+IF(GR:GR&lt;0,-1,1)*COUNTIF(FZ$2:FZ140,FZ:FZ),"")</f>
        <v/>
      </c>
      <c r="GD141" s="39" t="e">
        <f>IF(AND(Include_study?="Yes",Sufficient_data="Yes"),'Publication Bias Analysis'!E141,NA())</f>
        <v>#N/A</v>
      </c>
      <c r="GE141" s="74" t="e">
        <f>IF(AND(Include_study?="Yes",Sufficient_data="Yes"),'Publication Bias Analysis'!F141,NA())</f>
        <v>#N/A</v>
      </c>
      <c r="GK141" s="176"/>
      <c r="GL14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1" s="39" t="str">
        <f t="shared" si="517"/>
        <v/>
      </c>
      <c r="GN14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1" s="39" t="str">
        <f>IF(AND(Include_study?="Yes",Sufficient_data="Yes"),IF('Publication Bias Analysis'!L$38="Left",'Publication Bias Analysis'!E:E-GW$3,GW$3-'Publication Bias Analysis'!E:E),"")</f>
        <v/>
      </c>
      <c r="GP141" s="39" t="str">
        <f t="shared" si="529"/>
        <v/>
      </c>
      <c r="GQ14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1" s="39" t="str">
        <f>IF(AND(Include_study?="Yes",Sufficient_data="Yes"),IF('Publication Bias Analysis'!L$38="Left",'Publication Bias Analysis'!E:E-GW$10,GW$10-'Publication Bias Analysis'!E:E),"")</f>
        <v/>
      </c>
      <c r="GS141" s="39" t="str">
        <f t="shared" si="530"/>
        <v/>
      </c>
      <c r="GT14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1" s="176"/>
      <c r="HL141" s="69" t="str">
        <f t="shared" si="518"/>
        <v/>
      </c>
      <c r="HM141" s="74" t="str">
        <f>IF(AND(Include_study?="Yes",Sufficient_data="Yes"),Z_score-('Publication Bias Analysis'!P$3+'Publication Bias Analysis'!P$4*Inverse_standard_error),"")</f>
        <v/>
      </c>
      <c r="HO141" s="176"/>
      <c r="HP141" s="69" t="str">
        <f>IF(AND(Include_study?="Yes",Sufficient_data="Yes"),(GD:GD-SUMPRODUCT(Calculations!FT:FT,'Publication Bias Analysis'!E:E)/SUM(Calculations!FT:FT))/SQRT(Calculations!HQ:HQ),"")</f>
        <v/>
      </c>
      <c r="HQ141" s="69" t="str">
        <f>IF(AND(Include_study?="Yes",Sufficient_data="Yes"),GE:GE^2-1/SUM(Calculations!FT:FT),"")</f>
        <v/>
      </c>
      <c r="HR141" s="7" t="str">
        <f t="shared" si="441"/>
        <v/>
      </c>
      <c r="HS141" s="7" t="str">
        <f t="shared" si="442"/>
        <v/>
      </c>
      <c r="HT141" s="7" t="str">
        <f>IF(AND(Include_study?="Yes",Sufficient_data="Yes"),COUNTIFS(HR$2:HR140,"&lt;"&amp;HR141,HS$2:HS140,"&lt;"&amp;HS141)+COUNTIFS(HR142:HR$201,"&lt;"&amp;HR141,HS142:HS$201,"&lt;"&amp;HS141)+COUNTIFS(HR$2:HR140,"&gt;"&amp;HR141,HS$2:HS140,"&gt;"&amp;HS141)+COUNTIFS(HR142:HR$201,"&gt;"&amp;HR141,HS142:HS$201,"&gt;"&amp;HS141),"")</f>
        <v/>
      </c>
      <c r="HU141" s="104" t="str">
        <f>IF(AND(Include_study?="Yes",Sufficient_data="Yes"),COUNTIFS(HR$2:HR140,"&lt;"&amp;HR141,HS$2:HS140,"&gt;"&amp;HS141)+COUNTIFS(HR142:HR$201,"&lt;"&amp;HR141,HS142:HS$201,"&gt;"&amp;HS141)+COUNTIFS(HR$2:HR140,"&gt;"&amp;HR141,HS$2:HS140,"&lt;"&amp;HS141)+COUNTIFS(HR142:HR$201,"&gt;"&amp;HR141,HS142:HS$201,"&lt;"&amp;HS141),"")</f>
        <v/>
      </c>
      <c r="HW141" s="176"/>
      <c r="IB141" s="176"/>
      <c r="IC141" s="146" t="e">
        <f t="shared" si="519"/>
        <v>#N/A</v>
      </c>
      <c r="ID141" s="137" t="e">
        <f t="shared" si="520"/>
        <v>#N/A</v>
      </c>
      <c r="IE141" s="137" t="str">
        <f t="shared" si="521"/>
        <v/>
      </c>
      <c r="IF141" s="95" t="str">
        <f t="shared" si="522"/>
        <v/>
      </c>
      <c r="IK141" s="176"/>
      <c r="IL141" s="69" t="e">
        <f>IF(AND(Include_study?="Yes",Sufficient_data="Yes"),'Publication Bias Analysis'!AV:AV,NA())</f>
        <v>#N/A</v>
      </c>
      <c r="IM141" s="158" t="e">
        <f>IF(AND(Sufficient_data="Yes",Include_study?="Yes"),'Publication Bias Analysis'!AU:AU,NA())</f>
        <v>#N/A</v>
      </c>
      <c r="IN141" s="69" t="str">
        <f t="shared" si="418"/>
        <v/>
      </c>
      <c r="IO141" s="74" t="str">
        <f>IF(AND(Include_study?="Yes",Sufficient_data="Yes"),Z_score-('Publication Bias Analysis'!AY$30+'Publication Bias Analysis'!AY$31*Inverse_standard_error),"")</f>
        <v/>
      </c>
      <c r="IU141" s="176"/>
      <c r="IV141" s="7" t="str">
        <f>IF('Publication Bias Analysis'!BG:BG&lt;&gt;"",RANK('Publication Bias Analysis'!BG:BG,'Publication Bias Analysis'!BG:BG,1)+COUNTIF('Publication Bias Analysis'!BG$2:BG140,'Publication Bias Analysis'!BG141),"")</f>
        <v/>
      </c>
      <c r="IW141" s="124" t="str">
        <f t="shared" si="523"/>
        <v/>
      </c>
      <c r="IX141" s="125" t="e">
        <f>IF('Publication Bias Analysis'!BF141&lt;&gt;"",'Publication Bias Analysis'!BF141,NA())</f>
        <v>#N/A</v>
      </c>
      <c r="IY141" s="125" t="e">
        <f>IF('Publication Bias Analysis'!BG141&lt;&gt;"",'Publication Bias Analysis'!BG141,NA())</f>
        <v>#N/A</v>
      </c>
      <c r="IZ141" s="69" t="str">
        <f>IF(AND(Include_study?="Yes",Sufficient_data="Yes"),'Publication Bias Analysis'!BF:BF-AVERAGE('Publication Bias Analysis'!BF:BF),"")</f>
        <v/>
      </c>
      <c r="JA141" s="74" t="str">
        <f>IF(AND(Include_study?="Yes",Sufficient_data="Yes"),'Publication Bias Analysis'!BG:BG-('Publication Bias Analysis'!BJ$30+'Publication Bias Analysis'!BJ$31*'Publication Bias Analysis'!BF:BF),"")</f>
        <v/>
      </c>
      <c r="JG141" s="176"/>
      <c r="JH141" s="39" t="str">
        <f t="shared" si="524"/>
        <v/>
      </c>
      <c r="JI141" s="148" t="str">
        <f t="shared" si="531"/>
        <v/>
      </c>
      <c r="JJ141" s="74" t="str">
        <f t="shared" si="532"/>
        <v/>
      </c>
    </row>
    <row r="142" spans="1:270" x14ac:dyDescent="0.2">
      <c r="A142" s="56" t="str">
        <f t="shared" si="334"/>
        <v/>
      </c>
      <c r="B142" s="7" t="str">
        <f>IF(AND(Include_study?="Yes",Sufficient_data="Yes"),IF(Input!a_&lt;&gt;"",Input!a_,Input!n1_-Input!b_),"")</f>
        <v/>
      </c>
      <c r="C142" s="7" t="str">
        <f>IF(AND(Include_study?="Yes",Sufficient_data="Yes"),IF(Input!b_&lt;&gt;"",Input!b_,Input!n1_-Input!a_),"")</f>
        <v/>
      </c>
      <c r="D142" s="7" t="str">
        <f>IF(AND(Include_study?="Yes",Sufficient_data="Yes"),IF(Input!c_&lt;&gt;"",Input!c_,Input!n2_-Input!d_),"")</f>
        <v/>
      </c>
      <c r="E142" s="7" t="str">
        <f>IF(AND(Include_study?="Yes",Sufficient_data="Yes"),IF(Input!d_&lt;&gt;"",Input!d_,Input!n2_-Input!c_),"")</f>
        <v/>
      </c>
      <c r="F142" s="74" t="str">
        <f t="shared" si="443"/>
        <v/>
      </c>
      <c r="H142" s="196"/>
      <c r="I142" s="182"/>
      <c r="J142" s="146" t="str">
        <f t="shared" si="444"/>
        <v/>
      </c>
      <c r="K142" s="39" t="str">
        <f t="shared" si="445"/>
        <v/>
      </c>
      <c r="L142" s="39" t="str">
        <f t="shared" si="446"/>
        <v/>
      </c>
      <c r="M142" s="39" t="str">
        <f t="shared" si="447"/>
        <v/>
      </c>
      <c r="N142" s="74" t="str">
        <f t="shared" si="448"/>
        <v/>
      </c>
      <c r="P142" s="176"/>
      <c r="Q142" s="130" t="str">
        <f t="shared" si="449"/>
        <v/>
      </c>
      <c r="R142" s="39" t="str">
        <f t="shared" si="450"/>
        <v/>
      </c>
      <c r="S142" s="39" t="str">
        <f t="shared" si="451"/>
        <v/>
      </c>
      <c r="T142" s="74" t="str">
        <f t="shared" si="452"/>
        <v/>
      </c>
      <c r="V142" s="176"/>
      <c r="W142" s="130" t="str">
        <f t="shared" si="453"/>
        <v/>
      </c>
      <c r="X142" s="39" t="str">
        <f t="shared" si="454"/>
        <v/>
      </c>
      <c r="Y142" s="39" t="str">
        <f t="shared" si="455"/>
        <v/>
      </c>
      <c r="Z142" s="74" t="str">
        <f t="shared" si="456"/>
        <v/>
      </c>
      <c r="AB142" s="176"/>
      <c r="AC142" s="130" t="str">
        <f t="shared" si="457"/>
        <v/>
      </c>
      <c r="AD142" s="39" t="str">
        <f t="shared" si="458"/>
        <v/>
      </c>
      <c r="AE142" s="39" t="str">
        <f t="shared" si="459"/>
        <v/>
      </c>
      <c r="AF142" s="39" t="str">
        <f t="shared" si="460"/>
        <v/>
      </c>
      <c r="AG142" s="74" t="str">
        <f t="shared" si="461"/>
        <v/>
      </c>
      <c r="AI142" s="196"/>
      <c r="AJ14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2" s="136" t="str">
        <f>IF(AJ142&lt;&gt;"",IF(AJ142=0,COUNTIF(AJ$2:AJ141,0)+1,COUNTIF(AJ$2:AJ141,AJ142)+AJ142+COUNTIF(AJ:AJ,0)),"")</f>
        <v/>
      </c>
      <c r="AL142" s="136" t="str">
        <f t="shared" si="462"/>
        <v/>
      </c>
      <c r="AM142" s="155" t="str">
        <f>IF(AND(Include_study?="Yes",Sufficient_data="Yes",Input!Study_name&lt;&gt;""),Input!Study_name,"")</f>
        <v/>
      </c>
      <c r="AN142" s="136" t="str">
        <f t="shared" si="463"/>
        <v/>
      </c>
      <c r="AO142" s="19" t="str">
        <f t="shared" si="464"/>
        <v/>
      </c>
      <c r="AP142" s="158" t="str">
        <f t="shared" si="465"/>
        <v/>
      </c>
      <c r="AQ142" s="158" t="str">
        <f t="shared" si="466"/>
        <v/>
      </c>
      <c r="AR142" s="39" t="str">
        <f t="shared" si="467"/>
        <v/>
      </c>
      <c r="AS142" s="158" t="str">
        <f t="shared" si="468"/>
        <v/>
      </c>
      <c r="AT142" s="39" t="str">
        <f t="shared" si="469"/>
        <v/>
      </c>
      <c r="AU142" s="172" t="str">
        <f t="shared" si="470"/>
        <v/>
      </c>
      <c r="AV142" s="45"/>
      <c r="AW142" s="84" t="e">
        <f t="shared" si="360"/>
        <v>#N/A</v>
      </c>
      <c r="AX142" s="69" t="e">
        <f t="shared" si="471"/>
        <v>#N/A</v>
      </c>
      <c r="AY142" s="74" t="e">
        <f t="shared" si="472"/>
        <v>#N/A</v>
      </c>
      <c r="AZ142" s="45"/>
      <c r="BA142" s="45"/>
      <c r="BB142" s="45"/>
      <c r="BC142" s="45"/>
      <c r="BD142" s="196"/>
      <c r="BE142" s="182"/>
      <c r="BF142" s="69" t="str">
        <f t="shared" si="363"/>
        <v/>
      </c>
      <c r="BG142" s="69" t="str">
        <f t="shared" si="364"/>
        <v/>
      </c>
      <c r="BH142" s="69" t="str">
        <f t="shared" si="365"/>
        <v/>
      </c>
      <c r="BI142" s="39" t="str">
        <f t="shared" si="366"/>
        <v/>
      </c>
      <c r="BJ142" s="95" t="str">
        <f t="shared" si="473"/>
        <v/>
      </c>
      <c r="BO142" s="176"/>
      <c r="BP142" s="158" t="str">
        <f t="shared" si="474"/>
        <v/>
      </c>
      <c r="BQ142" s="158" t="str">
        <f t="shared" si="475"/>
        <v/>
      </c>
      <c r="BR142" s="158" t="str">
        <f t="shared" si="476"/>
        <v/>
      </c>
      <c r="BS142" s="158" t="str">
        <f>IF(AND(Sufficient_data="Yes",Include_study?="Yes"),IF(Add_0_5="Yes",(a_+d_+1)*(ab_+0.5)*(c_+0.5)/(Number_of_subjects+2)^2,(a_+d_)*b_*c_/Number_of_subjects^2),"")</f>
        <v/>
      </c>
      <c r="BT142" s="158" t="str">
        <f t="shared" si="477"/>
        <v/>
      </c>
      <c r="BU142" s="158" t="str">
        <f t="shared" si="478"/>
        <v/>
      </c>
      <c r="BV142" s="158" t="str">
        <f t="shared" si="479"/>
        <v/>
      </c>
      <c r="BW142" s="69" t="str">
        <f t="shared" si="374"/>
        <v/>
      </c>
      <c r="BX142" s="137" t="str">
        <f t="shared" si="375"/>
        <v/>
      </c>
      <c r="BY142" s="95" t="str">
        <f t="shared" si="480"/>
        <v/>
      </c>
      <c r="CD142" s="176"/>
      <c r="CE142" s="130" t="str">
        <f t="shared" si="481"/>
        <v/>
      </c>
      <c r="CF142" s="39" t="str">
        <f t="shared" si="482"/>
        <v/>
      </c>
      <c r="CG142" s="39" t="str">
        <f t="shared" si="483"/>
        <v/>
      </c>
      <c r="CH142" s="39" t="str">
        <f t="shared" si="484"/>
        <v/>
      </c>
      <c r="CI142" s="39" t="str">
        <f t="shared" si="485"/>
        <v/>
      </c>
      <c r="CJ142" s="39" t="str">
        <f t="shared" si="486"/>
        <v/>
      </c>
      <c r="CK142" s="95" t="str">
        <f t="shared" si="487"/>
        <v/>
      </c>
      <c r="CP142" s="176"/>
      <c r="CQ142" s="99" t="str">
        <f t="shared" si="383"/>
        <v/>
      </c>
      <c r="CX142" s="196"/>
      <c r="CY142" s="89" t="e">
        <f t="shared" si="488"/>
        <v>#N/A</v>
      </c>
      <c r="CZ142" s="136" t="str">
        <f t="shared" si="489"/>
        <v/>
      </c>
      <c r="DA142" s="140" t="str">
        <f t="shared" si="490"/>
        <v/>
      </c>
      <c r="DB142" s="39" t="str">
        <f t="shared" si="491"/>
        <v/>
      </c>
      <c r="DC142" s="39" t="str">
        <f t="shared" si="492"/>
        <v/>
      </c>
      <c r="DD142" s="39" t="str">
        <f t="shared" si="493"/>
        <v/>
      </c>
      <c r="DE142" s="39" t="str">
        <f t="shared" si="494"/>
        <v/>
      </c>
      <c r="DF142" s="141" t="str">
        <f t="shared" si="495"/>
        <v/>
      </c>
      <c r="DG142" s="39" t="str">
        <f t="shared" si="496"/>
        <v/>
      </c>
      <c r="DH142" s="39" t="str">
        <f t="shared" si="497"/>
        <v/>
      </c>
      <c r="DI142" s="39" t="str">
        <f t="shared" si="498"/>
        <v/>
      </c>
      <c r="DJ142" s="74" t="str">
        <f t="shared" si="499"/>
        <v/>
      </c>
      <c r="DK142" s="45"/>
      <c r="DL142" s="84" t="e">
        <f t="shared" si="423"/>
        <v>#N/A</v>
      </c>
      <c r="DM142" s="39" t="e">
        <f t="shared" si="500"/>
        <v>#N/A</v>
      </c>
      <c r="DN142" s="74" t="e">
        <f t="shared" si="501"/>
        <v>#N/A</v>
      </c>
      <c r="DO142" s="45"/>
      <c r="DP142" s="89" t="str">
        <f t="shared" si="525"/>
        <v/>
      </c>
      <c r="DQ142" s="26" t="str">
        <f>IF(AND(Sufficient_data="Yes",Subgroup&lt;&gt;""),IF(COUNTIFS(Input!J$2:J141,"="&amp;"Yes",Input!C$2:C141,"="&amp;"Yes",Input!K$2:K141,"="&amp;Subgroup)&gt;0,"",Subgroup),"")</f>
        <v/>
      </c>
      <c r="DR142" s="7" t="str">
        <f t="shared" si="526"/>
        <v/>
      </c>
      <c r="DS142" s="7" t="str">
        <f t="shared" si="502"/>
        <v/>
      </c>
      <c r="DT142" s="19" t="str">
        <f t="shared" si="503"/>
        <v/>
      </c>
      <c r="DU142" s="12" t="str">
        <f t="shared" si="424"/>
        <v/>
      </c>
      <c r="DV142" s="11" t="str">
        <f t="shared" si="425"/>
        <v/>
      </c>
      <c r="DW142" s="12" t="str">
        <f t="shared" si="426"/>
        <v/>
      </c>
      <c r="DX142" s="12" t="str">
        <f t="shared" si="504"/>
        <v/>
      </c>
      <c r="DY142" s="19" t="str">
        <f t="shared" si="427"/>
        <v/>
      </c>
      <c r="DZ142" s="12" t="str">
        <f t="shared" si="428"/>
        <v/>
      </c>
      <c r="EA142" s="19" t="str">
        <f t="shared" si="505"/>
        <v/>
      </c>
      <c r="EB142" s="7" t="str">
        <f t="shared" si="506"/>
        <v/>
      </c>
      <c r="EC142" s="19" t="str">
        <f t="shared" si="507"/>
        <v/>
      </c>
      <c r="ED142" s="19" t="str">
        <f t="shared" si="508"/>
        <v/>
      </c>
      <c r="EE142" s="19" t="str">
        <f t="shared" si="429"/>
        <v/>
      </c>
      <c r="EF142" s="19" t="str">
        <f t="shared" si="430"/>
        <v/>
      </c>
      <c r="EG142" s="19" t="str">
        <f t="shared" si="431"/>
        <v/>
      </c>
      <c r="EH142" s="19" t="str">
        <f t="shared" si="432"/>
        <v/>
      </c>
      <c r="EI142" s="19" t="str">
        <f t="shared" si="433"/>
        <v/>
      </c>
      <c r="EJ142" s="19" t="str">
        <f t="shared" si="509"/>
        <v/>
      </c>
      <c r="EK142" s="19" t="str">
        <f t="shared" si="510"/>
        <v/>
      </c>
      <c r="EL142" s="19" t="str">
        <f t="shared" si="434"/>
        <v/>
      </c>
      <c r="EM142" s="19" t="str">
        <f t="shared" si="435"/>
        <v/>
      </c>
      <c r="EN142" s="19" t="str">
        <f t="shared" si="436"/>
        <v/>
      </c>
      <c r="EO142" s="19" t="str">
        <f t="shared" si="437"/>
        <v/>
      </c>
      <c r="EP142" s="19" t="str">
        <f t="shared" si="438"/>
        <v/>
      </c>
      <c r="EQ142" s="19" t="e">
        <f t="shared" si="439"/>
        <v>#N/A</v>
      </c>
      <c r="ER142" s="11" t="str">
        <f t="shared" si="527"/>
        <v/>
      </c>
      <c r="ES142" s="19" t="str">
        <f t="shared" si="528"/>
        <v/>
      </c>
      <c r="ET142" s="156" t="str">
        <f t="shared" si="511"/>
        <v/>
      </c>
      <c r="EU142" s="39" t="str">
        <f t="shared" si="440"/>
        <v/>
      </c>
      <c r="EV142" s="74" t="str">
        <f t="shared" si="512"/>
        <v/>
      </c>
      <c r="FA142" s="196"/>
      <c r="FB142" s="84" t="e">
        <f>IF(AND(Include_study?="Yes",Sufficient_data="Yes",Moderator&lt;&gt;""),'Moderator Analysis'!E142,NA())</f>
        <v>#N/A</v>
      </c>
      <c r="FC142" s="39" t="e">
        <f>IF(AND(Include_study?="Yes",Sufficient_data="Yes",Moderator&lt;&gt;""),'Moderator Analysis'!F142,NA())</f>
        <v>#N/A</v>
      </c>
      <c r="FD142" s="39" t="str">
        <f t="shared" si="513"/>
        <v/>
      </c>
      <c r="FE142" s="39" t="str">
        <f t="shared" si="514"/>
        <v/>
      </c>
      <c r="FF142" s="39" t="str">
        <f>IF(AND(Include_study?="Yes",Sufficient_data="Yes",Moderator&lt;&gt;""),'Moderator Analysis'!F:F-FP$2,"")</f>
        <v/>
      </c>
      <c r="FG142" s="39" t="str">
        <f>IF(AND(Include_study?="Yes",Sufficient_data="Yes",Moderator&lt;&gt;""),'Moderator Analysis'!E:E-FP$3,"")</f>
        <v/>
      </c>
      <c r="FH142" s="74" t="str">
        <f>IF(AND(Include_study?="Yes",Sufficient_data="Yes",Moderator&lt;&gt;""),FE:FE*('Moderator Analysis'!F:F-FP$5-FP$4*'Moderator Analysis'!E:E)^2,"")</f>
        <v/>
      </c>
      <c r="FI142" s="128"/>
      <c r="FJ142" s="92" t="str">
        <f t="shared" si="515"/>
        <v/>
      </c>
      <c r="FK142" s="137" t="str">
        <f>IF(AND(Include_study?="Yes",Sufficient_data="Yes",Moderator&lt;&gt;""),'Moderator Analysis'!F:F-'Moderator Analysis'!J$37,"")</f>
        <v/>
      </c>
      <c r="FL142" s="137" t="str">
        <f>IF(AND(Include_study?="Yes",Sufficient_data="Yes",Moderator&lt;&gt;""),'Moderator Analysis'!E:E-SUMPRODUCT('Moderator Analysis'!E:E,FJ:FJ)/SUM(FJ:FJ),"")</f>
        <v/>
      </c>
      <c r="FM142" s="95" t="str">
        <f>IF(AND(Include_study?="Yes",Sufficient_data="Yes",Moderator&lt;&gt;""),FJ:FJ*('Moderator Analysis'!F:F-'Moderator Analysis'!J$29-'Moderator Analysis'!J$30*'Moderator Analysis'!E:E)^2,"")</f>
        <v/>
      </c>
      <c r="FR142" s="196"/>
      <c r="FS142" s="182"/>
      <c r="FT14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2" s="39" t="str">
        <f>IF(AND(Include_study?="Yes",Sufficient_data="Yes"),1/('Publication Bias Analysis'!F:F^2+IF(Additional_model="Fixed effect",0,Calculations!GH$12)),"")</f>
        <v/>
      </c>
      <c r="FV142" s="39" t="str">
        <f>IF(AND(Include_study?="Yes",Sufficient_data="Yes"),1/('Publication Bias Analysis'!F:F^2+IF(Additional_model="Fixed effect",0,'Publication Bias Analysis'!L$32)),"")</f>
        <v/>
      </c>
      <c r="FW142" s="39" t="str">
        <f>IF(AND(Include_study?="Yes",Sufficient_data="Yes"),'Publication Bias Analysis'!E:E-'Publication Bias Analysis'!I$37,"")</f>
        <v/>
      </c>
      <c r="FX142" s="39" t="str">
        <f>IF(AND(Include_study?="Yes",Sufficient_data="Yes"),IF(Additional_model="Fixed effect",1/'Publication Bias Analysis'!F:F,1/SQRT('Publication Bias Analysis'!F:F^2+GH$12)),"")</f>
        <v/>
      </c>
      <c r="FY14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2" s="136" t="str">
        <f t="shared" si="516"/>
        <v/>
      </c>
      <c r="GA142" s="144" t="str">
        <f>IF(AND(Include_study?="Yes",Sufficient_data="Yes"),FZ:FZ+IF(GL:GL&lt;0,-1,1)*COUNTIF(FZ$2:FZ141,FZ:FZ),"")</f>
        <v/>
      </c>
      <c r="GB142" s="144" t="str">
        <f>IF(AND(Include_study?="Yes",Sufficient_data="Yes"),RANK(GP:GP,GP:GP,1)*IF(GO:GO&lt;0,-1,1)+IF(GO:GO&lt;0,-1,1)*COUNTIF(FZ$2:FZ141,FZ:FZ),"")</f>
        <v/>
      </c>
      <c r="GC142" s="144" t="str">
        <f>IF(AND(Include_study?="Yes",Sufficient_data="Yes"),RANK(GS:GS,GS:GS,1)*IF(GR:GR&lt;0,-1,1)+IF(GR:GR&lt;0,-1,1)*COUNTIF(FZ$2:FZ141,FZ:FZ),"")</f>
        <v/>
      </c>
      <c r="GD142" s="39" t="e">
        <f>IF(AND(Include_study?="Yes",Sufficient_data="Yes"),'Publication Bias Analysis'!E142,NA())</f>
        <v>#N/A</v>
      </c>
      <c r="GE142" s="74" t="e">
        <f>IF(AND(Include_study?="Yes",Sufficient_data="Yes"),'Publication Bias Analysis'!F142,NA())</f>
        <v>#N/A</v>
      </c>
      <c r="GK142" s="176"/>
      <c r="GL14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2" s="39" t="str">
        <f t="shared" si="517"/>
        <v/>
      </c>
      <c r="GN14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2" s="39" t="str">
        <f>IF(AND(Include_study?="Yes",Sufficient_data="Yes"),IF('Publication Bias Analysis'!L$38="Left",'Publication Bias Analysis'!E:E-GW$3,GW$3-'Publication Bias Analysis'!E:E),"")</f>
        <v/>
      </c>
      <c r="GP142" s="39" t="str">
        <f t="shared" si="529"/>
        <v/>
      </c>
      <c r="GQ14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2" s="39" t="str">
        <f>IF(AND(Include_study?="Yes",Sufficient_data="Yes"),IF('Publication Bias Analysis'!L$38="Left",'Publication Bias Analysis'!E:E-GW$10,GW$10-'Publication Bias Analysis'!E:E),"")</f>
        <v/>
      </c>
      <c r="GS142" s="39" t="str">
        <f t="shared" si="530"/>
        <v/>
      </c>
      <c r="GT14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2" s="176"/>
      <c r="HL142" s="69" t="str">
        <f t="shared" si="518"/>
        <v/>
      </c>
      <c r="HM142" s="74" t="str">
        <f>IF(AND(Include_study?="Yes",Sufficient_data="Yes"),Z_score-('Publication Bias Analysis'!P$3+'Publication Bias Analysis'!P$4*Inverse_standard_error),"")</f>
        <v/>
      </c>
      <c r="HO142" s="176"/>
      <c r="HP142" s="69" t="str">
        <f>IF(AND(Include_study?="Yes",Sufficient_data="Yes"),(GD:GD-SUMPRODUCT(Calculations!FT:FT,'Publication Bias Analysis'!E:E)/SUM(Calculations!FT:FT))/SQRT(Calculations!HQ:HQ),"")</f>
        <v/>
      </c>
      <c r="HQ142" s="69" t="str">
        <f>IF(AND(Include_study?="Yes",Sufficient_data="Yes"),GE:GE^2-1/SUM(Calculations!FT:FT),"")</f>
        <v/>
      </c>
      <c r="HR142" s="7" t="str">
        <f t="shared" si="441"/>
        <v/>
      </c>
      <c r="HS142" s="7" t="str">
        <f t="shared" si="442"/>
        <v/>
      </c>
      <c r="HT142" s="7" t="str">
        <f>IF(AND(Include_study?="Yes",Sufficient_data="Yes"),COUNTIFS(HR$2:HR141,"&lt;"&amp;HR142,HS$2:HS141,"&lt;"&amp;HS142)+COUNTIFS(HR143:HR$201,"&lt;"&amp;HR142,HS143:HS$201,"&lt;"&amp;HS142)+COUNTIFS(HR$2:HR141,"&gt;"&amp;HR142,HS$2:HS141,"&gt;"&amp;HS142)+COUNTIFS(HR143:HR$201,"&gt;"&amp;HR142,HS143:HS$201,"&gt;"&amp;HS142),"")</f>
        <v/>
      </c>
      <c r="HU142" s="104" t="str">
        <f>IF(AND(Include_study?="Yes",Sufficient_data="Yes"),COUNTIFS(HR$2:HR141,"&lt;"&amp;HR142,HS$2:HS141,"&gt;"&amp;HS142)+COUNTIFS(HR143:HR$201,"&lt;"&amp;HR142,HS143:HS$201,"&gt;"&amp;HS142)+COUNTIFS(HR$2:HR141,"&gt;"&amp;HR142,HS$2:HS141,"&lt;"&amp;HS142)+COUNTIFS(HR143:HR$201,"&gt;"&amp;HR142,HS143:HS$201,"&lt;"&amp;HS142),"")</f>
        <v/>
      </c>
      <c r="HW142" s="176"/>
      <c r="IB142" s="176"/>
      <c r="IC142" s="146" t="e">
        <f t="shared" si="519"/>
        <v>#N/A</v>
      </c>
      <c r="ID142" s="137" t="e">
        <f t="shared" si="520"/>
        <v>#N/A</v>
      </c>
      <c r="IE142" s="137" t="str">
        <f t="shared" si="521"/>
        <v/>
      </c>
      <c r="IF142" s="95" t="str">
        <f t="shared" si="522"/>
        <v/>
      </c>
      <c r="IK142" s="176"/>
      <c r="IL142" s="69" t="e">
        <f>IF(AND(Include_study?="Yes",Sufficient_data="Yes"),'Publication Bias Analysis'!AV:AV,NA())</f>
        <v>#N/A</v>
      </c>
      <c r="IM142" s="158" t="e">
        <f>IF(AND(Sufficient_data="Yes",Include_study?="Yes"),'Publication Bias Analysis'!AU:AU,NA())</f>
        <v>#N/A</v>
      </c>
      <c r="IN142" s="69" t="str">
        <f t="shared" si="418"/>
        <v/>
      </c>
      <c r="IO142" s="74" t="str">
        <f>IF(AND(Include_study?="Yes",Sufficient_data="Yes"),Z_score-('Publication Bias Analysis'!AY$30+'Publication Bias Analysis'!AY$31*Inverse_standard_error),"")</f>
        <v/>
      </c>
      <c r="IU142" s="176"/>
      <c r="IV142" s="7" t="str">
        <f>IF('Publication Bias Analysis'!BG:BG&lt;&gt;"",RANK('Publication Bias Analysis'!BG:BG,'Publication Bias Analysis'!BG:BG,1)+COUNTIF('Publication Bias Analysis'!BG$2:BG141,'Publication Bias Analysis'!BG142),"")</f>
        <v/>
      </c>
      <c r="IW142" s="124" t="str">
        <f t="shared" si="523"/>
        <v/>
      </c>
      <c r="IX142" s="125" t="e">
        <f>IF('Publication Bias Analysis'!BF142&lt;&gt;"",'Publication Bias Analysis'!BF142,NA())</f>
        <v>#N/A</v>
      </c>
      <c r="IY142" s="125" t="e">
        <f>IF('Publication Bias Analysis'!BG142&lt;&gt;"",'Publication Bias Analysis'!BG142,NA())</f>
        <v>#N/A</v>
      </c>
      <c r="IZ142" s="69" t="str">
        <f>IF(AND(Include_study?="Yes",Sufficient_data="Yes"),'Publication Bias Analysis'!BF:BF-AVERAGE('Publication Bias Analysis'!BF:BF),"")</f>
        <v/>
      </c>
      <c r="JA142" s="74" t="str">
        <f>IF(AND(Include_study?="Yes",Sufficient_data="Yes"),'Publication Bias Analysis'!BG:BG-('Publication Bias Analysis'!BJ$30+'Publication Bias Analysis'!BJ$31*'Publication Bias Analysis'!BF:BF),"")</f>
        <v/>
      </c>
      <c r="JG142" s="176"/>
      <c r="JH142" s="39" t="str">
        <f t="shared" si="524"/>
        <v/>
      </c>
      <c r="JI142" s="148" t="str">
        <f t="shared" si="531"/>
        <v/>
      </c>
      <c r="JJ142" s="74" t="str">
        <f t="shared" si="532"/>
        <v/>
      </c>
    </row>
    <row r="143" spans="1:270" x14ac:dyDescent="0.2">
      <c r="A143" s="56" t="str">
        <f t="shared" si="334"/>
        <v/>
      </c>
      <c r="B143" s="7" t="str">
        <f>IF(AND(Include_study?="Yes",Sufficient_data="Yes"),IF(Input!a_&lt;&gt;"",Input!a_,Input!n1_-Input!b_),"")</f>
        <v/>
      </c>
      <c r="C143" s="7" t="str">
        <f>IF(AND(Include_study?="Yes",Sufficient_data="Yes"),IF(Input!b_&lt;&gt;"",Input!b_,Input!n1_-Input!a_),"")</f>
        <v/>
      </c>
      <c r="D143" s="7" t="str">
        <f>IF(AND(Include_study?="Yes",Sufficient_data="Yes"),IF(Input!c_&lt;&gt;"",Input!c_,Input!n2_-Input!d_),"")</f>
        <v/>
      </c>
      <c r="E143" s="7" t="str">
        <f>IF(AND(Include_study?="Yes",Sufficient_data="Yes"),IF(Input!d_&lt;&gt;"",Input!d_,Input!n2_-Input!c_),"")</f>
        <v/>
      </c>
      <c r="F143" s="74" t="str">
        <f t="shared" si="443"/>
        <v/>
      </c>
      <c r="H143" s="196"/>
      <c r="I143" s="182"/>
      <c r="J143" s="146" t="str">
        <f t="shared" si="444"/>
        <v/>
      </c>
      <c r="K143" s="39" t="str">
        <f t="shared" si="445"/>
        <v/>
      </c>
      <c r="L143" s="39" t="str">
        <f t="shared" si="446"/>
        <v/>
      </c>
      <c r="M143" s="39" t="str">
        <f t="shared" si="447"/>
        <v/>
      </c>
      <c r="N143" s="74" t="str">
        <f t="shared" si="448"/>
        <v/>
      </c>
      <c r="P143" s="176"/>
      <c r="Q143" s="130" t="str">
        <f t="shared" si="449"/>
        <v/>
      </c>
      <c r="R143" s="39" t="str">
        <f t="shared" si="450"/>
        <v/>
      </c>
      <c r="S143" s="39" t="str">
        <f t="shared" si="451"/>
        <v/>
      </c>
      <c r="T143" s="74" t="str">
        <f t="shared" si="452"/>
        <v/>
      </c>
      <c r="V143" s="176"/>
      <c r="W143" s="130" t="str">
        <f t="shared" si="453"/>
        <v/>
      </c>
      <c r="X143" s="39" t="str">
        <f t="shared" si="454"/>
        <v/>
      </c>
      <c r="Y143" s="39" t="str">
        <f t="shared" si="455"/>
        <v/>
      </c>
      <c r="Z143" s="74" t="str">
        <f t="shared" si="456"/>
        <v/>
      </c>
      <c r="AB143" s="176"/>
      <c r="AC143" s="130" t="str">
        <f t="shared" si="457"/>
        <v/>
      </c>
      <c r="AD143" s="39" t="str">
        <f t="shared" si="458"/>
        <v/>
      </c>
      <c r="AE143" s="39" t="str">
        <f t="shared" si="459"/>
        <v/>
      </c>
      <c r="AF143" s="39" t="str">
        <f t="shared" si="460"/>
        <v/>
      </c>
      <c r="AG143" s="74" t="str">
        <f t="shared" si="461"/>
        <v/>
      </c>
      <c r="AI143" s="196"/>
      <c r="AJ14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3" s="136" t="str">
        <f>IF(AJ143&lt;&gt;"",IF(AJ143=0,COUNTIF(AJ$2:AJ142,0)+1,COUNTIF(AJ$2:AJ142,AJ143)+AJ143+COUNTIF(AJ:AJ,0)),"")</f>
        <v/>
      </c>
      <c r="AL143" s="136" t="str">
        <f t="shared" si="462"/>
        <v/>
      </c>
      <c r="AM143" s="155" t="str">
        <f>IF(AND(Include_study?="Yes",Sufficient_data="Yes",Input!Study_name&lt;&gt;""),Input!Study_name,"")</f>
        <v/>
      </c>
      <c r="AN143" s="136" t="str">
        <f t="shared" si="463"/>
        <v/>
      </c>
      <c r="AO143" s="19" t="str">
        <f t="shared" si="464"/>
        <v/>
      </c>
      <c r="AP143" s="158" t="str">
        <f t="shared" si="465"/>
        <v/>
      </c>
      <c r="AQ143" s="158" t="str">
        <f t="shared" si="466"/>
        <v/>
      </c>
      <c r="AR143" s="39" t="str">
        <f t="shared" si="467"/>
        <v/>
      </c>
      <c r="AS143" s="158" t="str">
        <f t="shared" si="468"/>
        <v/>
      </c>
      <c r="AT143" s="39" t="str">
        <f t="shared" si="469"/>
        <v/>
      </c>
      <c r="AU143" s="172" t="str">
        <f t="shared" si="470"/>
        <v/>
      </c>
      <c r="AV143" s="45"/>
      <c r="AW143" s="84" t="e">
        <f t="shared" si="360"/>
        <v>#N/A</v>
      </c>
      <c r="AX143" s="69" t="e">
        <f t="shared" si="471"/>
        <v>#N/A</v>
      </c>
      <c r="AY143" s="74" t="e">
        <f t="shared" si="472"/>
        <v>#N/A</v>
      </c>
      <c r="AZ143" s="45"/>
      <c r="BA143" s="45"/>
      <c r="BB143" s="45"/>
      <c r="BC143" s="45"/>
      <c r="BD143" s="196"/>
      <c r="BE143" s="182"/>
      <c r="BF143" s="69" t="str">
        <f t="shared" si="363"/>
        <v/>
      </c>
      <c r="BG143" s="69" t="str">
        <f t="shared" si="364"/>
        <v/>
      </c>
      <c r="BH143" s="69" t="str">
        <f t="shared" si="365"/>
        <v/>
      </c>
      <c r="BI143" s="39" t="str">
        <f t="shared" si="366"/>
        <v/>
      </c>
      <c r="BJ143" s="95" t="str">
        <f t="shared" si="473"/>
        <v/>
      </c>
      <c r="BO143" s="176"/>
      <c r="BP143" s="158" t="str">
        <f t="shared" si="474"/>
        <v/>
      </c>
      <c r="BQ143" s="158" t="str">
        <f t="shared" si="475"/>
        <v/>
      </c>
      <c r="BR143" s="158" t="str">
        <f t="shared" si="476"/>
        <v/>
      </c>
      <c r="BS143" s="158" t="str">
        <f>IF(AND(Sufficient_data="Yes",Include_study?="Yes"),IF(Add_0_5="Yes",(a_+d_+1)*(ab_+0.5)*(c_+0.5)/(Number_of_subjects+2)^2,(a_+d_)*b_*c_/Number_of_subjects^2),"")</f>
        <v/>
      </c>
      <c r="BT143" s="158" t="str">
        <f t="shared" si="477"/>
        <v/>
      </c>
      <c r="BU143" s="158" t="str">
        <f t="shared" si="478"/>
        <v/>
      </c>
      <c r="BV143" s="158" t="str">
        <f t="shared" si="479"/>
        <v/>
      </c>
      <c r="BW143" s="69" t="str">
        <f t="shared" si="374"/>
        <v/>
      </c>
      <c r="BX143" s="137" t="str">
        <f t="shared" si="375"/>
        <v/>
      </c>
      <c r="BY143" s="95" t="str">
        <f t="shared" si="480"/>
        <v/>
      </c>
      <c r="CD143" s="176"/>
      <c r="CE143" s="130" t="str">
        <f t="shared" si="481"/>
        <v/>
      </c>
      <c r="CF143" s="39" t="str">
        <f t="shared" si="482"/>
        <v/>
      </c>
      <c r="CG143" s="39" t="str">
        <f t="shared" si="483"/>
        <v/>
      </c>
      <c r="CH143" s="39" t="str">
        <f t="shared" si="484"/>
        <v/>
      </c>
      <c r="CI143" s="39" t="str">
        <f t="shared" si="485"/>
        <v/>
      </c>
      <c r="CJ143" s="39" t="str">
        <f t="shared" si="486"/>
        <v/>
      </c>
      <c r="CK143" s="95" t="str">
        <f t="shared" si="487"/>
        <v/>
      </c>
      <c r="CP143" s="176"/>
      <c r="CQ143" s="99" t="str">
        <f t="shared" si="383"/>
        <v/>
      </c>
      <c r="CX143" s="196"/>
      <c r="CY143" s="89" t="e">
        <f t="shared" si="488"/>
        <v>#N/A</v>
      </c>
      <c r="CZ143" s="136" t="str">
        <f t="shared" si="489"/>
        <v/>
      </c>
      <c r="DA143" s="140" t="str">
        <f t="shared" si="490"/>
        <v/>
      </c>
      <c r="DB143" s="39" t="str">
        <f t="shared" si="491"/>
        <v/>
      </c>
      <c r="DC143" s="39" t="str">
        <f t="shared" si="492"/>
        <v/>
      </c>
      <c r="DD143" s="39" t="str">
        <f t="shared" si="493"/>
        <v/>
      </c>
      <c r="DE143" s="39" t="str">
        <f t="shared" si="494"/>
        <v/>
      </c>
      <c r="DF143" s="141" t="str">
        <f t="shared" si="495"/>
        <v/>
      </c>
      <c r="DG143" s="39" t="str">
        <f t="shared" si="496"/>
        <v/>
      </c>
      <c r="DH143" s="39" t="str">
        <f t="shared" si="497"/>
        <v/>
      </c>
      <c r="DI143" s="39" t="str">
        <f t="shared" si="498"/>
        <v/>
      </c>
      <c r="DJ143" s="74" t="str">
        <f t="shared" si="499"/>
        <v/>
      </c>
      <c r="DK143" s="45"/>
      <c r="DL143" s="84" t="e">
        <f t="shared" si="423"/>
        <v>#N/A</v>
      </c>
      <c r="DM143" s="39" t="e">
        <f t="shared" si="500"/>
        <v>#N/A</v>
      </c>
      <c r="DN143" s="74" t="e">
        <f t="shared" si="501"/>
        <v>#N/A</v>
      </c>
      <c r="DO143" s="45"/>
      <c r="DP143" s="89" t="str">
        <f t="shared" si="525"/>
        <v/>
      </c>
      <c r="DQ143" s="26" t="str">
        <f>IF(AND(Sufficient_data="Yes",Subgroup&lt;&gt;""),IF(COUNTIFS(Input!J$2:J142,"="&amp;"Yes",Input!C$2:C142,"="&amp;"Yes",Input!K$2:K142,"="&amp;Subgroup)&gt;0,"",Subgroup),"")</f>
        <v/>
      </c>
      <c r="DR143" s="7" t="str">
        <f t="shared" si="526"/>
        <v/>
      </c>
      <c r="DS143" s="7" t="str">
        <f t="shared" si="502"/>
        <v/>
      </c>
      <c r="DT143" s="19" t="str">
        <f t="shared" si="503"/>
        <v/>
      </c>
      <c r="DU143" s="12" t="str">
        <f t="shared" si="424"/>
        <v/>
      </c>
      <c r="DV143" s="11" t="str">
        <f t="shared" si="425"/>
        <v/>
      </c>
      <c r="DW143" s="12" t="str">
        <f t="shared" si="426"/>
        <v/>
      </c>
      <c r="DX143" s="12" t="str">
        <f t="shared" si="504"/>
        <v/>
      </c>
      <c r="DY143" s="19" t="str">
        <f t="shared" si="427"/>
        <v/>
      </c>
      <c r="DZ143" s="12" t="str">
        <f t="shared" si="428"/>
        <v/>
      </c>
      <c r="EA143" s="19" t="str">
        <f t="shared" si="505"/>
        <v/>
      </c>
      <c r="EB143" s="7" t="str">
        <f t="shared" si="506"/>
        <v/>
      </c>
      <c r="EC143" s="19" t="str">
        <f t="shared" si="507"/>
        <v/>
      </c>
      <c r="ED143" s="19" t="str">
        <f t="shared" si="508"/>
        <v/>
      </c>
      <c r="EE143" s="19" t="str">
        <f t="shared" si="429"/>
        <v/>
      </c>
      <c r="EF143" s="19" t="str">
        <f t="shared" si="430"/>
        <v/>
      </c>
      <c r="EG143" s="19" t="str">
        <f t="shared" si="431"/>
        <v/>
      </c>
      <c r="EH143" s="19" t="str">
        <f t="shared" si="432"/>
        <v/>
      </c>
      <c r="EI143" s="19" t="str">
        <f t="shared" si="433"/>
        <v/>
      </c>
      <c r="EJ143" s="19" t="str">
        <f t="shared" si="509"/>
        <v/>
      </c>
      <c r="EK143" s="19" t="str">
        <f t="shared" si="510"/>
        <v/>
      </c>
      <c r="EL143" s="19" t="str">
        <f t="shared" si="434"/>
        <v/>
      </c>
      <c r="EM143" s="19" t="str">
        <f t="shared" si="435"/>
        <v/>
      </c>
      <c r="EN143" s="19" t="str">
        <f t="shared" si="436"/>
        <v/>
      </c>
      <c r="EO143" s="19" t="str">
        <f t="shared" si="437"/>
        <v/>
      </c>
      <c r="EP143" s="19" t="str">
        <f t="shared" si="438"/>
        <v/>
      </c>
      <c r="EQ143" s="19" t="e">
        <f t="shared" si="439"/>
        <v>#N/A</v>
      </c>
      <c r="ER143" s="11" t="str">
        <f t="shared" si="527"/>
        <v/>
      </c>
      <c r="ES143" s="19" t="str">
        <f t="shared" si="528"/>
        <v/>
      </c>
      <c r="ET143" s="156" t="str">
        <f t="shared" si="511"/>
        <v/>
      </c>
      <c r="EU143" s="39" t="str">
        <f t="shared" si="440"/>
        <v/>
      </c>
      <c r="EV143" s="74" t="str">
        <f t="shared" si="512"/>
        <v/>
      </c>
      <c r="FA143" s="196"/>
      <c r="FB143" s="84" t="e">
        <f>IF(AND(Include_study?="Yes",Sufficient_data="Yes",Moderator&lt;&gt;""),'Moderator Analysis'!E143,NA())</f>
        <v>#N/A</v>
      </c>
      <c r="FC143" s="39" t="e">
        <f>IF(AND(Include_study?="Yes",Sufficient_data="Yes",Moderator&lt;&gt;""),'Moderator Analysis'!F143,NA())</f>
        <v>#N/A</v>
      </c>
      <c r="FD143" s="39" t="str">
        <f t="shared" si="513"/>
        <v/>
      </c>
      <c r="FE143" s="39" t="str">
        <f t="shared" si="514"/>
        <v/>
      </c>
      <c r="FF143" s="39" t="str">
        <f>IF(AND(Include_study?="Yes",Sufficient_data="Yes",Moderator&lt;&gt;""),'Moderator Analysis'!F:F-FP$2,"")</f>
        <v/>
      </c>
      <c r="FG143" s="39" t="str">
        <f>IF(AND(Include_study?="Yes",Sufficient_data="Yes",Moderator&lt;&gt;""),'Moderator Analysis'!E:E-FP$3,"")</f>
        <v/>
      </c>
      <c r="FH143" s="74" t="str">
        <f>IF(AND(Include_study?="Yes",Sufficient_data="Yes",Moderator&lt;&gt;""),FE:FE*('Moderator Analysis'!F:F-FP$5-FP$4*'Moderator Analysis'!E:E)^2,"")</f>
        <v/>
      </c>
      <c r="FI143" s="128"/>
      <c r="FJ143" s="92" t="str">
        <f t="shared" si="515"/>
        <v/>
      </c>
      <c r="FK143" s="137" t="str">
        <f>IF(AND(Include_study?="Yes",Sufficient_data="Yes",Moderator&lt;&gt;""),'Moderator Analysis'!F:F-'Moderator Analysis'!J$37,"")</f>
        <v/>
      </c>
      <c r="FL143" s="137" t="str">
        <f>IF(AND(Include_study?="Yes",Sufficient_data="Yes",Moderator&lt;&gt;""),'Moderator Analysis'!E:E-SUMPRODUCT('Moderator Analysis'!E:E,FJ:FJ)/SUM(FJ:FJ),"")</f>
        <v/>
      </c>
      <c r="FM143" s="95" t="str">
        <f>IF(AND(Include_study?="Yes",Sufficient_data="Yes",Moderator&lt;&gt;""),FJ:FJ*('Moderator Analysis'!F:F-'Moderator Analysis'!J$29-'Moderator Analysis'!J$30*'Moderator Analysis'!E:E)^2,"")</f>
        <v/>
      </c>
      <c r="FR143" s="196"/>
      <c r="FS143" s="182"/>
      <c r="FT14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3" s="39" t="str">
        <f>IF(AND(Include_study?="Yes",Sufficient_data="Yes"),1/('Publication Bias Analysis'!F:F^2+IF(Additional_model="Fixed effect",0,Calculations!GH$12)),"")</f>
        <v/>
      </c>
      <c r="FV143" s="39" t="str">
        <f>IF(AND(Include_study?="Yes",Sufficient_data="Yes"),1/('Publication Bias Analysis'!F:F^2+IF(Additional_model="Fixed effect",0,'Publication Bias Analysis'!L$32)),"")</f>
        <v/>
      </c>
      <c r="FW143" s="39" t="str">
        <f>IF(AND(Include_study?="Yes",Sufficient_data="Yes"),'Publication Bias Analysis'!E:E-'Publication Bias Analysis'!I$37,"")</f>
        <v/>
      </c>
      <c r="FX143" s="39" t="str">
        <f>IF(AND(Include_study?="Yes",Sufficient_data="Yes"),IF(Additional_model="Fixed effect",1/'Publication Bias Analysis'!F:F,1/SQRT('Publication Bias Analysis'!F:F^2+GH$12)),"")</f>
        <v/>
      </c>
      <c r="FY14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3" s="136" t="str">
        <f t="shared" si="516"/>
        <v/>
      </c>
      <c r="GA143" s="144" t="str">
        <f>IF(AND(Include_study?="Yes",Sufficient_data="Yes"),FZ:FZ+IF(GL:GL&lt;0,-1,1)*COUNTIF(FZ$2:FZ142,FZ:FZ),"")</f>
        <v/>
      </c>
      <c r="GB143" s="144" t="str">
        <f>IF(AND(Include_study?="Yes",Sufficient_data="Yes"),RANK(GP:GP,GP:GP,1)*IF(GO:GO&lt;0,-1,1)+IF(GO:GO&lt;0,-1,1)*COUNTIF(FZ$2:FZ142,FZ:FZ),"")</f>
        <v/>
      </c>
      <c r="GC143" s="144" t="str">
        <f>IF(AND(Include_study?="Yes",Sufficient_data="Yes"),RANK(GS:GS,GS:GS,1)*IF(GR:GR&lt;0,-1,1)+IF(GR:GR&lt;0,-1,1)*COUNTIF(FZ$2:FZ142,FZ:FZ),"")</f>
        <v/>
      </c>
      <c r="GD143" s="39" t="e">
        <f>IF(AND(Include_study?="Yes",Sufficient_data="Yes"),'Publication Bias Analysis'!E143,NA())</f>
        <v>#N/A</v>
      </c>
      <c r="GE143" s="74" t="e">
        <f>IF(AND(Include_study?="Yes",Sufficient_data="Yes"),'Publication Bias Analysis'!F143,NA())</f>
        <v>#N/A</v>
      </c>
      <c r="GK143" s="176"/>
      <c r="GL14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3" s="39" t="str">
        <f t="shared" si="517"/>
        <v/>
      </c>
      <c r="GN14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3" s="39" t="str">
        <f>IF(AND(Include_study?="Yes",Sufficient_data="Yes"),IF('Publication Bias Analysis'!L$38="Left",'Publication Bias Analysis'!E:E-GW$3,GW$3-'Publication Bias Analysis'!E:E),"")</f>
        <v/>
      </c>
      <c r="GP143" s="39" t="str">
        <f t="shared" si="529"/>
        <v/>
      </c>
      <c r="GQ14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3" s="39" t="str">
        <f>IF(AND(Include_study?="Yes",Sufficient_data="Yes"),IF('Publication Bias Analysis'!L$38="Left",'Publication Bias Analysis'!E:E-GW$10,GW$10-'Publication Bias Analysis'!E:E),"")</f>
        <v/>
      </c>
      <c r="GS143" s="39" t="str">
        <f t="shared" si="530"/>
        <v/>
      </c>
      <c r="GT14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3" s="176"/>
      <c r="HL143" s="69" t="str">
        <f t="shared" si="518"/>
        <v/>
      </c>
      <c r="HM143" s="74" t="str">
        <f>IF(AND(Include_study?="Yes",Sufficient_data="Yes"),Z_score-('Publication Bias Analysis'!P$3+'Publication Bias Analysis'!P$4*Inverse_standard_error),"")</f>
        <v/>
      </c>
      <c r="HO143" s="176"/>
      <c r="HP143" s="69" t="str">
        <f>IF(AND(Include_study?="Yes",Sufficient_data="Yes"),(GD:GD-SUMPRODUCT(Calculations!FT:FT,'Publication Bias Analysis'!E:E)/SUM(Calculations!FT:FT))/SQRT(Calculations!HQ:HQ),"")</f>
        <v/>
      </c>
      <c r="HQ143" s="69" t="str">
        <f>IF(AND(Include_study?="Yes",Sufficient_data="Yes"),GE:GE^2-1/SUM(Calculations!FT:FT),"")</f>
        <v/>
      </c>
      <c r="HR143" s="7" t="str">
        <f t="shared" si="441"/>
        <v/>
      </c>
      <c r="HS143" s="7" t="str">
        <f t="shared" si="442"/>
        <v/>
      </c>
      <c r="HT143" s="7" t="str">
        <f>IF(AND(Include_study?="Yes",Sufficient_data="Yes"),COUNTIFS(HR$2:HR142,"&lt;"&amp;HR143,HS$2:HS142,"&lt;"&amp;HS143)+COUNTIFS(HR144:HR$201,"&lt;"&amp;HR143,HS144:HS$201,"&lt;"&amp;HS143)+COUNTIFS(HR$2:HR142,"&gt;"&amp;HR143,HS$2:HS142,"&gt;"&amp;HS143)+COUNTIFS(HR144:HR$201,"&gt;"&amp;HR143,HS144:HS$201,"&gt;"&amp;HS143),"")</f>
        <v/>
      </c>
      <c r="HU143" s="104" t="str">
        <f>IF(AND(Include_study?="Yes",Sufficient_data="Yes"),COUNTIFS(HR$2:HR142,"&lt;"&amp;HR143,HS$2:HS142,"&gt;"&amp;HS143)+COUNTIFS(HR144:HR$201,"&lt;"&amp;HR143,HS144:HS$201,"&gt;"&amp;HS143)+COUNTIFS(HR$2:HR142,"&gt;"&amp;HR143,HS$2:HS142,"&lt;"&amp;HS143)+COUNTIFS(HR144:HR$201,"&gt;"&amp;HR143,HS144:HS$201,"&lt;"&amp;HS143),"")</f>
        <v/>
      </c>
      <c r="HW143" s="176"/>
      <c r="IB143" s="176"/>
      <c r="IC143" s="146" t="e">
        <f t="shared" si="519"/>
        <v>#N/A</v>
      </c>
      <c r="ID143" s="137" t="e">
        <f t="shared" si="520"/>
        <v>#N/A</v>
      </c>
      <c r="IE143" s="137" t="str">
        <f t="shared" si="521"/>
        <v/>
      </c>
      <c r="IF143" s="95" t="str">
        <f t="shared" si="522"/>
        <v/>
      </c>
      <c r="IK143" s="176"/>
      <c r="IL143" s="69" t="e">
        <f>IF(AND(Include_study?="Yes",Sufficient_data="Yes"),'Publication Bias Analysis'!AV:AV,NA())</f>
        <v>#N/A</v>
      </c>
      <c r="IM143" s="158" t="e">
        <f>IF(AND(Sufficient_data="Yes",Include_study?="Yes"),'Publication Bias Analysis'!AU:AU,NA())</f>
        <v>#N/A</v>
      </c>
      <c r="IN143" s="69" t="str">
        <f t="shared" si="418"/>
        <v/>
      </c>
      <c r="IO143" s="74" t="str">
        <f>IF(AND(Include_study?="Yes",Sufficient_data="Yes"),Z_score-('Publication Bias Analysis'!AY$30+'Publication Bias Analysis'!AY$31*Inverse_standard_error),"")</f>
        <v/>
      </c>
      <c r="IU143" s="176"/>
      <c r="IV143" s="7" t="str">
        <f>IF('Publication Bias Analysis'!BG:BG&lt;&gt;"",RANK('Publication Bias Analysis'!BG:BG,'Publication Bias Analysis'!BG:BG,1)+COUNTIF('Publication Bias Analysis'!BG$2:BG142,'Publication Bias Analysis'!BG143),"")</f>
        <v/>
      </c>
      <c r="IW143" s="124" t="str">
        <f t="shared" si="523"/>
        <v/>
      </c>
      <c r="IX143" s="125" t="e">
        <f>IF('Publication Bias Analysis'!BF143&lt;&gt;"",'Publication Bias Analysis'!BF143,NA())</f>
        <v>#N/A</v>
      </c>
      <c r="IY143" s="125" t="e">
        <f>IF('Publication Bias Analysis'!BG143&lt;&gt;"",'Publication Bias Analysis'!BG143,NA())</f>
        <v>#N/A</v>
      </c>
      <c r="IZ143" s="69" t="str">
        <f>IF(AND(Include_study?="Yes",Sufficient_data="Yes"),'Publication Bias Analysis'!BF:BF-AVERAGE('Publication Bias Analysis'!BF:BF),"")</f>
        <v/>
      </c>
      <c r="JA143" s="74" t="str">
        <f>IF(AND(Include_study?="Yes",Sufficient_data="Yes"),'Publication Bias Analysis'!BG:BG-('Publication Bias Analysis'!BJ$30+'Publication Bias Analysis'!BJ$31*'Publication Bias Analysis'!BF:BF),"")</f>
        <v/>
      </c>
      <c r="JG143" s="176"/>
      <c r="JH143" s="39" t="str">
        <f t="shared" si="524"/>
        <v/>
      </c>
      <c r="JI143" s="148" t="str">
        <f t="shared" si="531"/>
        <v/>
      </c>
      <c r="JJ143" s="74" t="str">
        <f t="shared" si="532"/>
        <v/>
      </c>
    </row>
    <row r="144" spans="1:270" x14ac:dyDescent="0.2">
      <c r="A144" s="56" t="str">
        <f t="shared" si="334"/>
        <v/>
      </c>
      <c r="B144" s="7" t="str">
        <f>IF(AND(Include_study?="Yes",Sufficient_data="Yes"),IF(Input!a_&lt;&gt;"",Input!a_,Input!n1_-Input!b_),"")</f>
        <v/>
      </c>
      <c r="C144" s="7" t="str">
        <f>IF(AND(Include_study?="Yes",Sufficient_data="Yes"),IF(Input!b_&lt;&gt;"",Input!b_,Input!n1_-Input!a_),"")</f>
        <v/>
      </c>
      <c r="D144" s="7" t="str">
        <f>IF(AND(Include_study?="Yes",Sufficient_data="Yes"),IF(Input!c_&lt;&gt;"",Input!c_,Input!n2_-Input!d_),"")</f>
        <v/>
      </c>
      <c r="E144" s="7" t="str">
        <f>IF(AND(Include_study?="Yes",Sufficient_data="Yes"),IF(Input!d_&lt;&gt;"",Input!d_,Input!n2_-Input!c_),"")</f>
        <v/>
      </c>
      <c r="F144" s="74" t="str">
        <f t="shared" si="443"/>
        <v/>
      </c>
      <c r="H144" s="196"/>
      <c r="I144" s="182"/>
      <c r="J144" s="146" t="str">
        <f t="shared" si="444"/>
        <v/>
      </c>
      <c r="K144" s="39" t="str">
        <f t="shared" si="445"/>
        <v/>
      </c>
      <c r="L144" s="39" t="str">
        <f t="shared" si="446"/>
        <v/>
      </c>
      <c r="M144" s="39" t="str">
        <f t="shared" si="447"/>
        <v/>
      </c>
      <c r="N144" s="74" t="str">
        <f t="shared" si="448"/>
        <v/>
      </c>
      <c r="P144" s="176"/>
      <c r="Q144" s="130" t="str">
        <f t="shared" si="449"/>
        <v/>
      </c>
      <c r="R144" s="39" t="str">
        <f t="shared" si="450"/>
        <v/>
      </c>
      <c r="S144" s="39" t="str">
        <f t="shared" si="451"/>
        <v/>
      </c>
      <c r="T144" s="74" t="str">
        <f t="shared" si="452"/>
        <v/>
      </c>
      <c r="V144" s="176"/>
      <c r="W144" s="130" t="str">
        <f t="shared" si="453"/>
        <v/>
      </c>
      <c r="X144" s="39" t="str">
        <f t="shared" si="454"/>
        <v/>
      </c>
      <c r="Y144" s="39" t="str">
        <f t="shared" si="455"/>
        <v/>
      </c>
      <c r="Z144" s="74" t="str">
        <f t="shared" si="456"/>
        <v/>
      </c>
      <c r="AB144" s="176"/>
      <c r="AC144" s="130" t="str">
        <f t="shared" si="457"/>
        <v/>
      </c>
      <c r="AD144" s="39" t="str">
        <f t="shared" si="458"/>
        <v/>
      </c>
      <c r="AE144" s="39" t="str">
        <f t="shared" si="459"/>
        <v/>
      </c>
      <c r="AF144" s="39" t="str">
        <f t="shared" si="460"/>
        <v/>
      </c>
      <c r="AG144" s="74" t="str">
        <f t="shared" si="461"/>
        <v/>
      </c>
      <c r="AI144" s="196"/>
      <c r="AJ14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4" s="136" t="str">
        <f>IF(AJ144&lt;&gt;"",IF(AJ144=0,COUNTIF(AJ$2:AJ143,0)+1,COUNTIF(AJ$2:AJ143,AJ144)+AJ144+COUNTIF(AJ:AJ,0)),"")</f>
        <v/>
      </c>
      <c r="AL144" s="136" t="str">
        <f t="shared" si="462"/>
        <v/>
      </c>
      <c r="AM144" s="155" t="str">
        <f>IF(AND(Include_study?="Yes",Sufficient_data="Yes",Input!Study_name&lt;&gt;""),Input!Study_name,"")</f>
        <v/>
      </c>
      <c r="AN144" s="136" t="str">
        <f t="shared" si="463"/>
        <v/>
      </c>
      <c r="AO144" s="19" t="str">
        <f t="shared" si="464"/>
        <v/>
      </c>
      <c r="AP144" s="158" t="str">
        <f t="shared" si="465"/>
        <v/>
      </c>
      <c r="AQ144" s="158" t="str">
        <f t="shared" si="466"/>
        <v/>
      </c>
      <c r="AR144" s="39" t="str">
        <f t="shared" si="467"/>
        <v/>
      </c>
      <c r="AS144" s="158" t="str">
        <f t="shared" si="468"/>
        <v/>
      </c>
      <c r="AT144" s="39" t="str">
        <f t="shared" si="469"/>
        <v/>
      </c>
      <c r="AU144" s="172" t="str">
        <f t="shared" si="470"/>
        <v/>
      </c>
      <c r="AV144" s="45"/>
      <c r="AW144" s="84" t="e">
        <f t="shared" si="360"/>
        <v>#N/A</v>
      </c>
      <c r="AX144" s="69" t="e">
        <f t="shared" si="471"/>
        <v>#N/A</v>
      </c>
      <c r="AY144" s="74" t="e">
        <f t="shared" si="472"/>
        <v>#N/A</v>
      </c>
      <c r="AZ144" s="45"/>
      <c r="BA144" s="45"/>
      <c r="BB144" s="45"/>
      <c r="BC144" s="45"/>
      <c r="BD144" s="196"/>
      <c r="BE144" s="182"/>
      <c r="BF144" s="69" t="str">
        <f t="shared" si="363"/>
        <v/>
      </c>
      <c r="BG144" s="69" t="str">
        <f t="shared" si="364"/>
        <v/>
      </c>
      <c r="BH144" s="69" t="str">
        <f t="shared" si="365"/>
        <v/>
      </c>
      <c r="BI144" s="39" t="str">
        <f t="shared" si="366"/>
        <v/>
      </c>
      <c r="BJ144" s="95" t="str">
        <f t="shared" si="473"/>
        <v/>
      </c>
      <c r="BO144" s="176"/>
      <c r="BP144" s="158" t="str">
        <f t="shared" si="474"/>
        <v/>
      </c>
      <c r="BQ144" s="158" t="str">
        <f t="shared" si="475"/>
        <v/>
      </c>
      <c r="BR144" s="158" t="str">
        <f t="shared" si="476"/>
        <v/>
      </c>
      <c r="BS144" s="158" t="str">
        <f>IF(AND(Sufficient_data="Yes",Include_study?="Yes"),IF(Add_0_5="Yes",(a_+d_+1)*(ab_+0.5)*(c_+0.5)/(Number_of_subjects+2)^2,(a_+d_)*b_*c_/Number_of_subjects^2),"")</f>
        <v/>
      </c>
      <c r="BT144" s="158" t="str">
        <f t="shared" si="477"/>
        <v/>
      </c>
      <c r="BU144" s="158" t="str">
        <f t="shared" si="478"/>
        <v/>
      </c>
      <c r="BV144" s="158" t="str">
        <f t="shared" si="479"/>
        <v/>
      </c>
      <c r="BW144" s="69" t="str">
        <f t="shared" si="374"/>
        <v/>
      </c>
      <c r="BX144" s="137" t="str">
        <f t="shared" si="375"/>
        <v/>
      </c>
      <c r="BY144" s="95" t="str">
        <f t="shared" si="480"/>
        <v/>
      </c>
      <c r="CD144" s="176"/>
      <c r="CE144" s="130" t="str">
        <f t="shared" si="481"/>
        <v/>
      </c>
      <c r="CF144" s="39" t="str">
        <f t="shared" si="482"/>
        <v/>
      </c>
      <c r="CG144" s="39" t="str">
        <f t="shared" si="483"/>
        <v/>
      </c>
      <c r="CH144" s="39" t="str">
        <f t="shared" si="484"/>
        <v/>
      </c>
      <c r="CI144" s="39" t="str">
        <f t="shared" si="485"/>
        <v/>
      </c>
      <c r="CJ144" s="39" t="str">
        <f t="shared" si="486"/>
        <v/>
      </c>
      <c r="CK144" s="95" t="str">
        <f t="shared" si="487"/>
        <v/>
      </c>
      <c r="CP144" s="176"/>
      <c r="CQ144" s="99" t="str">
        <f t="shared" si="383"/>
        <v/>
      </c>
      <c r="CX144" s="196"/>
      <c r="CY144" s="89" t="e">
        <f t="shared" si="488"/>
        <v>#N/A</v>
      </c>
      <c r="CZ144" s="136" t="str">
        <f t="shared" si="489"/>
        <v/>
      </c>
      <c r="DA144" s="140" t="str">
        <f t="shared" si="490"/>
        <v/>
      </c>
      <c r="DB144" s="39" t="str">
        <f t="shared" si="491"/>
        <v/>
      </c>
      <c r="DC144" s="39" t="str">
        <f t="shared" si="492"/>
        <v/>
      </c>
      <c r="DD144" s="39" t="str">
        <f t="shared" si="493"/>
        <v/>
      </c>
      <c r="DE144" s="39" t="str">
        <f t="shared" si="494"/>
        <v/>
      </c>
      <c r="DF144" s="141" t="str">
        <f t="shared" si="495"/>
        <v/>
      </c>
      <c r="DG144" s="39" t="str">
        <f t="shared" si="496"/>
        <v/>
      </c>
      <c r="DH144" s="39" t="str">
        <f t="shared" si="497"/>
        <v/>
      </c>
      <c r="DI144" s="39" t="str">
        <f t="shared" si="498"/>
        <v/>
      </c>
      <c r="DJ144" s="74" t="str">
        <f t="shared" si="499"/>
        <v/>
      </c>
      <c r="DK144" s="45"/>
      <c r="DL144" s="84" t="e">
        <f t="shared" si="423"/>
        <v>#N/A</v>
      </c>
      <c r="DM144" s="39" t="e">
        <f t="shared" si="500"/>
        <v>#N/A</v>
      </c>
      <c r="DN144" s="74" t="e">
        <f t="shared" si="501"/>
        <v>#N/A</v>
      </c>
      <c r="DO144" s="45"/>
      <c r="DP144" s="89" t="str">
        <f t="shared" si="525"/>
        <v/>
      </c>
      <c r="DQ144" s="26" t="str">
        <f>IF(AND(Sufficient_data="Yes",Subgroup&lt;&gt;""),IF(COUNTIFS(Input!J$2:J143,"="&amp;"Yes",Input!C$2:C143,"="&amp;"Yes",Input!K$2:K143,"="&amp;Subgroup)&gt;0,"",Subgroup),"")</f>
        <v/>
      </c>
      <c r="DR144" s="7" t="str">
        <f t="shared" si="526"/>
        <v/>
      </c>
      <c r="DS144" s="7" t="str">
        <f t="shared" si="502"/>
        <v/>
      </c>
      <c r="DT144" s="19" t="str">
        <f t="shared" si="503"/>
        <v/>
      </c>
      <c r="DU144" s="12" t="str">
        <f t="shared" si="424"/>
        <v/>
      </c>
      <c r="DV144" s="11" t="str">
        <f t="shared" si="425"/>
        <v/>
      </c>
      <c r="DW144" s="12" t="str">
        <f t="shared" si="426"/>
        <v/>
      </c>
      <c r="DX144" s="12" t="str">
        <f t="shared" si="504"/>
        <v/>
      </c>
      <c r="DY144" s="19" t="str">
        <f t="shared" si="427"/>
        <v/>
      </c>
      <c r="DZ144" s="12" t="str">
        <f t="shared" si="428"/>
        <v/>
      </c>
      <c r="EA144" s="19" t="str">
        <f t="shared" si="505"/>
        <v/>
      </c>
      <c r="EB144" s="7" t="str">
        <f t="shared" si="506"/>
        <v/>
      </c>
      <c r="EC144" s="19" t="str">
        <f t="shared" si="507"/>
        <v/>
      </c>
      <c r="ED144" s="19" t="str">
        <f t="shared" si="508"/>
        <v/>
      </c>
      <c r="EE144" s="19" t="str">
        <f t="shared" si="429"/>
        <v/>
      </c>
      <c r="EF144" s="19" t="str">
        <f t="shared" si="430"/>
        <v/>
      </c>
      <c r="EG144" s="19" t="str">
        <f t="shared" si="431"/>
        <v/>
      </c>
      <c r="EH144" s="19" t="str">
        <f t="shared" si="432"/>
        <v/>
      </c>
      <c r="EI144" s="19" t="str">
        <f t="shared" si="433"/>
        <v/>
      </c>
      <c r="EJ144" s="19" t="str">
        <f t="shared" si="509"/>
        <v/>
      </c>
      <c r="EK144" s="19" t="str">
        <f t="shared" si="510"/>
        <v/>
      </c>
      <c r="EL144" s="19" t="str">
        <f t="shared" si="434"/>
        <v/>
      </c>
      <c r="EM144" s="19" t="str">
        <f t="shared" si="435"/>
        <v/>
      </c>
      <c r="EN144" s="19" t="str">
        <f t="shared" si="436"/>
        <v/>
      </c>
      <c r="EO144" s="19" t="str">
        <f t="shared" si="437"/>
        <v/>
      </c>
      <c r="EP144" s="19" t="str">
        <f t="shared" si="438"/>
        <v/>
      </c>
      <c r="EQ144" s="19" t="e">
        <f t="shared" si="439"/>
        <v>#N/A</v>
      </c>
      <c r="ER144" s="11" t="str">
        <f t="shared" si="527"/>
        <v/>
      </c>
      <c r="ES144" s="19" t="str">
        <f t="shared" si="528"/>
        <v/>
      </c>
      <c r="ET144" s="156" t="str">
        <f t="shared" si="511"/>
        <v/>
      </c>
      <c r="EU144" s="39" t="str">
        <f t="shared" si="440"/>
        <v/>
      </c>
      <c r="EV144" s="74" t="str">
        <f t="shared" si="512"/>
        <v/>
      </c>
      <c r="FA144" s="196"/>
      <c r="FB144" s="84" t="e">
        <f>IF(AND(Include_study?="Yes",Sufficient_data="Yes",Moderator&lt;&gt;""),'Moderator Analysis'!E144,NA())</f>
        <v>#N/A</v>
      </c>
      <c r="FC144" s="39" t="e">
        <f>IF(AND(Include_study?="Yes",Sufficient_data="Yes",Moderator&lt;&gt;""),'Moderator Analysis'!F144,NA())</f>
        <v>#N/A</v>
      </c>
      <c r="FD144" s="39" t="str">
        <f t="shared" si="513"/>
        <v/>
      </c>
      <c r="FE144" s="39" t="str">
        <f t="shared" si="514"/>
        <v/>
      </c>
      <c r="FF144" s="39" t="str">
        <f>IF(AND(Include_study?="Yes",Sufficient_data="Yes",Moderator&lt;&gt;""),'Moderator Analysis'!F:F-FP$2,"")</f>
        <v/>
      </c>
      <c r="FG144" s="39" t="str">
        <f>IF(AND(Include_study?="Yes",Sufficient_data="Yes",Moderator&lt;&gt;""),'Moderator Analysis'!E:E-FP$3,"")</f>
        <v/>
      </c>
      <c r="FH144" s="74" t="str">
        <f>IF(AND(Include_study?="Yes",Sufficient_data="Yes",Moderator&lt;&gt;""),FE:FE*('Moderator Analysis'!F:F-FP$5-FP$4*'Moderator Analysis'!E:E)^2,"")</f>
        <v/>
      </c>
      <c r="FI144" s="128"/>
      <c r="FJ144" s="92" t="str">
        <f t="shared" si="515"/>
        <v/>
      </c>
      <c r="FK144" s="137" t="str">
        <f>IF(AND(Include_study?="Yes",Sufficient_data="Yes",Moderator&lt;&gt;""),'Moderator Analysis'!F:F-'Moderator Analysis'!J$37,"")</f>
        <v/>
      </c>
      <c r="FL144" s="137" t="str">
        <f>IF(AND(Include_study?="Yes",Sufficient_data="Yes",Moderator&lt;&gt;""),'Moderator Analysis'!E:E-SUMPRODUCT('Moderator Analysis'!E:E,FJ:FJ)/SUM(FJ:FJ),"")</f>
        <v/>
      </c>
      <c r="FM144" s="95" t="str">
        <f>IF(AND(Include_study?="Yes",Sufficient_data="Yes",Moderator&lt;&gt;""),FJ:FJ*('Moderator Analysis'!F:F-'Moderator Analysis'!J$29-'Moderator Analysis'!J$30*'Moderator Analysis'!E:E)^2,"")</f>
        <v/>
      </c>
      <c r="FR144" s="196"/>
      <c r="FS144" s="182"/>
      <c r="FT14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4" s="39" t="str">
        <f>IF(AND(Include_study?="Yes",Sufficient_data="Yes"),1/('Publication Bias Analysis'!F:F^2+IF(Additional_model="Fixed effect",0,Calculations!GH$12)),"")</f>
        <v/>
      </c>
      <c r="FV144" s="39" t="str">
        <f>IF(AND(Include_study?="Yes",Sufficient_data="Yes"),1/('Publication Bias Analysis'!F:F^2+IF(Additional_model="Fixed effect",0,'Publication Bias Analysis'!L$32)),"")</f>
        <v/>
      </c>
      <c r="FW144" s="39" t="str">
        <f>IF(AND(Include_study?="Yes",Sufficient_data="Yes"),'Publication Bias Analysis'!E:E-'Publication Bias Analysis'!I$37,"")</f>
        <v/>
      </c>
      <c r="FX144" s="39" t="str">
        <f>IF(AND(Include_study?="Yes",Sufficient_data="Yes"),IF(Additional_model="Fixed effect",1/'Publication Bias Analysis'!F:F,1/SQRT('Publication Bias Analysis'!F:F^2+GH$12)),"")</f>
        <v/>
      </c>
      <c r="FY14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4" s="136" t="str">
        <f t="shared" si="516"/>
        <v/>
      </c>
      <c r="GA144" s="144" t="str">
        <f>IF(AND(Include_study?="Yes",Sufficient_data="Yes"),FZ:FZ+IF(GL:GL&lt;0,-1,1)*COUNTIF(FZ$2:FZ143,FZ:FZ),"")</f>
        <v/>
      </c>
      <c r="GB144" s="144" t="str">
        <f>IF(AND(Include_study?="Yes",Sufficient_data="Yes"),RANK(GP:GP,GP:GP,1)*IF(GO:GO&lt;0,-1,1)+IF(GO:GO&lt;0,-1,1)*COUNTIF(FZ$2:FZ143,FZ:FZ),"")</f>
        <v/>
      </c>
      <c r="GC144" s="144" t="str">
        <f>IF(AND(Include_study?="Yes",Sufficient_data="Yes"),RANK(GS:GS,GS:GS,1)*IF(GR:GR&lt;0,-1,1)+IF(GR:GR&lt;0,-1,1)*COUNTIF(FZ$2:FZ143,FZ:FZ),"")</f>
        <v/>
      </c>
      <c r="GD144" s="39" t="e">
        <f>IF(AND(Include_study?="Yes",Sufficient_data="Yes"),'Publication Bias Analysis'!E144,NA())</f>
        <v>#N/A</v>
      </c>
      <c r="GE144" s="74" t="e">
        <f>IF(AND(Include_study?="Yes",Sufficient_data="Yes"),'Publication Bias Analysis'!F144,NA())</f>
        <v>#N/A</v>
      </c>
      <c r="GK144" s="176"/>
      <c r="GL14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4" s="39" t="str">
        <f t="shared" si="517"/>
        <v/>
      </c>
      <c r="GN14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4" s="39" t="str">
        <f>IF(AND(Include_study?="Yes",Sufficient_data="Yes"),IF('Publication Bias Analysis'!L$38="Left",'Publication Bias Analysis'!E:E-GW$3,GW$3-'Publication Bias Analysis'!E:E),"")</f>
        <v/>
      </c>
      <c r="GP144" s="39" t="str">
        <f t="shared" si="529"/>
        <v/>
      </c>
      <c r="GQ14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4" s="39" t="str">
        <f>IF(AND(Include_study?="Yes",Sufficient_data="Yes"),IF('Publication Bias Analysis'!L$38="Left",'Publication Bias Analysis'!E:E-GW$10,GW$10-'Publication Bias Analysis'!E:E),"")</f>
        <v/>
      </c>
      <c r="GS144" s="39" t="str">
        <f t="shared" si="530"/>
        <v/>
      </c>
      <c r="GT14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4" s="176"/>
      <c r="HL144" s="69" t="str">
        <f t="shared" si="518"/>
        <v/>
      </c>
      <c r="HM144" s="74" t="str">
        <f>IF(AND(Include_study?="Yes",Sufficient_data="Yes"),Z_score-('Publication Bias Analysis'!P$3+'Publication Bias Analysis'!P$4*Inverse_standard_error),"")</f>
        <v/>
      </c>
      <c r="HO144" s="176"/>
      <c r="HP144" s="69" t="str">
        <f>IF(AND(Include_study?="Yes",Sufficient_data="Yes"),(GD:GD-SUMPRODUCT(Calculations!FT:FT,'Publication Bias Analysis'!E:E)/SUM(Calculations!FT:FT))/SQRT(Calculations!HQ:HQ),"")</f>
        <v/>
      </c>
      <c r="HQ144" s="69" t="str">
        <f>IF(AND(Include_study?="Yes",Sufficient_data="Yes"),GE:GE^2-1/SUM(Calculations!FT:FT),"")</f>
        <v/>
      </c>
      <c r="HR144" s="7" t="str">
        <f t="shared" si="441"/>
        <v/>
      </c>
      <c r="HS144" s="7" t="str">
        <f t="shared" si="442"/>
        <v/>
      </c>
      <c r="HT144" s="7" t="str">
        <f>IF(AND(Include_study?="Yes",Sufficient_data="Yes"),COUNTIFS(HR$2:HR143,"&lt;"&amp;HR144,HS$2:HS143,"&lt;"&amp;HS144)+COUNTIFS(HR145:HR$201,"&lt;"&amp;HR144,HS145:HS$201,"&lt;"&amp;HS144)+COUNTIFS(HR$2:HR143,"&gt;"&amp;HR144,HS$2:HS143,"&gt;"&amp;HS144)+COUNTIFS(HR145:HR$201,"&gt;"&amp;HR144,HS145:HS$201,"&gt;"&amp;HS144),"")</f>
        <v/>
      </c>
      <c r="HU144" s="104" t="str">
        <f>IF(AND(Include_study?="Yes",Sufficient_data="Yes"),COUNTIFS(HR$2:HR143,"&lt;"&amp;HR144,HS$2:HS143,"&gt;"&amp;HS144)+COUNTIFS(HR145:HR$201,"&lt;"&amp;HR144,HS145:HS$201,"&gt;"&amp;HS144)+COUNTIFS(HR$2:HR143,"&gt;"&amp;HR144,HS$2:HS143,"&lt;"&amp;HS144)+COUNTIFS(HR145:HR$201,"&gt;"&amp;HR144,HS145:HS$201,"&lt;"&amp;HS144),"")</f>
        <v/>
      </c>
      <c r="HW144" s="176"/>
      <c r="IB144" s="176"/>
      <c r="IC144" s="146" t="e">
        <f t="shared" si="519"/>
        <v>#N/A</v>
      </c>
      <c r="ID144" s="137" t="e">
        <f t="shared" si="520"/>
        <v>#N/A</v>
      </c>
      <c r="IE144" s="137" t="str">
        <f t="shared" si="521"/>
        <v/>
      </c>
      <c r="IF144" s="95" t="str">
        <f t="shared" si="522"/>
        <v/>
      </c>
      <c r="IK144" s="176"/>
      <c r="IL144" s="69" t="e">
        <f>IF(AND(Include_study?="Yes",Sufficient_data="Yes"),'Publication Bias Analysis'!AV:AV,NA())</f>
        <v>#N/A</v>
      </c>
      <c r="IM144" s="158" t="e">
        <f>IF(AND(Sufficient_data="Yes",Include_study?="Yes"),'Publication Bias Analysis'!AU:AU,NA())</f>
        <v>#N/A</v>
      </c>
      <c r="IN144" s="69" t="str">
        <f t="shared" si="418"/>
        <v/>
      </c>
      <c r="IO144" s="74" t="str">
        <f>IF(AND(Include_study?="Yes",Sufficient_data="Yes"),Z_score-('Publication Bias Analysis'!AY$30+'Publication Bias Analysis'!AY$31*Inverse_standard_error),"")</f>
        <v/>
      </c>
      <c r="IU144" s="176"/>
      <c r="IV144" s="7" t="str">
        <f>IF('Publication Bias Analysis'!BG:BG&lt;&gt;"",RANK('Publication Bias Analysis'!BG:BG,'Publication Bias Analysis'!BG:BG,1)+COUNTIF('Publication Bias Analysis'!BG$2:BG143,'Publication Bias Analysis'!BG144),"")</f>
        <v/>
      </c>
      <c r="IW144" s="124" t="str">
        <f t="shared" si="523"/>
        <v/>
      </c>
      <c r="IX144" s="125" t="e">
        <f>IF('Publication Bias Analysis'!BF144&lt;&gt;"",'Publication Bias Analysis'!BF144,NA())</f>
        <v>#N/A</v>
      </c>
      <c r="IY144" s="125" t="e">
        <f>IF('Publication Bias Analysis'!BG144&lt;&gt;"",'Publication Bias Analysis'!BG144,NA())</f>
        <v>#N/A</v>
      </c>
      <c r="IZ144" s="69" t="str">
        <f>IF(AND(Include_study?="Yes",Sufficient_data="Yes"),'Publication Bias Analysis'!BF:BF-AVERAGE('Publication Bias Analysis'!BF:BF),"")</f>
        <v/>
      </c>
      <c r="JA144" s="74" t="str">
        <f>IF(AND(Include_study?="Yes",Sufficient_data="Yes"),'Publication Bias Analysis'!BG:BG-('Publication Bias Analysis'!BJ$30+'Publication Bias Analysis'!BJ$31*'Publication Bias Analysis'!BF:BF),"")</f>
        <v/>
      </c>
      <c r="JG144" s="176"/>
      <c r="JH144" s="39" t="str">
        <f t="shared" si="524"/>
        <v/>
      </c>
      <c r="JI144" s="148" t="str">
        <f t="shared" si="531"/>
        <v/>
      </c>
      <c r="JJ144" s="74" t="str">
        <f t="shared" si="532"/>
        <v/>
      </c>
    </row>
    <row r="145" spans="1:270" x14ac:dyDescent="0.2">
      <c r="A145" s="56" t="str">
        <f t="shared" si="334"/>
        <v/>
      </c>
      <c r="B145" s="7" t="str">
        <f>IF(AND(Include_study?="Yes",Sufficient_data="Yes"),IF(Input!a_&lt;&gt;"",Input!a_,Input!n1_-Input!b_),"")</f>
        <v/>
      </c>
      <c r="C145" s="7" t="str">
        <f>IF(AND(Include_study?="Yes",Sufficient_data="Yes"),IF(Input!b_&lt;&gt;"",Input!b_,Input!n1_-Input!a_),"")</f>
        <v/>
      </c>
      <c r="D145" s="7" t="str">
        <f>IF(AND(Include_study?="Yes",Sufficient_data="Yes"),IF(Input!c_&lt;&gt;"",Input!c_,Input!n2_-Input!d_),"")</f>
        <v/>
      </c>
      <c r="E145" s="7" t="str">
        <f>IF(AND(Include_study?="Yes",Sufficient_data="Yes"),IF(Input!d_&lt;&gt;"",Input!d_,Input!n2_-Input!c_),"")</f>
        <v/>
      </c>
      <c r="F145" s="74" t="str">
        <f t="shared" si="443"/>
        <v/>
      </c>
      <c r="H145" s="196"/>
      <c r="I145" s="182"/>
      <c r="J145" s="146" t="str">
        <f t="shared" si="444"/>
        <v/>
      </c>
      <c r="K145" s="39" t="str">
        <f t="shared" si="445"/>
        <v/>
      </c>
      <c r="L145" s="39" t="str">
        <f t="shared" si="446"/>
        <v/>
      </c>
      <c r="M145" s="39" t="str">
        <f t="shared" si="447"/>
        <v/>
      </c>
      <c r="N145" s="74" t="str">
        <f t="shared" si="448"/>
        <v/>
      </c>
      <c r="P145" s="176"/>
      <c r="Q145" s="130" t="str">
        <f t="shared" si="449"/>
        <v/>
      </c>
      <c r="R145" s="39" t="str">
        <f t="shared" si="450"/>
        <v/>
      </c>
      <c r="S145" s="39" t="str">
        <f t="shared" si="451"/>
        <v/>
      </c>
      <c r="T145" s="74" t="str">
        <f t="shared" si="452"/>
        <v/>
      </c>
      <c r="V145" s="176"/>
      <c r="W145" s="130" t="str">
        <f t="shared" si="453"/>
        <v/>
      </c>
      <c r="X145" s="39" t="str">
        <f t="shared" si="454"/>
        <v/>
      </c>
      <c r="Y145" s="39" t="str">
        <f t="shared" si="455"/>
        <v/>
      </c>
      <c r="Z145" s="74" t="str">
        <f t="shared" si="456"/>
        <v/>
      </c>
      <c r="AB145" s="176"/>
      <c r="AC145" s="130" t="str">
        <f t="shared" si="457"/>
        <v/>
      </c>
      <c r="AD145" s="39" t="str">
        <f t="shared" si="458"/>
        <v/>
      </c>
      <c r="AE145" s="39" t="str">
        <f t="shared" si="459"/>
        <v/>
      </c>
      <c r="AF145" s="39" t="str">
        <f t="shared" si="460"/>
        <v/>
      </c>
      <c r="AG145" s="74" t="str">
        <f t="shared" si="461"/>
        <v/>
      </c>
      <c r="AI145" s="196"/>
      <c r="AJ14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5" s="136" t="str">
        <f>IF(AJ145&lt;&gt;"",IF(AJ145=0,COUNTIF(AJ$2:AJ144,0)+1,COUNTIF(AJ$2:AJ144,AJ145)+AJ145+COUNTIF(AJ:AJ,0)),"")</f>
        <v/>
      </c>
      <c r="AL145" s="136" t="str">
        <f t="shared" si="462"/>
        <v/>
      </c>
      <c r="AM145" s="155" t="str">
        <f>IF(AND(Include_study?="Yes",Sufficient_data="Yes",Input!Study_name&lt;&gt;""),Input!Study_name,"")</f>
        <v/>
      </c>
      <c r="AN145" s="136" t="str">
        <f t="shared" si="463"/>
        <v/>
      </c>
      <c r="AO145" s="19" t="str">
        <f t="shared" si="464"/>
        <v/>
      </c>
      <c r="AP145" s="158" t="str">
        <f t="shared" si="465"/>
        <v/>
      </c>
      <c r="AQ145" s="158" t="str">
        <f t="shared" si="466"/>
        <v/>
      </c>
      <c r="AR145" s="39" t="str">
        <f t="shared" si="467"/>
        <v/>
      </c>
      <c r="AS145" s="158" t="str">
        <f t="shared" si="468"/>
        <v/>
      </c>
      <c r="AT145" s="39" t="str">
        <f t="shared" si="469"/>
        <v/>
      </c>
      <c r="AU145" s="172" t="str">
        <f t="shared" si="470"/>
        <v/>
      </c>
      <c r="AV145" s="45"/>
      <c r="AW145" s="84" t="e">
        <f t="shared" si="360"/>
        <v>#N/A</v>
      </c>
      <c r="AX145" s="69" t="e">
        <f t="shared" si="471"/>
        <v>#N/A</v>
      </c>
      <c r="AY145" s="74" t="e">
        <f t="shared" si="472"/>
        <v>#N/A</v>
      </c>
      <c r="AZ145" s="45"/>
      <c r="BA145" s="45"/>
      <c r="BB145" s="45"/>
      <c r="BC145" s="45"/>
      <c r="BD145" s="196"/>
      <c r="BE145" s="182"/>
      <c r="BF145" s="69" t="str">
        <f t="shared" si="363"/>
        <v/>
      </c>
      <c r="BG145" s="69" t="str">
        <f t="shared" si="364"/>
        <v/>
      </c>
      <c r="BH145" s="69" t="str">
        <f t="shared" si="365"/>
        <v/>
      </c>
      <c r="BI145" s="39" t="str">
        <f t="shared" si="366"/>
        <v/>
      </c>
      <c r="BJ145" s="95" t="str">
        <f t="shared" si="473"/>
        <v/>
      </c>
      <c r="BO145" s="176"/>
      <c r="BP145" s="158" t="str">
        <f t="shared" si="474"/>
        <v/>
      </c>
      <c r="BQ145" s="158" t="str">
        <f t="shared" si="475"/>
        <v/>
      </c>
      <c r="BR145" s="158" t="str">
        <f t="shared" si="476"/>
        <v/>
      </c>
      <c r="BS145" s="158" t="str">
        <f>IF(AND(Sufficient_data="Yes",Include_study?="Yes"),IF(Add_0_5="Yes",(a_+d_+1)*(ab_+0.5)*(c_+0.5)/(Number_of_subjects+2)^2,(a_+d_)*b_*c_/Number_of_subjects^2),"")</f>
        <v/>
      </c>
      <c r="BT145" s="158" t="str">
        <f t="shared" si="477"/>
        <v/>
      </c>
      <c r="BU145" s="158" t="str">
        <f t="shared" si="478"/>
        <v/>
      </c>
      <c r="BV145" s="158" t="str">
        <f t="shared" si="479"/>
        <v/>
      </c>
      <c r="BW145" s="69" t="str">
        <f t="shared" si="374"/>
        <v/>
      </c>
      <c r="BX145" s="137" t="str">
        <f t="shared" si="375"/>
        <v/>
      </c>
      <c r="BY145" s="95" t="str">
        <f t="shared" si="480"/>
        <v/>
      </c>
      <c r="CD145" s="176"/>
      <c r="CE145" s="130" t="str">
        <f t="shared" si="481"/>
        <v/>
      </c>
      <c r="CF145" s="39" t="str">
        <f t="shared" si="482"/>
        <v/>
      </c>
      <c r="CG145" s="39" t="str">
        <f t="shared" si="483"/>
        <v/>
      </c>
      <c r="CH145" s="39" t="str">
        <f t="shared" si="484"/>
        <v/>
      </c>
      <c r="CI145" s="39" t="str">
        <f t="shared" si="485"/>
        <v/>
      </c>
      <c r="CJ145" s="39" t="str">
        <f t="shared" si="486"/>
        <v/>
      </c>
      <c r="CK145" s="95" t="str">
        <f t="shared" si="487"/>
        <v/>
      </c>
      <c r="CP145" s="176"/>
      <c r="CQ145" s="99" t="str">
        <f t="shared" si="383"/>
        <v/>
      </c>
      <c r="CX145" s="196"/>
      <c r="CY145" s="89" t="e">
        <f t="shared" si="488"/>
        <v>#N/A</v>
      </c>
      <c r="CZ145" s="136" t="str">
        <f t="shared" si="489"/>
        <v/>
      </c>
      <c r="DA145" s="140" t="str">
        <f t="shared" si="490"/>
        <v/>
      </c>
      <c r="DB145" s="39" t="str">
        <f t="shared" si="491"/>
        <v/>
      </c>
      <c r="DC145" s="39" t="str">
        <f t="shared" si="492"/>
        <v/>
      </c>
      <c r="DD145" s="39" t="str">
        <f t="shared" si="493"/>
        <v/>
      </c>
      <c r="DE145" s="39" t="str">
        <f t="shared" si="494"/>
        <v/>
      </c>
      <c r="DF145" s="141" t="str">
        <f t="shared" si="495"/>
        <v/>
      </c>
      <c r="DG145" s="39" t="str">
        <f t="shared" si="496"/>
        <v/>
      </c>
      <c r="DH145" s="39" t="str">
        <f t="shared" si="497"/>
        <v/>
      </c>
      <c r="DI145" s="39" t="str">
        <f t="shared" si="498"/>
        <v/>
      </c>
      <c r="DJ145" s="74" t="str">
        <f t="shared" si="499"/>
        <v/>
      </c>
      <c r="DK145" s="45"/>
      <c r="DL145" s="84" t="e">
        <f t="shared" si="423"/>
        <v>#N/A</v>
      </c>
      <c r="DM145" s="39" t="e">
        <f t="shared" si="500"/>
        <v>#N/A</v>
      </c>
      <c r="DN145" s="74" t="e">
        <f t="shared" si="501"/>
        <v>#N/A</v>
      </c>
      <c r="DO145" s="45"/>
      <c r="DP145" s="89" t="str">
        <f t="shared" si="525"/>
        <v/>
      </c>
      <c r="DQ145" s="26" t="str">
        <f>IF(AND(Sufficient_data="Yes",Subgroup&lt;&gt;""),IF(COUNTIFS(Input!J$2:J144,"="&amp;"Yes",Input!C$2:C144,"="&amp;"Yes",Input!K$2:K144,"="&amp;Subgroup)&gt;0,"",Subgroup),"")</f>
        <v/>
      </c>
      <c r="DR145" s="7" t="str">
        <f t="shared" si="526"/>
        <v/>
      </c>
      <c r="DS145" s="7" t="str">
        <f t="shared" si="502"/>
        <v/>
      </c>
      <c r="DT145" s="19" t="str">
        <f t="shared" si="503"/>
        <v/>
      </c>
      <c r="DU145" s="12" t="str">
        <f t="shared" si="424"/>
        <v/>
      </c>
      <c r="DV145" s="11" t="str">
        <f t="shared" si="425"/>
        <v/>
      </c>
      <c r="DW145" s="12" t="str">
        <f t="shared" si="426"/>
        <v/>
      </c>
      <c r="DX145" s="12" t="str">
        <f t="shared" si="504"/>
        <v/>
      </c>
      <c r="DY145" s="19" t="str">
        <f t="shared" si="427"/>
        <v/>
      </c>
      <c r="DZ145" s="12" t="str">
        <f t="shared" si="428"/>
        <v/>
      </c>
      <c r="EA145" s="19" t="str">
        <f t="shared" si="505"/>
        <v/>
      </c>
      <c r="EB145" s="7" t="str">
        <f t="shared" si="506"/>
        <v/>
      </c>
      <c r="EC145" s="19" t="str">
        <f t="shared" si="507"/>
        <v/>
      </c>
      <c r="ED145" s="19" t="str">
        <f t="shared" si="508"/>
        <v/>
      </c>
      <c r="EE145" s="19" t="str">
        <f t="shared" si="429"/>
        <v/>
      </c>
      <c r="EF145" s="19" t="str">
        <f t="shared" si="430"/>
        <v/>
      </c>
      <c r="EG145" s="19" t="str">
        <f t="shared" si="431"/>
        <v/>
      </c>
      <c r="EH145" s="19" t="str">
        <f t="shared" si="432"/>
        <v/>
      </c>
      <c r="EI145" s="19" t="str">
        <f t="shared" si="433"/>
        <v/>
      </c>
      <c r="EJ145" s="19" t="str">
        <f t="shared" si="509"/>
        <v/>
      </c>
      <c r="EK145" s="19" t="str">
        <f t="shared" si="510"/>
        <v/>
      </c>
      <c r="EL145" s="19" t="str">
        <f t="shared" si="434"/>
        <v/>
      </c>
      <c r="EM145" s="19" t="str">
        <f t="shared" si="435"/>
        <v/>
      </c>
      <c r="EN145" s="19" t="str">
        <f t="shared" si="436"/>
        <v/>
      </c>
      <c r="EO145" s="19" t="str">
        <f t="shared" si="437"/>
        <v/>
      </c>
      <c r="EP145" s="19" t="str">
        <f t="shared" si="438"/>
        <v/>
      </c>
      <c r="EQ145" s="19" t="e">
        <f t="shared" si="439"/>
        <v>#N/A</v>
      </c>
      <c r="ER145" s="11" t="str">
        <f t="shared" si="527"/>
        <v/>
      </c>
      <c r="ES145" s="19" t="str">
        <f t="shared" si="528"/>
        <v/>
      </c>
      <c r="ET145" s="156" t="str">
        <f t="shared" si="511"/>
        <v/>
      </c>
      <c r="EU145" s="39" t="str">
        <f t="shared" si="440"/>
        <v/>
      </c>
      <c r="EV145" s="74" t="str">
        <f t="shared" si="512"/>
        <v/>
      </c>
      <c r="FA145" s="196"/>
      <c r="FB145" s="84" t="e">
        <f>IF(AND(Include_study?="Yes",Sufficient_data="Yes",Moderator&lt;&gt;""),'Moderator Analysis'!E145,NA())</f>
        <v>#N/A</v>
      </c>
      <c r="FC145" s="39" t="e">
        <f>IF(AND(Include_study?="Yes",Sufficient_data="Yes",Moderator&lt;&gt;""),'Moderator Analysis'!F145,NA())</f>
        <v>#N/A</v>
      </c>
      <c r="FD145" s="39" t="str">
        <f t="shared" si="513"/>
        <v/>
      </c>
      <c r="FE145" s="39" t="str">
        <f t="shared" si="514"/>
        <v/>
      </c>
      <c r="FF145" s="39" t="str">
        <f>IF(AND(Include_study?="Yes",Sufficient_data="Yes",Moderator&lt;&gt;""),'Moderator Analysis'!F:F-FP$2,"")</f>
        <v/>
      </c>
      <c r="FG145" s="39" t="str">
        <f>IF(AND(Include_study?="Yes",Sufficient_data="Yes",Moderator&lt;&gt;""),'Moderator Analysis'!E:E-FP$3,"")</f>
        <v/>
      </c>
      <c r="FH145" s="74" t="str">
        <f>IF(AND(Include_study?="Yes",Sufficient_data="Yes",Moderator&lt;&gt;""),FE:FE*('Moderator Analysis'!F:F-FP$5-FP$4*'Moderator Analysis'!E:E)^2,"")</f>
        <v/>
      </c>
      <c r="FI145" s="128"/>
      <c r="FJ145" s="92" t="str">
        <f t="shared" si="515"/>
        <v/>
      </c>
      <c r="FK145" s="137" t="str">
        <f>IF(AND(Include_study?="Yes",Sufficient_data="Yes",Moderator&lt;&gt;""),'Moderator Analysis'!F:F-'Moderator Analysis'!J$37,"")</f>
        <v/>
      </c>
      <c r="FL145" s="137" t="str">
        <f>IF(AND(Include_study?="Yes",Sufficient_data="Yes",Moderator&lt;&gt;""),'Moderator Analysis'!E:E-SUMPRODUCT('Moderator Analysis'!E:E,FJ:FJ)/SUM(FJ:FJ),"")</f>
        <v/>
      </c>
      <c r="FM145" s="95" t="str">
        <f>IF(AND(Include_study?="Yes",Sufficient_data="Yes",Moderator&lt;&gt;""),FJ:FJ*('Moderator Analysis'!F:F-'Moderator Analysis'!J$29-'Moderator Analysis'!J$30*'Moderator Analysis'!E:E)^2,"")</f>
        <v/>
      </c>
      <c r="FR145" s="196"/>
      <c r="FS145" s="182"/>
      <c r="FT14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5" s="39" t="str">
        <f>IF(AND(Include_study?="Yes",Sufficient_data="Yes"),1/('Publication Bias Analysis'!F:F^2+IF(Additional_model="Fixed effect",0,Calculations!GH$12)),"")</f>
        <v/>
      </c>
      <c r="FV145" s="39" t="str">
        <f>IF(AND(Include_study?="Yes",Sufficient_data="Yes"),1/('Publication Bias Analysis'!F:F^2+IF(Additional_model="Fixed effect",0,'Publication Bias Analysis'!L$32)),"")</f>
        <v/>
      </c>
      <c r="FW145" s="39" t="str">
        <f>IF(AND(Include_study?="Yes",Sufficient_data="Yes"),'Publication Bias Analysis'!E:E-'Publication Bias Analysis'!I$37,"")</f>
        <v/>
      </c>
      <c r="FX145" s="39" t="str">
        <f>IF(AND(Include_study?="Yes",Sufficient_data="Yes"),IF(Additional_model="Fixed effect",1/'Publication Bias Analysis'!F:F,1/SQRT('Publication Bias Analysis'!F:F^2+GH$12)),"")</f>
        <v/>
      </c>
      <c r="FY14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5" s="136" t="str">
        <f t="shared" si="516"/>
        <v/>
      </c>
      <c r="GA145" s="144" t="str">
        <f>IF(AND(Include_study?="Yes",Sufficient_data="Yes"),FZ:FZ+IF(GL:GL&lt;0,-1,1)*COUNTIF(FZ$2:FZ144,FZ:FZ),"")</f>
        <v/>
      </c>
      <c r="GB145" s="144" t="str">
        <f>IF(AND(Include_study?="Yes",Sufficient_data="Yes"),RANK(GP:GP,GP:GP,1)*IF(GO:GO&lt;0,-1,1)+IF(GO:GO&lt;0,-1,1)*COUNTIF(FZ$2:FZ144,FZ:FZ),"")</f>
        <v/>
      </c>
      <c r="GC145" s="144" t="str">
        <f>IF(AND(Include_study?="Yes",Sufficient_data="Yes"),RANK(GS:GS,GS:GS,1)*IF(GR:GR&lt;0,-1,1)+IF(GR:GR&lt;0,-1,1)*COUNTIF(FZ$2:FZ144,FZ:FZ),"")</f>
        <v/>
      </c>
      <c r="GD145" s="39" t="e">
        <f>IF(AND(Include_study?="Yes",Sufficient_data="Yes"),'Publication Bias Analysis'!E145,NA())</f>
        <v>#N/A</v>
      </c>
      <c r="GE145" s="74" t="e">
        <f>IF(AND(Include_study?="Yes",Sufficient_data="Yes"),'Publication Bias Analysis'!F145,NA())</f>
        <v>#N/A</v>
      </c>
      <c r="GK145" s="176"/>
      <c r="GL14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5" s="39" t="str">
        <f t="shared" si="517"/>
        <v/>
      </c>
      <c r="GN14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5" s="39" t="str">
        <f>IF(AND(Include_study?="Yes",Sufficient_data="Yes"),IF('Publication Bias Analysis'!L$38="Left",'Publication Bias Analysis'!E:E-GW$3,GW$3-'Publication Bias Analysis'!E:E),"")</f>
        <v/>
      </c>
      <c r="GP145" s="39" t="str">
        <f t="shared" si="529"/>
        <v/>
      </c>
      <c r="GQ14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5" s="39" t="str">
        <f>IF(AND(Include_study?="Yes",Sufficient_data="Yes"),IF('Publication Bias Analysis'!L$38="Left",'Publication Bias Analysis'!E:E-GW$10,GW$10-'Publication Bias Analysis'!E:E),"")</f>
        <v/>
      </c>
      <c r="GS145" s="39" t="str">
        <f t="shared" si="530"/>
        <v/>
      </c>
      <c r="GT14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5" s="176"/>
      <c r="HL145" s="69" t="str">
        <f t="shared" si="518"/>
        <v/>
      </c>
      <c r="HM145" s="74" t="str">
        <f>IF(AND(Include_study?="Yes",Sufficient_data="Yes"),Z_score-('Publication Bias Analysis'!P$3+'Publication Bias Analysis'!P$4*Inverse_standard_error),"")</f>
        <v/>
      </c>
      <c r="HO145" s="176"/>
      <c r="HP145" s="69" t="str">
        <f>IF(AND(Include_study?="Yes",Sufficient_data="Yes"),(GD:GD-SUMPRODUCT(Calculations!FT:FT,'Publication Bias Analysis'!E:E)/SUM(Calculations!FT:FT))/SQRT(Calculations!HQ:HQ),"")</f>
        <v/>
      </c>
      <c r="HQ145" s="69" t="str">
        <f>IF(AND(Include_study?="Yes",Sufficient_data="Yes"),GE:GE^2-1/SUM(Calculations!FT:FT),"")</f>
        <v/>
      </c>
      <c r="HR145" s="7" t="str">
        <f t="shared" si="441"/>
        <v/>
      </c>
      <c r="HS145" s="7" t="str">
        <f t="shared" si="442"/>
        <v/>
      </c>
      <c r="HT145" s="7" t="str">
        <f>IF(AND(Include_study?="Yes",Sufficient_data="Yes"),COUNTIFS(HR$2:HR144,"&lt;"&amp;HR145,HS$2:HS144,"&lt;"&amp;HS145)+COUNTIFS(HR146:HR$201,"&lt;"&amp;HR145,HS146:HS$201,"&lt;"&amp;HS145)+COUNTIFS(HR$2:HR144,"&gt;"&amp;HR145,HS$2:HS144,"&gt;"&amp;HS145)+COUNTIFS(HR146:HR$201,"&gt;"&amp;HR145,HS146:HS$201,"&gt;"&amp;HS145),"")</f>
        <v/>
      </c>
      <c r="HU145" s="104" t="str">
        <f>IF(AND(Include_study?="Yes",Sufficient_data="Yes"),COUNTIFS(HR$2:HR144,"&lt;"&amp;HR145,HS$2:HS144,"&gt;"&amp;HS145)+COUNTIFS(HR146:HR$201,"&lt;"&amp;HR145,HS146:HS$201,"&gt;"&amp;HS145)+COUNTIFS(HR$2:HR144,"&gt;"&amp;HR145,HS$2:HS144,"&lt;"&amp;HS145)+COUNTIFS(HR146:HR$201,"&gt;"&amp;HR145,HS146:HS$201,"&lt;"&amp;HS145),"")</f>
        <v/>
      </c>
      <c r="HW145" s="176"/>
      <c r="IB145" s="176"/>
      <c r="IC145" s="146" t="e">
        <f t="shared" si="519"/>
        <v>#N/A</v>
      </c>
      <c r="ID145" s="137" t="e">
        <f t="shared" si="520"/>
        <v>#N/A</v>
      </c>
      <c r="IE145" s="137" t="str">
        <f t="shared" si="521"/>
        <v/>
      </c>
      <c r="IF145" s="95" t="str">
        <f t="shared" si="522"/>
        <v/>
      </c>
      <c r="IK145" s="176"/>
      <c r="IL145" s="69" t="e">
        <f>IF(AND(Include_study?="Yes",Sufficient_data="Yes"),'Publication Bias Analysis'!AV:AV,NA())</f>
        <v>#N/A</v>
      </c>
      <c r="IM145" s="158" t="e">
        <f>IF(AND(Sufficient_data="Yes",Include_study?="Yes"),'Publication Bias Analysis'!AU:AU,NA())</f>
        <v>#N/A</v>
      </c>
      <c r="IN145" s="69" t="str">
        <f t="shared" si="418"/>
        <v/>
      </c>
      <c r="IO145" s="74" t="str">
        <f>IF(AND(Include_study?="Yes",Sufficient_data="Yes"),Z_score-('Publication Bias Analysis'!AY$30+'Publication Bias Analysis'!AY$31*Inverse_standard_error),"")</f>
        <v/>
      </c>
      <c r="IU145" s="176"/>
      <c r="IV145" s="7" t="str">
        <f>IF('Publication Bias Analysis'!BG:BG&lt;&gt;"",RANK('Publication Bias Analysis'!BG:BG,'Publication Bias Analysis'!BG:BG,1)+COUNTIF('Publication Bias Analysis'!BG$2:BG144,'Publication Bias Analysis'!BG145),"")</f>
        <v/>
      </c>
      <c r="IW145" s="124" t="str">
        <f t="shared" si="523"/>
        <v/>
      </c>
      <c r="IX145" s="125" t="e">
        <f>IF('Publication Bias Analysis'!BF145&lt;&gt;"",'Publication Bias Analysis'!BF145,NA())</f>
        <v>#N/A</v>
      </c>
      <c r="IY145" s="125" t="e">
        <f>IF('Publication Bias Analysis'!BG145&lt;&gt;"",'Publication Bias Analysis'!BG145,NA())</f>
        <v>#N/A</v>
      </c>
      <c r="IZ145" s="69" t="str">
        <f>IF(AND(Include_study?="Yes",Sufficient_data="Yes"),'Publication Bias Analysis'!BF:BF-AVERAGE('Publication Bias Analysis'!BF:BF),"")</f>
        <v/>
      </c>
      <c r="JA145" s="74" t="str">
        <f>IF(AND(Include_study?="Yes",Sufficient_data="Yes"),'Publication Bias Analysis'!BG:BG-('Publication Bias Analysis'!BJ$30+'Publication Bias Analysis'!BJ$31*'Publication Bias Analysis'!BF:BF),"")</f>
        <v/>
      </c>
      <c r="JG145" s="176"/>
      <c r="JH145" s="39" t="str">
        <f t="shared" si="524"/>
        <v/>
      </c>
      <c r="JI145" s="148" t="str">
        <f t="shared" si="531"/>
        <v/>
      </c>
      <c r="JJ145" s="74" t="str">
        <f t="shared" si="532"/>
        <v/>
      </c>
    </row>
    <row r="146" spans="1:270" x14ac:dyDescent="0.2">
      <c r="A146" s="56" t="str">
        <f t="shared" si="334"/>
        <v/>
      </c>
      <c r="B146" s="7" t="str">
        <f>IF(AND(Include_study?="Yes",Sufficient_data="Yes"),IF(Input!a_&lt;&gt;"",Input!a_,Input!n1_-Input!b_),"")</f>
        <v/>
      </c>
      <c r="C146" s="7" t="str">
        <f>IF(AND(Include_study?="Yes",Sufficient_data="Yes"),IF(Input!b_&lt;&gt;"",Input!b_,Input!n1_-Input!a_),"")</f>
        <v/>
      </c>
      <c r="D146" s="7" t="str">
        <f>IF(AND(Include_study?="Yes",Sufficient_data="Yes"),IF(Input!c_&lt;&gt;"",Input!c_,Input!n2_-Input!d_),"")</f>
        <v/>
      </c>
      <c r="E146" s="7" t="str">
        <f>IF(AND(Include_study?="Yes",Sufficient_data="Yes"),IF(Input!d_&lt;&gt;"",Input!d_,Input!n2_-Input!c_),"")</f>
        <v/>
      </c>
      <c r="F146" s="74" t="str">
        <f t="shared" si="443"/>
        <v/>
      </c>
      <c r="H146" s="196"/>
      <c r="I146" s="182"/>
      <c r="J146" s="146" t="str">
        <f t="shared" si="444"/>
        <v/>
      </c>
      <c r="K146" s="39" t="str">
        <f t="shared" si="445"/>
        <v/>
      </c>
      <c r="L146" s="39" t="str">
        <f t="shared" si="446"/>
        <v/>
      </c>
      <c r="M146" s="39" t="str">
        <f t="shared" si="447"/>
        <v/>
      </c>
      <c r="N146" s="74" t="str">
        <f t="shared" si="448"/>
        <v/>
      </c>
      <c r="P146" s="176"/>
      <c r="Q146" s="130" t="str">
        <f t="shared" si="449"/>
        <v/>
      </c>
      <c r="R146" s="39" t="str">
        <f t="shared" si="450"/>
        <v/>
      </c>
      <c r="S146" s="39" t="str">
        <f t="shared" si="451"/>
        <v/>
      </c>
      <c r="T146" s="74" t="str">
        <f t="shared" si="452"/>
        <v/>
      </c>
      <c r="V146" s="176"/>
      <c r="W146" s="130" t="str">
        <f t="shared" si="453"/>
        <v/>
      </c>
      <c r="X146" s="39" t="str">
        <f t="shared" si="454"/>
        <v/>
      </c>
      <c r="Y146" s="39" t="str">
        <f t="shared" si="455"/>
        <v/>
      </c>
      <c r="Z146" s="74" t="str">
        <f t="shared" si="456"/>
        <v/>
      </c>
      <c r="AB146" s="176"/>
      <c r="AC146" s="130" t="str">
        <f t="shared" si="457"/>
        <v/>
      </c>
      <c r="AD146" s="39" t="str">
        <f t="shared" si="458"/>
        <v/>
      </c>
      <c r="AE146" s="39" t="str">
        <f t="shared" si="459"/>
        <v/>
      </c>
      <c r="AF146" s="39" t="str">
        <f t="shared" si="460"/>
        <v/>
      </c>
      <c r="AG146" s="74" t="str">
        <f t="shared" si="461"/>
        <v/>
      </c>
      <c r="AI146" s="196"/>
      <c r="AJ14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6" s="136" t="str">
        <f>IF(AJ146&lt;&gt;"",IF(AJ146=0,COUNTIF(AJ$2:AJ145,0)+1,COUNTIF(AJ$2:AJ145,AJ146)+AJ146+COUNTIF(AJ:AJ,0)),"")</f>
        <v/>
      </c>
      <c r="AL146" s="136" t="str">
        <f t="shared" si="462"/>
        <v/>
      </c>
      <c r="AM146" s="155" t="str">
        <f>IF(AND(Include_study?="Yes",Sufficient_data="Yes",Input!Study_name&lt;&gt;""),Input!Study_name,"")</f>
        <v/>
      </c>
      <c r="AN146" s="136" t="str">
        <f t="shared" si="463"/>
        <v/>
      </c>
      <c r="AO146" s="19" t="str">
        <f t="shared" si="464"/>
        <v/>
      </c>
      <c r="AP146" s="158" t="str">
        <f t="shared" si="465"/>
        <v/>
      </c>
      <c r="AQ146" s="158" t="str">
        <f t="shared" si="466"/>
        <v/>
      </c>
      <c r="AR146" s="39" t="str">
        <f t="shared" si="467"/>
        <v/>
      </c>
      <c r="AS146" s="158" t="str">
        <f t="shared" si="468"/>
        <v/>
      </c>
      <c r="AT146" s="39" t="str">
        <f t="shared" si="469"/>
        <v/>
      </c>
      <c r="AU146" s="172" t="str">
        <f t="shared" si="470"/>
        <v/>
      </c>
      <c r="AV146" s="45"/>
      <c r="AW146" s="84" t="e">
        <f t="shared" si="360"/>
        <v>#N/A</v>
      </c>
      <c r="AX146" s="69" t="e">
        <f t="shared" si="471"/>
        <v>#N/A</v>
      </c>
      <c r="AY146" s="74" t="e">
        <f t="shared" si="472"/>
        <v>#N/A</v>
      </c>
      <c r="AZ146" s="45"/>
      <c r="BA146" s="45"/>
      <c r="BB146" s="45"/>
      <c r="BC146" s="45"/>
      <c r="BD146" s="196"/>
      <c r="BE146" s="182"/>
      <c r="BF146" s="69" t="str">
        <f t="shared" si="363"/>
        <v/>
      </c>
      <c r="BG146" s="69" t="str">
        <f t="shared" si="364"/>
        <v/>
      </c>
      <c r="BH146" s="69" t="str">
        <f t="shared" si="365"/>
        <v/>
      </c>
      <c r="BI146" s="39" t="str">
        <f t="shared" si="366"/>
        <v/>
      </c>
      <c r="BJ146" s="95" t="str">
        <f t="shared" si="473"/>
        <v/>
      </c>
      <c r="BO146" s="176"/>
      <c r="BP146" s="158" t="str">
        <f t="shared" si="474"/>
        <v/>
      </c>
      <c r="BQ146" s="158" t="str">
        <f t="shared" si="475"/>
        <v/>
      </c>
      <c r="BR146" s="158" t="str">
        <f t="shared" si="476"/>
        <v/>
      </c>
      <c r="BS146" s="158" t="str">
        <f>IF(AND(Sufficient_data="Yes",Include_study?="Yes"),IF(Add_0_5="Yes",(a_+d_+1)*(ab_+0.5)*(c_+0.5)/(Number_of_subjects+2)^2,(a_+d_)*b_*c_/Number_of_subjects^2),"")</f>
        <v/>
      </c>
      <c r="BT146" s="158" t="str">
        <f t="shared" si="477"/>
        <v/>
      </c>
      <c r="BU146" s="158" t="str">
        <f t="shared" si="478"/>
        <v/>
      </c>
      <c r="BV146" s="158" t="str">
        <f t="shared" si="479"/>
        <v/>
      </c>
      <c r="BW146" s="69" t="str">
        <f t="shared" si="374"/>
        <v/>
      </c>
      <c r="BX146" s="137" t="str">
        <f t="shared" si="375"/>
        <v/>
      </c>
      <c r="BY146" s="95" t="str">
        <f t="shared" si="480"/>
        <v/>
      </c>
      <c r="CD146" s="176"/>
      <c r="CE146" s="130" t="str">
        <f t="shared" si="481"/>
        <v/>
      </c>
      <c r="CF146" s="39" t="str">
        <f t="shared" si="482"/>
        <v/>
      </c>
      <c r="CG146" s="39" t="str">
        <f t="shared" si="483"/>
        <v/>
      </c>
      <c r="CH146" s="39" t="str">
        <f t="shared" si="484"/>
        <v/>
      </c>
      <c r="CI146" s="39" t="str">
        <f t="shared" si="485"/>
        <v/>
      </c>
      <c r="CJ146" s="39" t="str">
        <f t="shared" si="486"/>
        <v/>
      </c>
      <c r="CK146" s="95" t="str">
        <f t="shared" si="487"/>
        <v/>
      </c>
      <c r="CP146" s="176"/>
      <c r="CQ146" s="99" t="str">
        <f t="shared" si="383"/>
        <v/>
      </c>
      <c r="CX146" s="196"/>
      <c r="CY146" s="89" t="e">
        <f t="shared" si="488"/>
        <v>#N/A</v>
      </c>
      <c r="CZ146" s="136" t="str">
        <f t="shared" si="489"/>
        <v/>
      </c>
      <c r="DA146" s="140" t="str">
        <f t="shared" si="490"/>
        <v/>
      </c>
      <c r="DB146" s="39" t="str">
        <f t="shared" si="491"/>
        <v/>
      </c>
      <c r="DC146" s="39" t="str">
        <f t="shared" si="492"/>
        <v/>
      </c>
      <c r="DD146" s="39" t="str">
        <f t="shared" si="493"/>
        <v/>
      </c>
      <c r="DE146" s="39" t="str">
        <f t="shared" si="494"/>
        <v/>
      </c>
      <c r="DF146" s="141" t="str">
        <f t="shared" si="495"/>
        <v/>
      </c>
      <c r="DG146" s="39" t="str">
        <f t="shared" si="496"/>
        <v/>
      </c>
      <c r="DH146" s="39" t="str">
        <f t="shared" si="497"/>
        <v/>
      </c>
      <c r="DI146" s="39" t="str">
        <f t="shared" si="498"/>
        <v/>
      </c>
      <c r="DJ146" s="74" t="str">
        <f t="shared" si="499"/>
        <v/>
      </c>
      <c r="DK146" s="45"/>
      <c r="DL146" s="84" t="e">
        <f t="shared" si="423"/>
        <v>#N/A</v>
      </c>
      <c r="DM146" s="39" t="e">
        <f t="shared" si="500"/>
        <v>#N/A</v>
      </c>
      <c r="DN146" s="74" t="e">
        <f t="shared" si="501"/>
        <v>#N/A</v>
      </c>
      <c r="DO146" s="45"/>
      <c r="DP146" s="89" t="str">
        <f t="shared" si="525"/>
        <v/>
      </c>
      <c r="DQ146" s="26" t="str">
        <f>IF(AND(Sufficient_data="Yes",Subgroup&lt;&gt;""),IF(COUNTIFS(Input!J$2:J145,"="&amp;"Yes",Input!C$2:C145,"="&amp;"Yes",Input!K$2:K145,"="&amp;Subgroup)&gt;0,"",Subgroup),"")</f>
        <v/>
      </c>
      <c r="DR146" s="7" t="str">
        <f t="shared" si="526"/>
        <v/>
      </c>
      <c r="DS146" s="7" t="str">
        <f t="shared" si="502"/>
        <v/>
      </c>
      <c r="DT146" s="19" t="str">
        <f t="shared" si="503"/>
        <v/>
      </c>
      <c r="DU146" s="12" t="str">
        <f t="shared" si="424"/>
        <v/>
      </c>
      <c r="DV146" s="11" t="str">
        <f t="shared" si="425"/>
        <v/>
      </c>
      <c r="DW146" s="12" t="str">
        <f t="shared" si="426"/>
        <v/>
      </c>
      <c r="DX146" s="12" t="str">
        <f t="shared" si="504"/>
        <v/>
      </c>
      <c r="DY146" s="19" t="str">
        <f t="shared" si="427"/>
        <v/>
      </c>
      <c r="DZ146" s="12" t="str">
        <f t="shared" si="428"/>
        <v/>
      </c>
      <c r="EA146" s="19" t="str">
        <f t="shared" si="505"/>
        <v/>
      </c>
      <c r="EB146" s="7" t="str">
        <f t="shared" si="506"/>
        <v/>
      </c>
      <c r="EC146" s="19" t="str">
        <f t="shared" si="507"/>
        <v/>
      </c>
      <c r="ED146" s="19" t="str">
        <f t="shared" si="508"/>
        <v/>
      </c>
      <c r="EE146" s="19" t="str">
        <f t="shared" si="429"/>
        <v/>
      </c>
      <c r="EF146" s="19" t="str">
        <f t="shared" si="430"/>
        <v/>
      </c>
      <c r="EG146" s="19" t="str">
        <f t="shared" si="431"/>
        <v/>
      </c>
      <c r="EH146" s="19" t="str">
        <f t="shared" si="432"/>
        <v/>
      </c>
      <c r="EI146" s="19" t="str">
        <f t="shared" si="433"/>
        <v/>
      </c>
      <c r="EJ146" s="19" t="str">
        <f t="shared" si="509"/>
        <v/>
      </c>
      <c r="EK146" s="19" t="str">
        <f t="shared" si="510"/>
        <v/>
      </c>
      <c r="EL146" s="19" t="str">
        <f t="shared" si="434"/>
        <v/>
      </c>
      <c r="EM146" s="19" t="str">
        <f t="shared" si="435"/>
        <v/>
      </c>
      <c r="EN146" s="19" t="str">
        <f t="shared" si="436"/>
        <v/>
      </c>
      <c r="EO146" s="19" t="str">
        <f t="shared" si="437"/>
        <v/>
      </c>
      <c r="EP146" s="19" t="str">
        <f t="shared" si="438"/>
        <v/>
      </c>
      <c r="EQ146" s="19" t="e">
        <f t="shared" si="439"/>
        <v>#N/A</v>
      </c>
      <c r="ER146" s="11" t="str">
        <f t="shared" si="527"/>
        <v/>
      </c>
      <c r="ES146" s="19" t="str">
        <f t="shared" si="528"/>
        <v/>
      </c>
      <c r="ET146" s="156" t="str">
        <f t="shared" si="511"/>
        <v/>
      </c>
      <c r="EU146" s="39" t="str">
        <f t="shared" si="440"/>
        <v/>
      </c>
      <c r="EV146" s="74" t="str">
        <f t="shared" si="512"/>
        <v/>
      </c>
      <c r="FA146" s="196"/>
      <c r="FB146" s="84" t="e">
        <f>IF(AND(Include_study?="Yes",Sufficient_data="Yes",Moderator&lt;&gt;""),'Moderator Analysis'!E146,NA())</f>
        <v>#N/A</v>
      </c>
      <c r="FC146" s="39" t="e">
        <f>IF(AND(Include_study?="Yes",Sufficient_data="Yes",Moderator&lt;&gt;""),'Moderator Analysis'!F146,NA())</f>
        <v>#N/A</v>
      </c>
      <c r="FD146" s="39" t="str">
        <f t="shared" si="513"/>
        <v/>
      </c>
      <c r="FE146" s="39" t="str">
        <f t="shared" si="514"/>
        <v/>
      </c>
      <c r="FF146" s="39" t="str">
        <f>IF(AND(Include_study?="Yes",Sufficient_data="Yes",Moderator&lt;&gt;""),'Moderator Analysis'!F:F-FP$2,"")</f>
        <v/>
      </c>
      <c r="FG146" s="39" t="str">
        <f>IF(AND(Include_study?="Yes",Sufficient_data="Yes",Moderator&lt;&gt;""),'Moderator Analysis'!E:E-FP$3,"")</f>
        <v/>
      </c>
      <c r="FH146" s="74" t="str">
        <f>IF(AND(Include_study?="Yes",Sufficient_data="Yes",Moderator&lt;&gt;""),FE:FE*('Moderator Analysis'!F:F-FP$5-FP$4*'Moderator Analysis'!E:E)^2,"")</f>
        <v/>
      </c>
      <c r="FI146" s="128"/>
      <c r="FJ146" s="92" t="str">
        <f t="shared" si="515"/>
        <v/>
      </c>
      <c r="FK146" s="137" t="str">
        <f>IF(AND(Include_study?="Yes",Sufficient_data="Yes",Moderator&lt;&gt;""),'Moderator Analysis'!F:F-'Moderator Analysis'!J$37,"")</f>
        <v/>
      </c>
      <c r="FL146" s="137" t="str">
        <f>IF(AND(Include_study?="Yes",Sufficient_data="Yes",Moderator&lt;&gt;""),'Moderator Analysis'!E:E-SUMPRODUCT('Moderator Analysis'!E:E,FJ:FJ)/SUM(FJ:FJ),"")</f>
        <v/>
      </c>
      <c r="FM146" s="95" t="str">
        <f>IF(AND(Include_study?="Yes",Sufficient_data="Yes",Moderator&lt;&gt;""),FJ:FJ*('Moderator Analysis'!F:F-'Moderator Analysis'!J$29-'Moderator Analysis'!J$30*'Moderator Analysis'!E:E)^2,"")</f>
        <v/>
      </c>
      <c r="FR146" s="196"/>
      <c r="FS146" s="182"/>
      <c r="FT14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6" s="39" t="str">
        <f>IF(AND(Include_study?="Yes",Sufficient_data="Yes"),1/('Publication Bias Analysis'!F:F^2+IF(Additional_model="Fixed effect",0,Calculations!GH$12)),"")</f>
        <v/>
      </c>
      <c r="FV146" s="39" t="str">
        <f>IF(AND(Include_study?="Yes",Sufficient_data="Yes"),1/('Publication Bias Analysis'!F:F^2+IF(Additional_model="Fixed effect",0,'Publication Bias Analysis'!L$32)),"")</f>
        <v/>
      </c>
      <c r="FW146" s="39" t="str">
        <f>IF(AND(Include_study?="Yes",Sufficient_data="Yes"),'Publication Bias Analysis'!E:E-'Publication Bias Analysis'!I$37,"")</f>
        <v/>
      </c>
      <c r="FX146" s="39" t="str">
        <f>IF(AND(Include_study?="Yes",Sufficient_data="Yes"),IF(Additional_model="Fixed effect",1/'Publication Bias Analysis'!F:F,1/SQRT('Publication Bias Analysis'!F:F^2+GH$12)),"")</f>
        <v/>
      </c>
      <c r="FY14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6" s="136" t="str">
        <f t="shared" si="516"/>
        <v/>
      </c>
      <c r="GA146" s="144" t="str">
        <f>IF(AND(Include_study?="Yes",Sufficient_data="Yes"),FZ:FZ+IF(GL:GL&lt;0,-1,1)*COUNTIF(FZ$2:FZ145,FZ:FZ),"")</f>
        <v/>
      </c>
      <c r="GB146" s="144" t="str">
        <f>IF(AND(Include_study?="Yes",Sufficient_data="Yes"),RANK(GP:GP,GP:GP,1)*IF(GO:GO&lt;0,-1,1)+IF(GO:GO&lt;0,-1,1)*COUNTIF(FZ$2:FZ145,FZ:FZ),"")</f>
        <v/>
      </c>
      <c r="GC146" s="144" t="str">
        <f>IF(AND(Include_study?="Yes",Sufficient_data="Yes"),RANK(GS:GS,GS:GS,1)*IF(GR:GR&lt;0,-1,1)+IF(GR:GR&lt;0,-1,1)*COUNTIF(FZ$2:FZ145,FZ:FZ),"")</f>
        <v/>
      </c>
      <c r="GD146" s="39" t="e">
        <f>IF(AND(Include_study?="Yes",Sufficient_data="Yes"),'Publication Bias Analysis'!E146,NA())</f>
        <v>#N/A</v>
      </c>
      <c r="GE146" s="74" t="e">
        <f>IF(AND(Include_study?="Yes",Sufficient_data="Yes"),'Publication Bias Analysis'!F146,NA())</f>
        <v>#N/A</v>
      </c>
      <c r="GK146" s="176"/>
      <c r="GL14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6" s="39" t="str">
        <f t="shared" si="517"/>
        <v/>
      </c>
      <c r="GN14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6" s="39" t="str">
        <f>IF(AND(Include_study?="Yes",Sufficient_data="Yes"),IF('Publication Bias Analysis'!L$38="Left",'Publication Bias Analysis'!E:E-GW$3,GW$3-'Publication Bias Analysis'!E:E),"")</f>
        <v/>
      </c>
      <c r="GP146" s="39" t="str">
        <f t="shared" si="529"/>
        <v/>
      </c>
      <c r="GQ14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6" s="39" t="str">
        <f>IF(AND(Include_study?="Yes",Sufficient_data="Yes"),IF('Publication Bias Analysis'!L$38="Left",'Publication Bias Analysis'!E:E-GW$10,GW$10-'Publication Bias Analysis'!E:E),"")</f>
        <v/>
      </c>
      <c r="GS146" s="39" t="str">
        <f t="shared" si="530"/>
        <v/>
      </c>
      <c r="GT14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6" s="176"/>
      <c r="HL146" s="69" t="str">
        <f t="shared" si="518"/>
        <v/>
      </c>
      <c r="HM146" s="74" t="str">
        <f>IF(AND(Include_study?="Yes",Sufficient_data="Yes"),Z_score-('Publication Bias Analysis'!P$3+'Publication Bias Analysis'!P$4*Inverse_standard_error),"")</f>
        <v/>
      </c>
      <c r="HO146" s="176"/>
      <c r="HP146" s="69" t="str">
        <f>IF(AND(Include_study?="Yes",Sufficient_data="Yes"),(GD:GD-SUMPRODUCT(Calculations!FT:FT,'Publication Bias Analysis'!E:E)/SUM(Calculations!FT:FT))/SQRT(Calculations!HQ:HQ),"")</f>
        <v/>
      </c>
      <c r="HQ146" s="69" t="str">
        <f>IF(AND(Include_study?="Yes",Sufficient_data="Yes"),GE:GE^2-1/SUM(Calculations!FT:FT),"")</f>
        <v/>
      </c>
      <c r="HR146" s="7" t="str">
        <f t="shared" si="441"/>
        <v/>
      </c>
      <c r="HS146" s="7" t="str">
        <f t="shared" si="442"/>
        <v/>
      </c>
      <c r="HT146" s="7" t="str">
        <f>IF(AND(Include_study?="Yes",Sufficient_data="Yes"),COUNTIFS(HR$2:HR145,"&lt;"&amp;HR146,HS$2:HS145,"&lt;"&amp;HS146)+COUNTIFS(HR147:HR$201,"&lt;"&amp;HR146,HS147:HS$201,"&lt;"&amp;HS146)+COUNTIFS(HR$2:HR145,"&gt;"&amp;HR146,HS$2:HS145,"&gt;"&amp;HS146)+COUNTIFS(HR147:HR$201,"&gt;"&amp;HR146,HS147:HS$201,"&gt;"&amp;HS146),"")</f>
        <v/>
      </c>
      <c r="HU146" s="104" t="str">
        <f>IF(AND(Include_study?="Yes",Sufficient_data="Yes"),COUNTIFS(HR$2:HR145,"&lt;"&amp;HR146,HS$2:HS145,"&gt;"&amp;HS146)+COUNTIFS(HR147:HR$201,"&lt;"&amp;HR146,HS147:HS$201,"&gt;"&amp;HS146)+COUNTIFS(HR$2:HR145,"&gt;"&amp;HR146,HS$2:HS145,"&lt;"&amp;HS146)+COUNTIFS(HR147:HR$201,"&gt;"&amp;HR146,HS147:HS$201,"&lt;"&amp;HS146),"")</f>
        <v/>
      </c>
      <c r="HW146" s="176"/>
      <c r="IB146" s="176"/>
      <c r="IC146" s="146" t="e">
        <f t="shared" si="519"/>
        <v>#N/A</v>
      </c>
      <c r="ID146" s="137" t="e">
        <f t="shared" si="520"/>
        <v>#N/A</v>
      </c>
      <c r="IE146" s="137" t="str">
        <f t="shared" si="521"/>
        <v/>
      </c>
      <c r="IF146" s="95" t="str">
        <f t="shared" si="522"/>
        <v/>
      </c>
      <c r="IK146" s="176"/>
      <c r="IL146" s="69" t="e">
        <f>IF(AND(Include_study?="Yes",Sufficient_data="Yes"),'Publication Bias Analysis'!AV:AV,NA())</f>
        <v>#N/A</v>
      </c>
      <c r="IM146" s="158" t="e">
        <f>IF(AND(Sufficient_data="Yes",Include_study?="Yes"),'Publication Bias Analysis'!AU:AU,NA())</f>
        <v>#N/A</v>
      </c>
      <c r="IN146" s="69" t="str">
        <f t="shared" si="418"/>
        <v/>
      </c>
      <c r="IO146" s="74" t="str">
        <f>IF(AND(Include_study?="Yes",Sufficient_data="Yes"),Z_score-('Publication Bias Analysis'!AY$30+'Publication Bias Analysis'!AY$31*Inverse_standard_error),"")</f>
        <v/>
      </c>
      <c r="IU146" s="176"/>
      <c r="IV146" s="7" t="str">
        <f>IF('Publication Bias Analysis'!BG:BG&lt;&gt;"",RANK('Publication Bias Analysis'!BG:BG,'Publication Bias Analysis'!BG:BG,1)+COUNTIF('Publication Bias Analysis'!BG$2:BG145,'Publication Bias Analysis'!BG146),"")</f>
        <v/>
      </c>
      <c r="IW146" s="124" t="str">
        <f t="shared" si="523"/>
        <v/>
      </c>
      <c r="IX146" s="125" t="e">
        <f>IF('Publication Bias Analysis'!BF146&lt;&gt;"",'Publication Bias Analysis'!BF146,NA())</f>
        <v>#N/A</v>
      </c>
      <c r="IY146" s="125" t="e">
        <f>IF('Publication Bias Analysis'!BG146&lt;&gt;"",'Publication Bias Analysis'!BG146,NA())</f>
        <v>#N/A</v>
      </c>
      <c r="IZ146" s="69" t="str">
        <f>IF(AND(Include_study?="Yes",Sufficient_data="Yes"),'Publication Bias Analysis'!BF:BF-AVERAGE('Publication Bias Analysis'!BF:BF),"")</f>
        <v/>
      </c>
      <c r="JA146" s="74" t="str">
        <f>IF(AND(Include_study?="Yes",Sufficient_data="Yes"),'Publication Bias Analysis'!BG:BG-('Publication Bias Analysis'!BJ$30+'Publication Bias Analysis'!BJ$31*'Publication Bias Analysis'!BF:BF),"")</f>
        <v/>
      </c>
      <c r="JG146" s="176"/>
      <c r="JH146" s="39" t="str">
        <f t="shared" si="524"/>
        <v/>
      </c>
      <c r="JI146" s="148" t="str">
        <f t="shared" si="531"/>
        <v/>
      </c>
      <c r="JJ146" s="74" t="str">
        <f t="shared" si="532"/>
        <v/>
      </c>
    </row>
    <row r="147" spans="1:270" x14ac:dyDescent="0.2">
      <c r="A147" s="56" t="str">
        <f t="shared" si="334"/>
        <v/>
      </c>
      <c r="B147" s="7" t="str">
        <f>IF(AND(Include_study?="Yes",Sufficient_data="Yes"),IF(Input!a_&lt;&gt;"",Input!a_,Input!n1_-Input!b_),"")</f>
        <v/>
      </c>
      <c r="C147" s="7" t="str">
        <f>IF(AND(Include_study?="Yes",Sufficient_data="Yes"),IF(Input!b_&lt;&gt;"",Input!b_,Input!n1_-Input!a_),"")</f>
        <v/>
      </c>
      <c r="D147" s="7" t="str">
        <f>IF(AND(Include_study?="Yes",Sufficient_data="Yes"),IF(Input!c_&lt;&gt;"",Input!c_,Input!n2_-Input!d_),"")</f>
        <v/>
      </c>
      <c r="E147" s="7" t="str">
        <f>IF(AND(Include_study?="Yes",Sufficient_data="Yes"),IF(Input!d_&lt;&gt;"",Input!d_,Input!n2_-Input!c_),"")</f>
        <v/>
      </c>
      <c r="F147" s="74" t="str">
        <f t="shared" si="443"/>
        <v/>
      </c>
      <c r="H147" s="196"/>
      <c r="I147" s="182"/>
      <c r="J147" s="146" t="str">
        <f t="shared" si="444"/>
        <v/>
      </c>
      <c r="K147" s="39" t="str">
        <f t="shared" si="445"/>
        <v/>
      </c>
      <c r="L147" s="39" t="str">
        <f t="shared" si="446"/>
        <v/>
      </c>
      <c r="M147" s="39" t="str">
        <f t="shared" si="447"/>
        <v/>
      </c>
      <c r="N147" s="74" t="str">
        <f t="shared" si="448"/>
        <v/>
      </c>
      <c r="P147" s="176"/>
      <c r="Q147" s="130" t="str">
        <f t="shared" si="449"/>
        <v/>
      </c>
      <c r="R147" s="39" t="str">
        <f t="shared" si="450"/>
        <v/>
      </c>
      <c r="S147" s="39" t="str">
        <f t="shared" si="451"/>
        <v/>
      </c>
      <c r="T147" s="74" t="str">
        <f t="shared" si="452"/>
        <v/>
      </c>
      <c r="V147" s="176"/>
      <c r="W147" s="130" t="str">
        <f t="shared" si="453"/>
        <v/>
      </c>
      <c r="X147" s="39" t="str">
        <f t="shared" si="454"/>
        <v/>
      </c>
      <c r="Y147" s="39" t="str">
        <f t="shared" si="455"/>
        <v/>
      </c>
      <c r="Z147" s="74" t="str">
        <f t="shared" si="456"/>
        <v/>
      </c>
      <c r="AB147" s="176"/>
      <c r="AC147" s="130" t="str">
        <f t="shared" si="457"/>
        <v/>
      </c>
      <c r="AD147" s="39" t="str">
        <f t="shared" si="458"/>
        <v/>
      </c>
      <c r="AE147" s="39" t="str">
        <f t="shared" si="459"/>
        <v/>
      </c>
      <c r="AF147" s="39" t="str">
        <f t="shared" si="460"/>
        <v/>
      </c>
      <c r="AG147" s="74" t="str">
        <f t="shared" si="461"/>
        <v/>
      </c>
      <c r="AI147" s="196"/>
      <c r="AJ14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7" s="136" t="str">
        <f>IF(AJ147&lt;&gt;"",IF(AJ147=0,COUNTIF(AJ$2:AJ146,0)+1,COUNTIF(AJ$2:AJ146,AJ147)+AJ147+COUNTIF(AJ:AJ,0)),"")</f>
        <v/>
      </c>
      <c r="AL147" s="136" t="str">
        <f t="shared" si="462"/>
        <v/>
      </c>
      <c r="AM147" s="155" t="str">
        <f>IF(AND(Include_study?="Yes",Sufficient_data="Yes",Input!Study_name&lt;&gt;""),Input!Study_name,"")</f>
        <v/>
      </c>
      <c r="AN147" s="136" t="str">
        <f t="shared" si="463"/>
        <v/>
      </c>
      <c r="AO147" s="19" t="str">
        <f t="shared" si="464"/>
        <v/>
      </c>
      <c r="AP147" s="158" t="str">
        <f t="shared" si="465"/>
        <v/>
      </c>
      <c r="AQ147" s="158" t="str">
        <f t="shared" si="466"/>
        <v/>
      </c>
      <c r="AR147" s="39" t="str">
        <f t="shared" si="467"/>
        <v/>
      </c>
      <c r="AS147" s="158" t="str">
        <f t="shared" si="468"/>
        <v/>
      </c>
      <c r="AT147" s="39" t="str">
        <f t="shared" si="469"/>
        <v/>
      </c>
      <c r="AU147" s="172" t="str">
        <f t="shared" si="470"/>
        <v/>
      </c>
      <c r="AV147" s="45"/>
      <c r="AW147" s="84" t="e">
        <f t="shared" si="360"/>
        <v>#N/A</v>
      </c>
      <c r="AX147" s="69" t="e">
        <f t="shared" si="471"/>
        <v>#N/A</v>
      </c>
      <c r="AY147" s="74" t="e">
        <f t="shared" si="472"/>
        <v>#N/A</v>
      </c>
      <c r="AZ147" s="45"/>
      <c r="BA147" s="45"/>
      <c r="BB147" s="45"/>
      <c r="BC147" s="45"/>
      <c r="BD147" s="196"/>
      <c r="BE147" s="182"/>
      <c r="BF147" s="69" t="str">
        <f t="shared" si="363"/>
        <v/>
      </c>
      <c r="BG147" s="69" t="str">
        <f t="shared" si="364"/>
        <v/>
      </c>
      <c r="BH147" s="69" t="str">
        <f t="shared" si="365"/>
        <v/>
      </c>
      <c r="BI147" s="39" t="str">
        <f t="shared" si="366"/>
        <v/>
      </c>
      <c r="BJ147" s="95" t="str">
        <f t="shared" si="473"/>
        <v/>
      </c>
      <c r="BO147" s="176"/>
      <c r="BP147" s="158" t="str">
        <f t="shared" si="474"/>
        <v/>
      </c>
      <c r="BQ147" s="158" t="str">
        <f t="shared" si="475"/>
        <v/>
      </c>
      <c r="BR147" s="158" t="str">
        <f t="shared" si="476"/>
        <v/>
      </c>
      <c r="BS147" s="158" t="str">
        <f>IF(AND(Sufficient_data="Yes",Include_study?="Yes"),IF(Add_0_5="Yes",(a_+d_+1)*(ab_+0.5)*(c_+0.5)/(Number_of_subjects+2)^2,(a_+d_)*b_*c_/Number_of_subjects^2),"")</f>
        <v/>
      </c>
      <c r="BT147" s="158" t="str">
        <f t="shared" si="477"/>
        <v/>
      </c>
      <c r="BU147" s="158" t="str">
        <f t="shared" si="478"/>
        <v/>
      </c>
      <c r="BV147" s="158" t="str">
        <f t="shared" si="479"/>
        <v/>
      </c>
      <c r="BW147" s="69" t="str">
        <f t="shared" si="374"/>
        <v/>
      </c>
      <c r="BX147" s="137" t="str">
        <f t="shared" si="375"/>
        <v/>
      </c>
      <c r="BY147" s="95" t="str">
        <f t="shared" si="480"/>
        <v/>
      </c>
      <c r="CD147" s="176"/>
      <c r="CE147" s="130" t="str">
        <f t="shared" si="481"/>
        <v/>
      </c>
      <c r="CF147" s="39" t="str">
        <f t="shared" si="482"/>
        <v/>
      </c>
      <c r="CG147" s="39" t="str">
        <f t="shared" si="483"/>
        <v/>
      </c>
      <c r="CH147" s="39" t="str">
        <f t="shared" si="484"/>
        <v/>
      </c>
      <c r="CI147" s="39" t="str">
        <f t="shared" si="485"/>
        <v/>
      </c>
      <c r="CJ147" s="39" t="str">
        <f t="shared" si="486"/>
        <v/>
      </c>
      <c r="CK147" s="95" t="str">
        <f t="shared" si="487"/>
        <v/>
      </c>
      <c r="CP147" s="176"/>
      <c r="CQ147" s="99" t="str">
        <f t="shared" si="383"/>
        <v/>
      </c>
      <c r="CX147" s="196"/>
      <c r="CY147" s="89" t="e">
        <f t="shared" si="488"/>
        <v>#N/A</v>
      </c>
      <c r="CZ147" s="136" t="str">
        <f t="shared" si="489"/>
        <v/>
      </c>
      <c r="DA147" s="140" t="str">
        <f t="shared" si="490"/>
        <v/>
      </c>
      <c r="DB147" s="39" t="str">
        <f t="shared" si="491"/>
        <v/>
      </c>
      <c r="DC147" s="39" t="str">
        <f t="shared" si="492"/>
        <v/>
      </c>
      <c r="DD147" s="39" t="str">
        <f t="shared" si="493"/>
        <v/>
      </c>
      <c r="DE147" s="39" t="str">
        <f t="shared" si="494"/>
        <v/>
      </c>
      <c r="DF147" s="141" t="str">
        <f t="shared" si="495"/>
        <v/>
      </c>
      <c r="DG147" s="39" t="str">
        <f t="shared" si="496"/>
        <v/>
      </c>
      <c r="DH147" s="39" t="str">
        <f t="shared" si="497"/>
        <v/>
      </c>
      <c r="DI147" s="39" t="str">
        <f t="shared" si="498"/>
        <v/>
      </c>
      <c r="DJ147" s="74" t="str">
        <f t="shared" si="499"/>
        <v/>
      </c>
      <c r="DK147" s="45"/>
      <c r="DL147" s="84" t="e">
        <f t="shared" si="423"/>
        <v>#N/A</v>
      </c>
      <c r="DM147" s="39" t="e">
        <f t="shared" si="500"/>
        <v>#N/A</v>
      </c>
      <c r="DN147" s="74" t="e">
        <f t="shared" si="501"/>
        <v>#N/A</v>
      </c>
      <c r="DO147" s="45"/>
      <c r="DP147" s="89" t="str">
        <f t="shared" si="525"/>
        <v/>
      </c>
      <c r="DQ147" s="26" t="str">
        <f>IF(AND(Sufficient_data="Yes",Subgroup&lt;&gt;""),IF(COUNTIFS(Input!J$2:J146,"="&amp;"Yes",Input!C$2:C146,"="&amp;"Yes",Input!K$2:K146,"="&amp;Subgroup)&gt;0,"",Subgroup),"")</f>
        <v/>
      </c>
      <c r="DR147" s="7" t="str">
        <f t="shared" si="526"/>
        <v/>
      </c>
      <c r="DS147" s="7" t="str">
        <f t="shared" si="502"/>
        <v/>
      </c>
      <c r="DT147" s="19" t="str">
        <f t="shared" si="503"/>
        <v/>
      </c>
      <c r="DU147" s="12" t="str">
        <f t="shared" si="424"/>
        <v/>
      </c>
      <c r="DV147" s="11" t="str">
        <f t="shared" si="425"/>
        <v/>
      </c>
      <c r="DW147" s="12" t="str">
        <f t="shared" si="426"/>
        <v/>
      </c>
      <c r="DX147" s="12" t="str">
        <f t="shared" si="504"/>
        <v/>
      </c>
      <c r="DY147" s="19" t="str">
        <f t="shared" si="427"/>
        <v/>
      </c>
      <c r="DZ147" s="12" t="str">
        <f t="shared" si="428"/>
        <v/>
      </c>
      <c r="EA147" s="19" t="str">
        <f t="shared" si="505"/>
        <v/>
      </c>
      <c r="EB147" s="7" t="str">
        <f t="shared" si="506"/>
        <v/>
      </c>
      <c r="EC147" s="19" t="str">
        <f t="shared" si="507"/>
        <v/>
      </c>
      <c r="ED147" s="19" t="str">
        <f t="shared" si="508"/>
        <v/>
      </c>
      <c r="EE147" s="19" t="str">
        <f t="shared" si="429"/>
        <v/>
      </c>
      <c r="EF147" s="19" t="str">
        <f t="shared" si="430"/>
        <v/>
      </c>
      <c r="EG147" s="19" t="str">
        <f t="shared" si="431"/>
        <v/>
      </c>
      <c r="EH147" s="19" t="str">
        <f t="shared" si="432"/>
        <v/>
      </c>
      <c r="EI147" s="19" t="str">
        <f t="shared" si="433"/>
        <v/>
      </c>
      <c r="EJ147" s="19" t="str">
        <f t="shared" si="509"/>
        <v/>
      </c>
      <c r="EK147" s="19" t="str">
        <f t="shared" si="510"/>
        <v/>
      </c>
      <c r="EL147" s="19" t="str">
        <f t="shared" si="434"/>
        <v/>
      </c>
      <c r="EM147" s="19" t="str">
        <f t="shared" si="435"/>
        <v/>
      </c>
      <c r="EN147" s="19" t="str">
        <f t="shared" si="436"/>
        <v/>
      </c>
      <c r="EO147" s="19" t="str">
        <f t="shared" si="437"/>
        <v/>
      </c>
      <c r="EP147" s="19" t="str">
        <f t="shared" si="438"/>
        <v/>
      </c>
      <c r="EQ147" s="19" t="e">
        <f t="shared" si="439"/>
        <v>#N/A</v>
      </c>
      <c r="ER147" s="11" t="str">
        <f t="shared" si="527"/>
        <v/>
      </c>
      <c r="ES147" s="19" t="str">
        <f t="shared" si="528"/>
        <v/>
      </c>
      <c r="ET147" s="156" t="str">
        <f t="shared" si="511"/>
        <v/>
      </c>
      <c r="EU147" s="39" t="str">
        <f t="shared" si="440"/>
        <v/>
      </c>
      <c r="EV147" s="74" t="str">
        <f t="shared" si="512"/>
        <v/>
      </c>
      <c r="FA147" s="196"/>
      <c r="FB147" s="84" t="e">
        <f>IF(AND(Include_study?="Yes",Sufficient_data="Yes",Moderator&lt;&gt;""),'Moderator Analysis'!E147,NA())</f>
        <v>#N/A</v>
      </c>
      <c r="FC147" s="39" t="e">
        <f>IF(AND(Include_study?="Yes",Sufficient_data="Yes",Moderator&lt;&gt;""),'Moderator Analysis'!F147,NA())</f>
        <v>#N/A</v>
      </c>
      <c r="FD147" s="39" t="str">
        <f t="shared" si="513"/>
        <v/>
      </c>
      <c r="FE147" s="39" t="str">
        <f t="shared" si="514"/>
        <v/>
      </c>
      <c r="FF147" s="39" t="str">
        <f>IF(AND(Include_study?="Yes",Sufficient_data="Yes",Moderator&lt;&gt;""),'Moderator Analysis'!F:F-FP$2,"")</f>
        <v/>
      </c>
      <c r="FG147" s="39" t="str">
        <f>IF(AND(Include_study?="Yes",Sufficient_data="Yes",Moderator&lt;&gt;""),'Moderator Analysis'!E:E-FP$3,"")</f>
        <v/>
      </c>
      <c r="FH147" s="74" t="str">
        <f>IF(AND(Include_study?="Yes",Sufficient_data="Yes",Moderator&lt;&gt;""),FE:FE*('Moderator Analysis'!F:F-FP$5-FP$4*'Moderator Analysis'!E:E)^2,"")</f>
        <v/>
      </c>
      <c r="FI147" s="128"/>
      <c r="FJ147" s="92" t="str">
        <f t="shared" si="515"/>
        <v/>
      </c>
      <c r="FK147" s="137" t="str">
        <f>IF(AND(Include_study?="Yes",Sufficient_data="Yes",Moderator&lt;&gt;""),'Moderator Analysis'!F:F-'Moderator Analysis'!J$37,"")</f>
        <v/>
      </c>
      <c r="FL147" s="137" t="str">
        <f>IF(AND(Include_study?="Yes",Sufficient_data="Yes",Moderator&lt;&gt;""),'Moderator Analysis'!E:E-SUMPRODUCT('Moderator Analysis'!E:E,FJ:FJ)/SUM(FJ:FJ),"")</f>
        <v/>
      </c>
      <c r="FM147" s="95" t="str">
        <f>IF(AND(Include_study?="Yes",Sufficient_data="Yes",Moderator&lt;&gt;""),FJ:FJ*('Moderator Analysis'!F:F-'Moderator Analysis'!J$29-'Moderator Analysis'!J$30*'Moderator Analysis'!E:E)^2,"")</f>
        <v/>
      </c>
      <c r="FR147" s="196"/>
      <c r="FS147" s="182"/>
      <c r="FT14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7" s="39" t="str">
        <f>IF(AND(Include_study?="Yes",Sufficient_data="Yes"),1/('Publication Bias Analysis'!F:F^2+IF(Additional_model="Fixed effect",0,Calculations!GH$12)),"")</f>
        <v/>
      </c>
      <c r="FV147" s="39" t="str">
        <f>IF(AND(Include_study?="Yes",Sufficient_data="Yes"),1/('Publication Bias Analysis'!F:F^2+IF(Additional_model="Fixed effect",0,'Publication Bias Analysis'!L$32)),"")</f>
        <v/>
      </c>
      <c r="FW147" s="39" t="str">
        <f>IF(AND(Include_study?="Yes",Sufficient_data="Yes"),'Publication Bias Analysis'!E:E-'Publication Bias Analysis'!I$37,"")</f>
        <v/>
      </c>
      <c r="FX147" s="39" t="str">
        <f>IF(AND(Include_study?="Yes",Sufficient_data="Yes"),IF(Additional_model="Fixed effect",1/'Publication Bias Analysis'!F:F,1/SQRT('Publication Bias Analysis'!F:F^2+GH$12)),"")</f>
        <v/>
      </c>
      <c r="FY14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7" s="136" t="str">
        <f t="shared" si="516"/>
        <v/>
      </c>
      <c r="GA147" s="144" t="str">
        <f>IF(AND(Include_study?="Yes",Sufficient_data="Yes"),FZ:FZ+IF(GL:GL&lt;0,-1,1)*COUNTIF(FZ$2:FZ146,FZ:FZ),"")</f>
        <v/>
      </c>
      <c r="GB147" s="144" t="str">
        <f>IF(AND(Include_study?="Yes",Sufficient_data="Yes"),RANK(GP:GP,GP:GP,1)*IF(GO:GO&lt;0,-1,1)+IF(GO:GO&lt;0,-1,1)*COUNTIF(FZ$2:FZ146,FZ:FZ),"")</f>
        <v/>
      </c>
      <c r="GC147" s="144" t="str">
        <f>IF(AND(Include_study?="Yes",Sufficient_data="Yes"),RANK(GS:GS,GS:GS,1)*IF(GR:GR&lt;0,-1,1)+IF(GR:GR&lt;0,-1,1)*COUNTIF(FZ$2:FZ146,FZ:FZ),"")</f>
        <v/>
      </c>
      <c r="GD147" s="39" t="e">
        <f>IF(AND(Include_study?="Yes",Sufficient_data="Yes"),'Publication Bias Analysis'!E147,NA())</f>
        <v>#N/A</v>
      </c>
      <c r="GE147" s="74" t="e">
        <f>IF(AND(Include_study?="Yes",Sufficient_data="Yes"),'Publication Bias Analysis'!F147,NA())</f>
        <v>#N/A</v>
      </c>
      <c r="GK147" s="176"/>
      <c r="GL14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7" s="39" t="str">
        <f t="shared" si="517"/>
        <v/>
      </c>
      <c r="GN14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7" s="39" t="str">
        <f>IF(AND(Include_study?="Yes",Sufficient_data="Yes"),IF('Publication Bias Analysis'!L$38="Left",'Publication Bias Analysis'!E:E-GW$3,GW$3-'Publication Bias Analysis'!E:E),"")</f>
        <v/>
      </c>
      <c r="GP147" s="39" t="str">
        <f t="shared" si="529"/>
        <v/>
      </c>
      <c r="GQ14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7" s="39" t="str">
        <f>IF(AND(Include_study?="Yes",Sufficient_data="Yes"),IF('Publication Bias Analysis'!L$38="Left",'Publication Bias Analysis'!E:E-GW$10,GW$10-'Publication Bias Analysis'!E:E),"")</f>
        <v/>
      </c>
      <c r="GS147" s="39" t="str">
        <f t="shared" si="530"/>
        <v/>
      </c>
      <c r="GT14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7" s="176"/>
      <c r="HL147" s="69" t="str">
        <f t="shared" si="518"/>
        <v/>
      </c>
      <c r="HM147" s="74" t="str">
        <f>IF(AND(Include_study?="Yes",Sufficient_data="Yes"),Z_score-('Publication Bias Analysis'!P$3+'Publication Bias Analysis'!P$4*Inverse_standard_error),"")</f>
        <v/>
      </c>
      <c r="HO147" s="176"/>
      <c r="HP147" s="69" t="str">
        <f>IF(AND(Include_study?="Yes",Sufficient_data="Yes"),(GD:GD-SUMPRODUCT(Calculations!FT:FT,'Publication Bias Analysis'!E:E)/SUM(Calculations!FT:FT))/SQRT(Calculations!HQ:HQ),"")</f>
        <v/>
      </c>
      <c r="HQ147" s="69" t="str">
        <f>IF(AND(Include_study?="Yes",Sufficient_data="Yes"),GE:GE^2-1/SUM(Calculations!FT:FT),"")</f>
        <v/>
      </c>
      <c r="HR147" s="7" t="str">
        <f t="shared" si="441"/>
        <v/>
      </c>
      <c r="HS147" s="7" t="str">
        <f t="shared" si="442"/>
        <v/>
      </c>
      <c r="HT147" s="7" t="str">
        <f>IF(AND(Include_study?="Yes",Sufficient_data="Yes"),COUNTIFS(HR$2:HR146,"&lt;"&amp;HR147,HS$2:HS146,"&lt;"&amp;HS147)+COUNTIFS(HR148:HR$201,"&lt;"&amp;HR147,HS148:HS$201,"&lt;"&amp;HS147)+COUNTIFS(HR$2:HR146,"&gt;"&amp;HR147,HS$2:HS146,"&gt;"&amp;HS147)+COUNTIFS(HR148:HR$201,"&gt;"&amp;HR147,HS148:HS$201,"&gt;"&amp;HS147),"")</f>
        <v/>
      </c>
      <c r="HU147" s="104" t="str">
        <f>IF(AND(Include_study?="Yes",Sufficient_data="Yes"),COUNTIFS(HR$2:HR146,"&lt;"&amp;HR147,HS$2:HS146,"&gt;"&amp;HS147)+COUNTIFS(HR148:HR$201,"&lt;"&amp;HR147,HS148:HS$201,"&gt;"&amp;HS147)+COUNTIFS(HR$2:HR146,"&gt;"&amp;HR147,HS$2:HS146,"&lt;"&amp;HS147)+COUNTIFS(HR148:HR$201,"&gt;"&amp;HR147,HS148:HS$201,"&lt;"&amp;HS147),"")</f>
        <v/>
      </c>
      <c r="HW147" s="176"/>
      <c r="IB147" s="176"/>
      <c r="IC147" s="146" t="e">
        <f t="shared" si="519"/>
        <v>#N/A</v>
      </c>
      <c r="ID147" s="137" t="e">
        <f t="shared" si="520"/>
        <v>#N/A</v>
      </c>
      <c r="IE147" s="137" t="str">
        <f t="shared" si="521"/>
        <v/>
      </c>
      <c r="IF147" s="95" t="str">
        <f t="shared" si="522"/>
        <v/>
      </c>
      <c r="IK147" s="176"/>
      <c r="IL147" s="69" t="e">
        <f>IF(AND(Include_study?="Yes",Sufficient_data="Yes"),'Publication Bias Analysis'!AV:AV,NA())</f>
        <v>#N/A</v>
      </c>
      <c r="IM147" s="158" t="e">
        <f>IF(AND(Sufficient_data="Yes",Include_study?="Yes"),'Publication Bias Analysis'!AU:AU,NA())</f>
        <v>#N/A</v>
      </c>
      <c r="IN147" s="69" t="str">
        <f t="shared" si="418"/>
        <v/>
      </c>
      <c r="IO147" s="74" t="str">
        <f>IF(AND(Include_study?="Yes",Sufficient_data="Yes"),Z_score-('Publication Bias Analysis'!AY$30+'Publication Bias Analysis'!AY$31*Inverse_standard_error),"")</f>
        <v/>
      </c>
      <c r="IU147" s="176"/>
      <c r="IV147" s="7" t="str">
        <f>IF('Publication Bias Analysis'!BG:BG&lt;&gt;"",RANK('Publication Bias Analysis'!BG:BG,'Publication Bias Analysis'!BG:BG,1)+COUNTIF('Publication Bias Analysis'!BG$2:BG146,'Publication Bias Analysis'!BG147),"")</f>
        <v/>
      </c>
      <c r="IW147" s="124" t="str">
        <f t="shared" si="523"/>
        <v/>
      </c>
      <c r="IX147" s="125" t="e">
        <f>IF('Publication Bias Analysis'!BF147&lt;&gt;"",'Publication Bias Analysis'!BF147,NA())</f>
        <v>#N/A</v>
      </c>
      <c r="IY147" s="125" t="e">
        <f>IF('Publication Bias Analysis'!BG147&lt;&gt;"",'Publication Bias Analysis'!BG147,NA())</f>
        <v>#N/A</v>
      </c>
      <c r="IZ147" s="69" t="str">
        <f>IF(AND(Include_study?="Yes",Sufficient_data="Yes"),'Publication Bias Analysis'!BF:BF-AVERAGE('Publication Bias Analysis'!BF:BF),"")</f>
        <v/>
      </c>
      <c r="JA147" s="74" t="str">
        <f>IF(AND(Include_study?="Yes",Sufficient_data="Yes"),'Publication Bias Analysis'!BG:BG-('Publication Bias Analysis'!BJ$30+'Publication Bias Analysis'!BJ$31*'Publication Bias Analysis'!BF:BF),"")</f>
        <v/>
      </c>
      <c r="JG147" s="176"/>
      <c r="JH147" s="39" t="str">
        <f t="shared" si="524"/>
        <v/>
      </c>
      <c r="JI147" s="148" t="str">
        <f t="shared" si="531"/>
        <v/>
      </c>
      <c r="JJ147" s="74" t="str">
        <f t="shared" si="532"/>
        <v/>
      </c>
    </row>
    <row r="148" spans="1:270" x14ac:dyDescent="0.2">
      <c r="A148" s="56" t="str">
        <f t="shared" si="334"/>
        <v/>
      </c>
      <c r="B148" s="7" t="str">
        <f>IF(AND(Include_study?="Yes",Sufficient_data="Yes"),IF(Input!a_&lt;&gt;"",Input!a_,Input!n1_-Input!b_),"")</f>
        <v/>
      </c>
      <c r="C148" s="7" t="str">
        <f>IF(AND(Include_study?="Yes",Sufficient_data="Yes"),IF(Input!b_&lt;&gt;"",Input!b_,Input!n1_-Input!a_),"")</f>
        <v/>
      </c>
      <c r="D148" s="7" t="str">
        <f>IF(AND(Include_study?="Yes",Sufficient_data="Yes"),IF(Input!c_&lt;&gt;"",Input!c_,Input!n2_-Input!d_),"")</f>
        <v/>
      </c>
      <c r="E148" s="7" t="str">
        <f>IF(AND(Include_study?="Yes",Sufficient_data="Yes"),IF(Input!d_&lt;&gt;"",Input!d_,Input!n2_-Input!c_),"")</f>
        <v/>
      </c>
      <c r="F148" s="74" t="str">
        <f t="shared" si="443"/>
        <v/>
      </c>
      <c r="H148" s="196"/>
      <c r="I148" s="182"/>
      <c r="J148" s="146" t="str">
        <f t="shared" si="444"/>
        <v/>
      </c>
      <c r="K148" s="39" t="str">
        <f t="shared" si="445"/>
        <v/>
      </c>
      <c r="L148" s="39" t="str">
        <f t="shared" si="446"/>
        <v/>
      </c>
      <c r="M148" s="39" t="str">
        <f t="shared" si="447"/>
        <v/>
      </c>
      <c r="N148" s="74" t="str">
        <f t="shared" si="448"/>
        <v/>
      </c>
      <c r="P148" s="176"/>
      <c r="Q148" s="130" t="str">
        <f t="shared" si="449"/>
        <v/>
      </c>
      <c r="R148" s="39" t="str">
        <f t="shared" si="450"/>
        <v/>
      </c>
      <c r="S148" s="39" t="str">
        <f t="shared" si="451"/>
        <v/>
      </c>
      <c r="T148" s="74" t="str">
        <f t="shared" si="452"/>
        <v/>
      </c>
      <c r="V148" s="176"/>
      <c r="W148" s="130" t="str">
        <f t="shared" si="453"/>
        <v/>
      </c>
      <c r="X148" s="39" t="str">
        <f t="shared" si="454"/>
        <v/>
      </c>
      <c r="Y148" s="39" t="str">
        <f t="shared" si="455"/>
        <v/>
      </c>
      <c r="Z148" s="74" t="str">
        <f t="shared" si="456"/>
        <v/>
      </c>
      <c r="AB148" s="176"/>
      <c r="AC148" s="130" t="str">
        <f t="shared" si="457"/>
        <v/>
      </c>
      <c r="AD148" s="39" t="str">
        <f t="shared" si="458"/>
        <v/>
      </c>
      <c r="AE148" s="39" t="str">
        <f t="shared" si="459"/>
        <v/>
      </c>
      <c r="AF148" s="39" t="str">
        <f t="shared" si="460"/>
        <v/>
      </c>
      <c r="AG148" s="74" t="str">
        <f t="shared" si="461"/>
        <v/>
      </c>
      <c r="AI148" s="196"/>
      <c r="AJ14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8" s="136" t="str">
        <f>IF(AJ148&lt;&gt;"",IF(AJ148=0,COUNTIF(AJ$2:AJ147,0)+1,COUNTIF(AJ$2:AJ147,AJ148)+AJ148+COUNTIF(AJ:AJ,0)),"")</f>
        <v/>
      </c>
      <c r="AL148" s="136" t="str">
        <f t="shared" si="462"/>
        <v/>
      </c>
      <c r="AM148" s="155" t="str">
        <f>IF(AND(Include_study?="Yes",Sufficient_data="Yes",Input!Study_name&lt;&gt;""),Input!Study_name,"")</f>
        <v/>
      </c>
      <c r="AN148" s="136" t="str">
        <f t="shared" si="463"/>
        <v/>
      </c>
      <c r="AO148" s="19" t="str">
        <f t="shared" si="464"/>
        <v/>
      </c>
      <c r="AP148" s="158" t="str">
        <f t="shared" si="465"/>
        <v/>
      </c>
      <c r="AQ148" s="158" t="str">
        <f t="shared" si="466"/>
        <v/>
      </c>
      <c r="AR148" s="39" t="str">
        <f t="shared" si="467"/>
        <v/>
      </c>
      <c r="AS148" s="158" t="str">
        <f t="shared" si="468"/>
        <v/>
      </c>
      <c r="AT148" s="39" t="str">
        <f t="shared" si="469"/>
        <v/>
      </c>
      <c r="AU148" s="172" t="str">
        <f t="shared" si="470"/>
        <v/>
      </c>
      <c r="AV148" s="45"/>
      <c r="AW148" s="84" t="e">
        <f t="shared" si="360"/>
        <v>#N/A</v>
      </c>
      <c r="AX148" s="69" t="e">
        <f t="shared" si="471"/>
        <v>#N/A</v>
      </c>
      <c r="AY148" s="74" t="e">
        <f t="shared" si="472"/>
        <v>#N/A</v>
      </c>
      <c r="AZ148" s="45"/>
      <c r="BA148" s="45"/>
      <c r="BB148" s="45"/>
      <c r="BC148" s="45"/>
      <c r="BD148" s="196"/>
      <c r="BE148" s="182"/>
      <c r="BF148" s="69" t="str">
        <f t="shared" si="363"/>
        <v/>
      </c>
      <c r="BG148" s="69" t="str">
        <f t="shared" si="364"/>
        <v/>
      </c>
      <c r="BH148" s="69" t="str">
        <f t="shared" si="365"/>
        <v/>
      </c>
      <c r="BI148" s="39" t="str">
        <f t="shared" si="366"/>
        <v/>
      </c>
      <c r="BJ148" s="95" t="str">
        <f t="shared" si="473"/>
        <v/>
      </c>
      <c r="BO148" s="176"/>
      <c r="BP148" s="158" t="str">
        <f t="shared" si="474"/>
        <v/>
      </c>
      <c r="BQ148" s="158" t="str">
        <f t="shared" si="475"/>
        <v/>
      </c>
      <c r="BR148" s="158" t="str">
        <f t="shared" si="476"/>
        <v/>
      </c>
      <c r="BS148" s="158" t="str">
        <f>IF(AND(Sufficient_data="Yes",Include_study?="Yes"),IF(Add_0_5="Yes",(a_+d_+1)*(ab_+0.5)*(c_+0.5)/(Number_of_subjects+2)^2,(a_+d_)*b_*c_/Number_of_subjects^2),"")</f>
        <v/>
      </c>
      <c r="BT148" s="158" t="str">
        <f t="shared" si="477"/>
        <v/>
      </c>
      <c r="BU148" s="158" t="str">
        <f t="shared" si="478"/>
        <v/>
      </c>
      <c r="BV148" s="158" t="str">
        <f t="shared" si="479"/>
        <v/>
      </c>
      <c r="BW148" s="69" t="str">
        <f t="shared" si="374"/>
        <v/>
      </c>
      <c r="BX148" s="137" t="str">
        <f t="shared" si="375"/>
        <v/>
      </c>
      <c r="BY148" s="95" t="str">
        <f t="shared" si="480"/>
        <v/>
      </c>
      <c r="CD148" s="176"/>
      <c r="CE148" s="130" t="str">
        <f t="shared" si="481"/>
        <v/>
      </c>
      <c r="CF148" s="39" t="str">
        <f t="shared" si="482"/>
        <v/>
      </c>
      <c r="CG148" s="39" t="str">
        <f t="shared" si="483"/>
        <v/>
      </c>
      <c r="CH148" s="39" t="str">
        <f t="shared" si="484"/>
        <v/>
      </c>
      <c r="CI148" s="39" t="str">
        <f t="shared" si="485"/>
        <v/>
      </c>
      <c r="CJ148" s="39" t="str">
        <f t="shared" si="486"/>
        <v/>
      </c>
      <c r="CK148" s="95" t="str">
        <f t="shared" si="487"/>
        <v/>
      </c>
      <c r="CP148" s="176"/>
      <c r="CQ148" s="99" t="str">
        <f t="shared" si="383"/>
        <v/>
      </c>
      <c r="CX148" s="196"/>
      <c r="CY148" s="89" t="e">
        <f t="shared" si="488"/>
        <v>#N/A</v>
      </c>
      <c r="CZ148" s="136" t="str">
        <f t="shared" si="489"/>
        <v/>
      </c>
      <c r="DA148" s="140" t="str">
        <f t="shared" si="490"/>
        <v/>
      </c>
      <c r="DB148" s="39" t="str">
        <f t="shared" si="491"/>
        <v/>
      </c>
      <c r="DC148" s="39" t="str">
        <f t="shared" si="492"/>
        <v/>
      </c>
      <c r="DD148" s="39" t="str">
        <f t="shared" si="493"/>
        <v/>
      </c>
      <c r="DE148" s="39" t="str">
        <f t="shared" si="494"/>
        <v/>
      </c>
      <c r="DF148" s="141" t="str">
        <f t="shared" si="495"/>
        <v/>
      </c>
      <c r="DG148" s="39" t="str">
        <f t="shared" si="496"/>
        <v/>
      </c>
      <c r="DH148" s="39" t="str">
        <f t="shared" si="497"/>
        <v/>
      </c>
      <c r="DI148" s="39" t="str">
        <f t="shared" si="498"/>
        <v/>
      </c>
      <c r="DJ148" s="74" t="str">
        <f t="shared" si="499"/>
        <v/>
      </c>
      <c r="DK148" s="45"/>
      <c r="DL148" s="84" t="e">
        <f t="shared" si="423"/>
        <v>#N/A</v>
      </c>
      <c r="DM148" s="39" t="e">
        <f t="shared" si="500"/>
        <v>#N/A</v>
      </c>
      <c r="DN148" s="74" t="e">
        <f t="shared" si="501"/>
        <v>#N/A</v>
      </c>
      <c r="DO148" s="45"/>
      <c r="DP148" s="89" t="str">
        <f t="shared" si="525"/>
        <v/>
      </c>
      <c r="DQ148" s="26" t="str">
        <f>IF(AND(Sufficient_data="Yes",Subgroup&lt;&gt;""),IF(COUNTIFS(Input!J$2:J147,"="&amp;"Yes",Input!C$2:C147,"="&amp;"Yes",Input!K$2:K147,"="&amp;Subgroup)&gt;0,"",Subgroup),"")</f>
        <v/>
      </c>
      <c r="DR148" s="7" t="str">
        <f t="shared" si="526"/>
        <v/>
      </c>
      <c r="DS148" s="7" t="str">
        <f t="shared" si="502"/>
        <v/>
      </c>
      <c r="DT148" s="19" t="str">
        <f t="shared" si="503"/>
        <v/>
      </c>
      <c r="DU148" s="12" t="str">
        <f t="shared" si="424"/>
        <v/>
      </c>
      <c r="DV148" s="11" t="str">
        <f t="shared" si="425"/>
        <v/>
      </c>
      <c r="DW148" s="12" t="str">
        <f t="shared" si="426"/>
        <v/>
      </c>
      <c r="DX148" s="12" t="str">
        <f t="shared" si="504"/>
        <v/>
      </c>
      <c r="DY148" s="19" t="str">
        <f t="shared" si="427"/>
        <v/>
      </c>
      <c r="DZ148" s="12" t="str">
        <f t="shared" si="428"/>
        <v/>
      </c>
      <c r="EA148" s="19" t="str">
        <f t="shared" si="505"/>
        <v/>
      </c>
      <c r="EB148" s="7" t="str">
        <f t="shared" si="506"/>
        <v/>
      </c>
      <c r="EC148" s="19" t="str">
        <f t="shared" si="507"/>
        <v/>
      </c>
      <c r="ED148" s="19" t="str">
        <f t="shared" si="508"/>
        <v/>
      </c>
      <c r="EE148" s="19" t="str">
        <f t="shared" si="429"/>
        <v/>
      </c>
      <c r="EF148" s="19" t="str">
        <f t="shared" si="430"/>
        <v/>
      </c>
      <c r="EG148" s="19" t="str">
        <f t="shared" si="431"/>
        <v/>
      </c>
      <c r="EH148" s="19" t="str">
        <f t="shared" si="432"/>
        <v/>
      </c>
      <c r="EI148" s="19" t="str">
        <f t="shared" si="433"/>
        <v/>
      </c>
      <c r="EJ148" s="19" t="str">
        <f t="shared" si="509"/>
        <v/>
      </c>
      <c r="EK148" s="19" t="str">
        <f t="shared" si="510"/>
        <v/>
      </c>
      <c r="EL148" s="19" t="str">
        <f t="shared" si="434"/>
        <v/>
      </c>
      <c r="EM148" s="19" t="str">
        <f t="shared" si="435"/>
        <v/>
      </c>
      <c r="EN148" s="19" t="str">
        <f t="shared" si="436"/>
        <v/>
      </c>
      <c r="EO148" s="19" t="str">
        <f t="shared" si="437"/>
        <v/>
      </c>
      <c r="EP148" s="19" t="str">
        <f t="shared" si="438"/>
        <v/>
      </c>
      <c r="EQ148" s="19" t="e">
        <f t="shared" si="439"/>
        <v>#N/A</v>
      </c>
      <c r="ER148" s="11" t="str">
        <f t="shared" si="527"/>
        <v/>
      </c>
      <c r="ES148" s="19" t="str">
        <f t="shared" si="528"/>
        <v/>
      </c>
      <c r="ET148" s="156" t="str">
        <f t="shared" si="511"/>
        <v/>
      </c>
      <c r="EU148" s="39" t="str">
        <f t="shared" si="440"/>
        <v/>
      </c>
      <c r="EV148" s="74" t="str">
        <f t="shared" si="512"/>
        <v/>
      </c>
      <c r="FA148" s="196"/>
      <c r="FB148" s="84" t="e">
        <f>IF(AND(Include_study?="Yes",Sufficient_data="Yes",Moderator&lt;&gt;""),'Moderator Analysis'!E148,NA())</f>
        <v>#N/A</v>
      </c>
      <c r="FC148" s="39" t="e">
        <f>IF(AND(Include_study?="Yes",Sufficient_data="Yes",Moderator&lt;&gt;""),'Moderator Analysis'!F148,NA())</f>
        <v>#N/A</v>
      </c>
      <c r="FD148" s="39" t="str">
        <f t="shared" si="513"/>
        <v/>
      </c>
      <c r="FE148" s="39" t="str">
        <f t="shared" si="514"/>
        <v/>
      </c>
      <c r="FF148" s="39" t="str">
        <f>IF(AND(Include_study?="Yes",Sufficient_data="Yes",Moderator&lt;&gt;""),'Moderator Analysis'!F:F-FP$2,"")</f>
        <v/>
      </c>
      <c r="FG148" s="39" t="str">
        <f>IF(AND(Include_study?="Yes",Sufficient_data="Yes",Moderator&lt;&gt;""),'Moderator Analysis'!E:E-FP$3,"")</f>
        <v/>
      </c>
      <c r="FH148" s="74" t="str">
        <f>IF(AND(Include_study?="Yes",Sufficient_data="Yes",Moderator&lt;&gt;""),FE:FE*('Moderator Analysis'!F:F-FP$5-FP$4*'Moderator Analysis'!E:E)^2,"")</f>
        <v/>
      </c>
      <c r="FI148" s="128"/>
      <c r="FJ148" s="92" t="str">
        <f t="shared" si="515"/>
        <v/>
      </c>
      <c r="FK148" s="137" t="str">
        <f>IF(AND(Include_study?="Yes",Sufficient_data="Yes",Moderator&lt;&gt;""),'Moderator Analysis'!F:F-'Moderator Analysis'!J$37,"")</f>
        <v/>
      </c>
      <c r="FL148" s="137" t="str">
        <f>IF(AND(Include_study?="Yes",Sufficient_data="Yes",Moderator&lt;&gt;""),'Moderator Analysis'!E:E-SUMPRODUCT('Moderator Analysis'!E:E,FJ:FJ)/SUM(FJ:FJ),"")</f>
        <v/>
      </c>
      <c r="FM148" s="95" t="str">
        <f>IF(AND(Include_study?="Yes",Sufficient_data="Yes",Moderator&lt;&gt;""),FJ:FJ*('Moderator Analysis'!F:F-'Moderator Analysis'!J$29-'Moderator Analysis'!J$30*'Moderator Analysis'!E:E)^2,"")</f>
        <v/>
      </c>
      <c r="FR148" s="196"/>
      <c r="FS148" s="182"/>
      <c r="FT14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8" s="39" t="str">
        <f>IF(AND(Include_study?="Yes",Sufficient_data="Yes"),1/('Publication Bias Analysis'!F:F^2+IF(Additional_model="Fixed effect",0,Calculations!GH$12)),"")</f>
        <v/>
      </c>
      <c r="FV148" s="39" t="str">
        <f>IF(AND(Include_study?="Yes",Sufficient_data="Yes"),1/('Publication Bias Analysis'!F:F^2+IF(Additional_model="Fixed effect",0,'Publication Bias Analysis'!L$32)),"")</f>
        <v/>
      </c>
      <c r="FW148" s="39" t="str">
        <f>IF(AND(Include_study?="Yes",Sufficient_data="Yes"),'Publication Bias Analysis'!E:E-'Publication Bias Analysis'!I$37,"")</f>
        <v/>
      </c>
      <c r="FX148" s="39" t="str">
        <f>IF(AND(Include_study?="Yes",Sufficient_data="Yes"),IF(Additional_model="Fixed effect",1/'Publication Bias Analysis'!F:F,1/SQRT('Publication Bias Analysis'!F:F^2+GH$12)),"")</f>
        <v/>
      </c>
      <c r="FY14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8" s="136" t="str">
        <f t="shared" si="516"/>
        <v/>
      </c>
      <c r="GA148" s="144" t="str">
        <f>IF(AND(Include_study?="Yes",Sufficient_data="Yes"),FZ:FZ+IF(GL:GL&lt;0,-1,1)*COUNTIF(FZ$2:FZ147,FZ:FZ),"")</f>
        <v/>
      </c>
      <c r="GB148" s="144" t="str">
        <f>IF(AND(Include_study?="Yes",Sufficient_data="Yes"),RANK(GP:GP,GP:GP,1)*IF(GO:GO&lt;0,-1,1)+IF(GO:GO&lt;0,-1,1)*COUNTIF(FZ$2:FZ147,FZ:FZ),"")</f>
        <v/>
      </c>
      <c r="GC148" s="144" t="str">
        <f>IF(AND(Include_study?="Yes",Sufficient_data="Yes"),RANK(GS:GS,GS:GS,1)*IF(GR:GR&lt;0,-1,1)+IF(GR:GR&lt;0,-1,1)*COUNTIF(FZ$2:FZ147,FZ:FZ),"")</f>
        <v/>
      </c>
      <c r="GD148" s="39" t="e">
        <f>IF(AND(Include_study?="Yes",Sufficient_data="Yes"),'Publication Bias Analysis'!E148,NA())</f>
        <v>#N/A</v>
      </c>
      <c r="GE148" s="74" t="e">
        <f>IF(AND(Include_study?="Yes",Sufficient_data="Yes"),'Publication Bias Analysis'!F148,NA())</f>
        <v>#N/A</v>
      </c>
      <c r="GK148" s="176"/>
      <c r="GL14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8" s="39" t="str">
        <f t="shared" si="517"/>
        <v/>
      </c>
      <c r="GN14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8" s="39" t="str">
        <f>IF(AND(Include_study?="Yes",Sufficient_data="Yes"),IF('Publication Bias Analysis'!L$38="Left",'Publication Bias Analysis'!E:E-GW$3,GW$3-'Publication Bias Analysis'!E:E),"")</f>
        <v/>
      </c>
      <c r="GP148" s="39" t="str">
        <f t="shared" si="529"/>
        <v/>
      </c>
      <c r="GQ14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8" s="39" t="str">
        <f>IF(AND(Include_study?="Yes",Sufficient_data="Yes"),IF('Publication Bias Analysis'!L$38="Left",'Publication Bias Analysis'!E:E-GW$10,GW$10-'Publication Bias Analysis'!E:E),"")</f>
        <v/>
      </c>
      <c r="GS148" s="39" t="str">
        <f t="shared" si="530"/>
        <v/>
      </c>
      <c r="GT14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8" s="176"/>
      <c r="HL148" s="69" t="str">
        <f t="shared" si="518"/>
        <v/>
      </c>
      <c r="HM148" s="74" t="str">
        <f>IF(AND(Include_study?="Yes",Sufficient_data="Yes"),Z_score-('Publication Bias Analysis'!P$3+'Publication Bias Analysis'!P$4*Inverse_standard_error),"")</f>
        <v/>
      </c>
      <c r="HO148" s="176"/>
      <c r="HP148" s="69" t="str">
        <f>IF(AND(Include_study?="Yes",Sufficient_data="Yes"),(GD:GD-SUMPRODUCT(Calculations!FT:FT,'Publication Bias Analysis'!E:E)/SUM(Calculations!FT:FT))/SQRT(Calculations!HQ:HQ),"")</f>
        <v/>
      </c>
      <c r="HQ148" s="69" t="str">
        <f>IF(AND(Include_study?="Yes",Sufficient_data="Yes"),GE:GE^2-1/SUM(Calculations!FT:FT),"")</f>
        <v/>
      </c>
      <c r="HR148" s="7" t="str">
        <f t="shared" si="441"/>
        <v/>
      </c>
      <c r="HS148" s="7" t="str">
        <f t="shared" si="442"/>
        <v/>
      </c>
      <c r="HT148" s="7" t="str">
        <f>IF(AND(Include_study?="Yes",Sufficient_data="Yes"),COUNTIFS(HR$2:HR147,"&lt;"&amp;HR148,HS$2:HS147,"&lt;"&amp;HS148)+COUNTIFS(HR149:HR$201,"&lt;"&amp;HR148,HS149:HS$201,"&lt;"&amp;HS148)+COUNTIFS(HR$2:HR147,"&gt;"&amp;HR148,HS$2:HS147,"&gt;"&amp;HS148)+COUNTIFS(HR149:HR$201,"&gt;"&amp;HR148,HS149:HS$201,"&gt;"&amp;HS148),"")</f>
        <v/>
      </c>
      <c r="HU148" s="104" t="str">
        <f>IF(AND(Include_study?="Yes",Sufficient_data="Yes"),COUNTIFS(HR$2:HR147,"&lt;"&amp;HR148,HS$2:HS147,"&gt;"&amp;HS148)+COUNTIFS(HR149:HR$201,"&lt;"&amp;HR148,HS149:HS$201,"&gt;"&amp;HS148)+COUNTIFS(HR$2:HR147,"&gt;"&amp;HR148,HS$2:HS147,"&lt;"&amp;HS148)+COUNTIFS(HR149:HR$201,"&gt;"&amp;HR148,HS149:HS$201,"&lt;"&amp;HS148),"")</f>
        <v/>
      </c>
      <c r="HW148" s="176"/>
      <c r="IB148" s="176"/>
      <c r="IC148" s="146" t="e">
        <f t="shared" si="519"/>
        <v>#N/A</v>
      </c>
      <c r="ID148" s="137" t="e">
        <f t="shared" si="520"/>
        <v>#N/A</v>
      </c>
      <c r="IE148" s="137" t="str">
        <f t="shared" si="521"/>
        <v/>
      </c>
      <c r="IF148" s="95" t="str">
        <f t="shared" si="522"/>
        <v/>
      </c>
      <c r="IK148" s="176"/>
      <c r="IL148" s="69" t="e">
        <f>IF(AND(Include_study?="Yes",Sufficient_data="Yes"),'Publication Bias Analysis'!AV:AV,NA())</f>
        <v>#N/A</v>
      </c>
      <c r="IM148" s="158" t="e">
        <f>IF(AND(Sufficient_data="Yes",Include_study?="Yes"),'Publication Bias Analysis'!AU:AU,NA())</f>
        <v>#N/A</v>
      </c>
      <c r="IN148" s="69" t="str">
        <f t="shared" si="418"/>
        <v/>
      </c>
      <c r="IO148" s="74" t="str">
        <f>IF(AND(Include_study?="Yes",Sufficient_data="Yes"),Z_score-('Publication Bias Analysis'!AY$30+'Publication Bias Analysis'!AY$31*Inverse_standard_error),"")</f>
        <v/>
      </c>
      <c r="IU148" s="176"/>
      <c r="IV148" s="7" t="str">
        <f>IF('Publication Bias Analysis'!BG:BG&lt;&gt;"",RANK('Publication Bias Analysis'!BG:BG,'Publication Bias Analysis'!BG:BG,1)+COUNTIF('Publication Bias Analysis'!BG$2:BG147,'Publication Bias Analysis'!BG148),"")</f>
        <v/>
      </c>
      <c r="IW148" s="124" t="str">
        <f t="shared" si="523"/>
        <v/>
      </c>
      <c r="IX148" s="125" t="e">
        <f>IF('Publication Bias Analysis'!BF148&lt;&gt;"",'Publication Bias Analysis'!BF148,NA())</f>
        <v>#N/A</v>
      </c>
      <c r="IY148" s="125" t="e">
        <f>IF('Publication Bias Analysis'!BG148&lt;&gt;"",'Publication Bias Analysis'!BG148,NA())</f>
        <v>#N/A</v>
      </c>
      <c r="IZ148" s="69" t="str">
        <f>IF(AND(Include_study?="Yes",Sufficient_data="Yes"),'Publication Bias Analysis'!BF:BF-AVERAGE('Publication Bias Analysis'!BF:BF),"")</f>
        <v/>
      </c>
      <c r="JA148" s="74" t="str">
        <f>IF(AND(Include_study?="Yes",Sufficient_data="Yes"),'Publication Bias Analysis'!BG:BG-('Publication Bias Analysis'!BJ$30+'Publication Bias Analysis'!BJ$31*'Publication Bias Analysis'!BF:BF),"")</f>
        <v/>
      </c>
      <c r="JG148" s="176"/>
      <c r="JH148" s="39" t="str">
        <f t="shared" si="524"/>
        <v/>
      </c>
      <c r="JI148" s="148" t="str">
        <f t="shared" si="531"/>
        <v/>
      </c>
      <c r="JJ148" s="74" t="str">
        <f t="shared" si="532"/>
        <v/>
      </c>
    </row>
    <row r="149" spans="1:270" x14ac:dyDescent="0.2">
      <c r="A149" s="56" t="str">
        <f t="shared" si="334"/>
        <v/>
      </c>
      <c r="B149" s="7" t="str">
        <f>IF(AND(Include_study?="Yes",Sufficient_data="Yes"),IF(Input!a_&lt;&gt;"",Input!a_,Input!n1_-Input!b_),"")</f>
        <v/>
      </c>
      <c r="C149" s="7" t="str">
        <f>IF(AND(Include_study?="Yes",Sufficient_data="Yes"),IF(Input!b_&lt;&gt;"",Input!b_,Input!n1_-Input!a_),"")</f>
        <v/>
      </c>
      <c r="D149" s="7" t="str">
        <f>IF(AND(Include_study?="Yes",Sufficient_data="Yes"),IF(Input!c_&lt;&gt;"",Input!c_,Input!n2_-Input!d_),"")</f>
        <v/>
      </c>
      <c r="E149" s="7" t="str">
        <f>IF(AND(Include_study?="Yes",Sufficient_data="Yes"),IF(Input!d_&lt;&gt;"",Input!d_,Input!n2_-Input!c_),"")</f>
        <v/>
      </c>
      <c r="F149" s="74" t="str">
        <f t="shared" si="443"/>
        <v/>
      </c>
      <c r="H149" s="196"/>
      <c r="I149" s="182"/>
      <c r="J149" s="146" t="str">
        <f t="shared" si="444"/>
        <v/>
      </c>
      <c r="K149" s="39" t="str">
        <f t="shared" si="445"/>
        <v/>
      </c>
      <c r="L149" s="39" t="str">
        <f t="shared" si="446"/>
        <v/>
      </c>
      <c r="M149" s="39" t="str">
        <f t="shared" si="447"/>
        <v/>
      </c>
      <c r="N149" s="74" t="str">
        <f t="shared" si="448"/>
        <v/>
      </c>
      <c r="P149" s="176"/>
      <c r="Q149" s="130" t="str">
        <f t="shared" si="449"/>
        <v/>
      </c>
      <c r="R149" s="39" t="str">
        <f t="shared" si="450"/>
        <v/>
      </c>
      <c r="S149" s="39" t="str">
        <f t="shared" si="451"/>
        <v/>
      </c>
      <c r="T149" s="74" t="str">
        <f t="shared" si="452"/>
        <v/>
      </c>
      <c r="V149" s="176"/>
      <c r="W149" s="130" t="str">
        <f t="shared" si="453"/>
        <v/>
      </c>
      <c r="X149" s="39" t="str">
        <f t="shared" si="454"/>
        <v/>
      </c>
      <c r="Y149" s="39" t="str">
        <f t="shared" si="455"/>
        <v/>
      </c>
      <c r="Z149" s="74" t="str">
        <f t="shared" si="456"/>
        <v/>
      </c>
      <c r="AB149" s="176"/>
      <c r="AC149" s="130" t="str">
        <f t="shared" si="457"/>
        <v/>
      </c>
      <c r="AD149" s="39" t="str">
        <f t="shared" si="458"/>
        <v/>
      </c>
      <c r="AE149" s="39" t="str">
        <f t="shared" si="459"/>
        <v/>
      </c>
      <c r="AF149" s="39" t="str">
        <f t="shared" si="460"/>
        <v/>
      </c>
      <c r="AG149" s="74" t="str">
        <f t="shared" si="461"/>
        <v/>
      </c>
      <c r="AI149" s="196"/>
      <c r="AJ14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49" s="136" t="str">
        <f>IF(AJ149&lt;&gt;"",IF(AJ149=0,COUNTIF(AJ$2:AJ148,0)+1,COUNTIF(AJ$2:AJ148,AJ149)+AJ149+COUNTIF(AJ:AJ,0)),"")</f>
        <v/>
      </c>
      <c r="AL149" s="136" t="str">
        <f t="shared" si="462"/>
        <v/>
      </c>
      <c r="AM149" s="155" t="str">
        <f>IF(AND(Include_study?="Yes",Sufficient_data="Yes",Input!Study_name&lt;&gt;""),Input!Study_name,"")</f>
        <v/>
      </c>
      <c r="AN149" s="136" t="str">
        <f t="shared" si="463"/>
        <v/>
      </c>
      <c r="AO149" s="19" t="str">
        <f t="shared" si="464"/>
        <v/>
      </c>
      <c r="AP149" s="158" t="str">
        <f t="shared" si="465"/>
        <v/>
      </c>
      <c r="AQ149" s="158" t="str">
        <f t="shared" si="466"/>
        <v/>
      </c>
      <c r="AR149" s="39" t="str">
        <f t="shared" si="467"/>
        <v/>
      </c>
      <c r="AS149" s="158" t="str">
        <f t="shared" si="468"/>
        <v/>
      </c>
      <c r="AT149" s="39" t="str">
        <f t="shared" si="469"/>
        <v/>
      </c>
      <c r="AU149" s="172" t="str">
        <f t="shared" si="470"/>
        <v/>
      </c>
      <c r="AV149" s="45"/>
      <c r="AW149" s="84" t="e">
        <f t="shared" si="360"/>
        <v>#N/A</v>
      </c>
      <c r="AX149" s="69" t="e">
        <f t="shared" si="471"/>
        <v>#N/A</v>
      </c>
      <c r="AY149" s="74" t="e">
        <f t="shared" si="472"/>
        <v>#N/A</v>
      </c>
      <c r="AZ149" s="45"/>
      <c r="BA149" s="45"/>
      <c r="BB149" s="45"/>
      <c r="BC149" s="45"/>
      <c r="BD149" s="196"/>
      <c r="BE149" s="182"/>
      <c r="BF149" s="69" t="str">
        <f t="shared" si="363"/>
        <v/>
      </c>
      <c r="BG149" s="69" t="str">
        <f t="shared" si="364"/>
        <v/>
      </c>
      <c r="BH149" s="69" t="str">
        <f t="shared" si="365"/>
        <v/>
      </c>
      <c r="BI149" s="39" t="str">
        <f t="shared" si="366"/>
        <v/>
      </c>
      <c r="BJ149" s="95" t="str">
        <f t="shared" si="473"/>
        <v/>
      </c>
      <c r="BO149" s="176"/>
      <c r="BP149" s="158" t="str">
        <f t="shared" si="474"/>
        <v/>
      </c>
      <c r="BQ149" s="158" t="str">
        <f t="shared" si="475"/>
        <v/>
      </c>
      <c r="BR149" s="158" t="str">
        <f t="shared" si="476"/>
        <v/>
      </c>
      <c r="BS149" s="158" t="str">
        <f>IF(AND(Sufficient_data="Yes",Include_study?="Yes"),IF(Add_0_5="Yes",(a_+d_+1)*(ab_+0.5)*(c_+0.5)/(Number_of_subjects+2)^2,(a_+d_)*b_*c_/Number_of_subjects^2),"")</f>
        <v/>
      </c>
      <c r="BT149" s="158" t="str">
        <f t="shared" si="477"/>
        <v/>
      </c>
      <c r="BU149" s="158" t="str">
        <f t="shared" si="478"/>
        <v/>
      </c>
      <c r="BV149" s="158" t="str">
        <f t="shared" si="479"/>
        <v/>
      </c>
      <c r="BW149" s="69" t="str">
        <f t="shared" si="374"/>
        <v/>
      </c>
      <c r="BX149" s="137" t="str">
        <f t="shared" si="375"/>
        <v/>
      </c>
      <c r="BY149" s="95" t="str">
        <f t="shared" si="480"/>
        <v/>
      </c>
      <c r="CD149" s="176"/>
      <c r="CE149" s="130" t="str">
        <f t="shared" si="481"/>
        <v/>
      </c>
      <c r="CF149" s="39" t="str">
        <f t="shared" si="482"/>
        <v/>
      </c>
      <c r="CG149" s="39" t="str">
        <f t="shared" si="483"/>
        <v/>
      </c>
      <c r="CH149" s="39" t="str">
        <f t="shared" si="484"/>
        <v/>
      </c>
      <c r="CI149" s="39" t="str">
        <f t="shared" si="485"/>
        <v/>
      </c>
      <c r="CJ149" s="39" t="str">
        <f t="shared" si="486"/>
        <v/>
      </c>
      <c r="CK149" s="95" t="str">
        <f t="shared" si="487"/>
        <v/>
      </c>
      <c r="CP149" s="176"/>
      <c r="CQ149" s="99" t="str">
        <f t="shared" si="383"/>
        <v/>
      </c>
      <c r="CX149" s="196"/>
      <c r="CY149" s="89" t="e">
        <f t="shared" si="488"/>
        <v>#N/A</v>
      </c>
      <c r="CZ149" s="136" t="str">
        <f t="shared" si="489"/>
        <v/>
      </c>
      <c r="DA149" s="140" t="str">
        <f t="shared" si="490"/>
        <v/>
      </c>
      <c r="DB149" s="39" t="str">
        <f t="shared" si="491"/>
        <v/>
      </c>
      <c r="DC149" s="39" t="str">
        <f t="shared" si="492"/>
        <v/>
      </c>
      <c r="DD149" s="39" t="str">
        <f t="shared" si="493"/>
        <v/>
      </c>
      <c r="DE149" s="39" t="str">
        <f t="shared" si="494"/>
        <v/>
      </c>
      <c r="DF149" s="141" t="str">
        <f t="shared" si="495"/>
        <v/>
      </c>
      <c r="DG149" s="39" t="str">
        <f t="shared" si="496"/>
        <v/>
      </c>
      <c r="DH149" s="39" t="str">
        <f t="shared" si="497"/>
        <v/>
      </c>
      <c r="DI149" s="39" t="str">
        <f t="shared" si="498"/>
        <v/>
      </c>
      <c r="DJ149" s="74" t="str">
        <f t="shared" si="499"/>
        <v/>
      </c>
      <c r="DK149" s="45"/>
      <c r="DL149" s="84" t="e">
        <f t="shared" si="423"/>
        <v>#N/A</v>
      </c>
      <c r="DM149" s="39" t="e">
        <f t="shared" si="500"/>
        <v>#N/A</v>
      </c>
      <c r="DN149" s="74" t="e">
        <f t="shared" si="501"/>
        <v>#N/A</v>
      </c>
      <c r="DO149" s="45"/>
      <c r="DP149" s="89" t="str">
        <f t="shared" si="525"/>
        <v/>
      </c>
      <c r="DQ149" s="26" t="str">
        <f>IF(AND(Sufficient_data="Yes",Subgroup&lt;&gt;""),IF(COUNTIFS(Input!J$2:J148,"="&amp;"Yes",Input!C$2:C148,"="&amp;"Yes",Input!K$2:K148,"="&amp;Subgroup)&gt;0,"",Subgroup),"")</f>
        <v/>
      </c>
      <c r="DR149" s="7" t="str">
        <f t="shared" si="526"/>
        <v/>
      </c>
      <c r="DS149" s="7" t="str">
        <f t="shared" si="502"/>
        <v/>
      </c>
      <c r="DT149" s="19" t="str">
        <f t="shared" si="503"/>
        <v/>
      </c>
      <c r="DU149" s="12" t="str">
        <f t="shared" si="424"/>
        <v/>
      </c>
      <c r="DV149" s="11" t="str">
        <f t="shared" si="425"/>
        <v/>
      </c>
      <c r="DW149" s="12" t="str">
        <f t="shared" si="426"/>
        <v/>
      </c>
      <c r="DX149" s="12" t="str">
        <f t="shared" si="504"/>
        <v/>
      </c>
      <c r="DY149" s="19" t="str">
        <f t="shared" si="427"/>
        <v/>
      </c>
      <c r="DZ149" s="12" t="str">
        <f t="shared" si="428"/>
        <v/>
      </c>
      <c r="EA149" s="19" t="str">
        <f t="shared" si="505"/>
        <v/>
      </c>
      <c r="EB149" s="7" t="str">
        <f t="shared" si="506"/>
        <v/>
      </c>
      <c r="EC149" s="19" t="str">
        <f t="shared" si="507"/>
        <v/>
      </c>
      <c r="ED149" s="19" t="str">
        <f t="shared" si="508"/>
        <v/>
      </c>
      <c r="EE149" s="19" t="str">
        <f t="shared" si="429"/>
        <v/>
      </c>
      <c r="EF149" s="19" t="str">
        <f t="shared" si="430"/>
        <v/>
      </c>
      <c r="EG149" s="19" t="str">
        <f t="shared" si="431"/>
        <v/>
      </c>
      <c r="EH149" s="19" t="str">
        <f t="shared" si="432"/>
        <v/>
      </c>
      <c r="EI149" s="19" t="str">
        <f t="shared" si="433"/>
        <v/>
      </c>
      <c r="EJ149" s="19" t="str">
        <f t="shared" si="509"/>
        <v/>
      </c>
      <c r="EK149" s="19" t="str">
        <f t="shared" si="510"/>
        <v/>
      </c>
      <c r="EL149" s="19" t="str">
        <f t="shared" si="434"/>
        <v/>
      </c>
      <c r="EM149" s="19" t="str">
        <f t="shared" si="435"/>
        <v/>
      </c>
      <c r="EN149" s="19" t="str">
        <f t="shared" si="436"/>
        <v/>
      </c>
      <c r="EO149" s="19" t="str">
        <f t="shared" si="437"/>
        <v/>
      </c>
      <c r="EP149" s="19" t="str">
        <f t="shared" si="438"/>
        <v/>
      </c>
      <c r="EQ149" s="19" t="e">
        <f t="shared" si="439"/>
        <v>#N/A</v>
      </c>
      <c r="ER149" s="11" t="str">
        <f t="shared" si="527"/>
        <v/>
      </c>
      <c r="ES149" s="19" t="str">
        <f t="shared" si="528"/>
        <v/>
      </c>
      <c r="ET149" s="156" t="str">
        <f t="shared" si="511"/>
        <v/>
      </c>
      <c r="EU149" s="39" t="str">
        <f t="shared" si="440"/>
        <v/>
      </c>
      <c r="EV149" s="74" t="str">
        <f t="shared" si="512"/>
        <v/>
      </c>
      <c r="FA149" s="196"/>
      <c r="FB149" s="84" t="e">
        <f>IF(AND(Include_study?="Yes",Sufficient_data="Yes",Moderator&lt;&gt;""),'Moderator Analysis'!E149,NA())</f>
        <v>#N/A</v>
      </c>
      <c r="FC149" s="39" t="e">
        <f>IF(AND(Include_study?="Yes",Sufficient_data="Yes",Moderator&lt;&gt;""),'Moderator Analysis'!F149,NA())</f>
        <v>#N/A</v>
      </c>
      <c r="FD149" s="39" t="str">
        <f t="shared" si="513"/>
        <v/>
      </c>
      <c r="FE149" s="39" t="str">
        <f t="shared" si="514"/>
        <v/>
      </c>
      <c r="FF149" s="39" t="str">
        <f>IF(AND(Include_study?="Yes",Sufficient_data="Yes",Moderator&lt;&gt;""),'Moderator Analysis'!F:F-FP$2,"")</f>
        <v/>
      </c>
      <c r="FG149" s="39" t="str">
        <f>IF(AND(Include_study?="Yes",Sufficient_data="Yes",Moderator&lt;&gt;""),'Moderator Analysis'!E:E-FP$3,"")</f>
        <v/>
      </c>
      <c r="FH149" s="74" t="str">
        <f>IF(AND(Include_study?="Yes",Sufficient_data="Yes",Moderator&lt;&gt;""),FE:FE*('Moderator Analysis'!F:F-FP$5-FP$4*'Moderator Analysis'!E:E)^2,"")</f>
        <v/>
      </c>
      <c r="FI149" s="128"/>
      <c r="FJ149" s="92" t="str">
        <f t="shared" si="515"/>
        <v/>
      </c>
      <c r="FK149" s="137" t="str">
        <f>IF(AND(Include_study?="Yes",Sufficient_data="Yes",Moderator&lt;&gt;""),'Moderator Analysis'!F:F-'Moderator Analysis'!J$37,"")</f>
        <v/>
      </c>
      <c r="FL149" s="137" t="str">
        <f>IF(AND(Include_study?="Yes",Sufficient_data="Yes",Moderator&lt;&gt;""),'Moderator Analysis'!E:E-SUMPRODUCT('Moderator Analysis'!E:E,FJ:FJ)/SUM(FJ:FJ),"")</f>
        <v/>
      </c>
      <c r="FM149" s="95" t="str">
        <f>IF(AND(Include_study?="Yes",Sufficient_data="Yes",Moderator&lt;&gt;""),FJ:FJ*('Moderator Analysis'!F:F-'Moderator Analysis'!J$29-'Moderator Analysis'!J$30*'Moderator Analysis'!E:E)^2,"")</f>
        <v/>
      </c>
      <c r="FR149" s="196"/>
      <c r="FS149" s="182"/>
      <c r="FT14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49" s="39" t="str">
        <f>IF(AND(Include_study?="Yes",Sufficient_data="Yes"),1/('Publication Bias Analysis'!F:F^2+IF(Additional_model="Fixed effect",0,Calculations!GH$12)),"")</f>
        <v/>
      </c>
      <c r="FV149" s="39" t="str">
        <f>IF(AND(Include_study?="Yes",Sufficient_data="Yes"),1/('Publication Bias Analysis'!F:F^2+IF(Additional_model="Fixed effect",0,'Publication Bias Analysis'!L$32)),"")</f>
        <v/>
      </c>
      <c r="FW149" s="39" t="str">
        <f>IF(AND(Include_study?="Yes",Sufficient_data="Yes"),'Publication Bias Analysis'!E:E-'Publication Bias Analysis'!I$37,"")</f>
        <v/>
      </c>
      <c r="FX149" s="39" t="str">
        <f>IF(AND(Include_study?="Yes",Sufficient_data="Yes"),IF(Additional_model="Fixed effect",1/'Publication Bias Analysis'!F:F,1/SQRT('Publication Bias Analysis'!F:F^2+GH$12)),"")</f>
        <v/>
      </c>
      <c r="FY14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49" s="136" t="str">
        <f t="shared" si="516"/>
        <v/>
      </c>
      <c r="GA149" s="144" t="str">
        <f>IF(AND(Include_study?="Yes",Sufficient_data="Yes"),FZ:FZ+IF(GL:GL&lt;0,-1,1)*COUNTIF(FZ$2:FZ148,FZ:FZ),"")</f>
        <v/>
      </c>
      <c r="GB149" s="144" t="str">
        <f>IF(AND(Include_study?="Yes",Sufficient_data="Yes"),RANK(GP:GP,GP:GP,1)*IF(GO:GO&lt;0,-1,1)+IF(GO:GO&lt;0,-1,1)*COUNTIF(FZ$2:FZ148,FZ:FZ),"")</f>
        <v/>
      </c>
      <c r="GC149" s="144" t="str">
        <f>IF(AND(Include_study?="Yes",Sufficient_data="Yes"),RANK(GS:GS,GS:GS,1)*IF(GR:GR&lt;0,-1,1)+IF(GR:GR&lt;0,-1,1)*COUNTIF(FZ$2:FZ148,FZ:FZ),"")</f>
        <v/>
      </c>
      <c r="GD149" s="39" t="e">
        <f>IF(AND(Include_study?="Yes",Sufficient_data="Yes"),'Publication Bias Analysis'!E149,NA())</f>
        <v>#N/A</v>
      </c>
      <c r="GE149" s="74" t="e">
        <f>IF(AND(Include_study?="Yes",Sufficient_data="Yes"),'Publication Bias Analysis'!F149,NA())</f>
        <v>#N/A</v>
      </c>
      <c r="GK149" s="176"/>
      <c r="GL14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49" s="39" t="str">
        <f t="shared" si="517"/>
        <v/>
      </c>
      <c r="GN14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49" s="39" t="str">
        <f>IF(AND(Include_study?="Yes",Sufficient_data="Yes"),IF('Publication Bias Analysis'!L$38="Left",'Publication Bias Analysis'!E:E-GW$3,GW$3-'Publication Bias Analysis'!E:E),"")</f>
        <v/>
      </c>
      <c r="GP149" s="39" t="str">
        <f t="shared" si="529"/>
        <v/>
      </c>
      <c r="GQ14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49" s="39" t="str">
        <f>IF(AND(Include_study?="Yes",Sufficient_data="Yes"),IF('Publication Bias Analysis'!L$38="Left",'Publication Bias Analysis'!E:E-GW$10,GW$10-'Publication Bias Analysis'!E:E),"")</f>
        <v/>
      </c>
      <c r="GS149" s="39" t="str">
        <f t="shared" si="530"/>
        <v/>
      </c>
      <c r="GT14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49" s="176"/>
      <c r="HL149" s="69" t="str">
        <f t="shared" si="518"/>
        <v/>
      </c>
      <c r="HM149" s="74" t="str">
        <f>IF(AND(Include_study?="Yes",Sufficient_data="Yes"),Z_score-('Publication Bias Analysis'!P$3+'Publication Bias Analysis'!P$4*Inverse_standard_error),"")</f>
        <v/>
      </c>
      <c r="HO149" s="176"/>
      <c r="HP149" s="69" t="str">
        <f>IF(AND(Include_study?="Yes",Sufficient_data="Yes"),(GD:GD-SUMPRODUCT(Calculations!FT:FT,'Publication Bias Analysis'!E:E)/SUM(Calculations!FT:FT))/SQRT(Calculations!HQ:HQ),"")</f>
        <v/>
      </c>
      <c r="HQ149" s="69" t="str">
        <f>IF(AND(Include_study?="Yes",Sufficient_data="Yes"),GE:GE^2-1/SUM(Calculations!FT:FT),"")</f>
        <v/>
      </c>
      <c r="HR149" s="7" t="str">
        <f t="shared" si="441"/>
        <v/>
      </c>
      <c r="HS149" s="7" t="str">
        <f t="shared" si="442"/>
        <v/>
      </c>
      <c r="HT149" s="7" t="str">
        <f>IF(AND(Include_study?="Yes",Sufficient_data="Yes"),COUNTIFS(HR$2:HR148,"&lt;"&amp;HR149,HS$2:HS148,"&lt;"&amp;HS149)+COUNTIFS(HR150:HR$201,"&lt;"&amp;HR149,HS150:HS$201,"&lt;"&amp;HS149)+COUNTIFS(HR$2:HR148,"&gt;"&amp;HR149,HS$2:HS148,"&gt;"&amp;HS149)+COUNTIFS(HR150:HR$201,"&gt;"&amp;HR149,HS150:HS$201,"&gt;"&amp;HS149),"")</f>
        <v/>
      </c>
      <c r="HU149" s="104" t="str">
        <f>IF(AND(Include_study?="Yes",Sufficient_data="Yes"),COUNTIFS(HR$2:HR148,"&lt;"&amp;HR149,HS$2:HS148,"&gt;"&amp;HS149)+COUNTIFS(HR150:HR$201,"&lt;"&amp;HR149,HS150:HS$201,"&gt;"&amp;HS149)+COUNTIFS(HR$2:HR148,"&gt;"&amp;HR149,HS$2:HS148,"&lt;"&amp;HS149)+COUNTIFS(HR150:HR$201,"&gt;"&amp;HR149,HS150:HS$201,"&lt;"&amp;HS149),"")</f>
        <v/>
      </c>
      <c r="HW149" s="176"/>
      <c r="IB149" s="176"/>
      <c r="IC149" s="146" t="e">
        <f t="shared" si="519"/>
        <v>#N/A</v>
      </c>
      <c r="ID149" s="137" t="e">
        <f t="shared" si="520"/>
        <v>#N/A</v>
      </c>
      <c r="IE149" s="137" t="str">
        <f t="shared" si="521"/>
        <v/>
      </c>
      <c r="IF149" s="95" t="str">
        <f t="shared" si="522"/>
        <v/>
      </c>
      <c r="IK149" s="176"/>
      <c r="IL149" s="69" t="e">
        <f>IF(AND(Include_study?="Yes",Sufficient_data="Yes"),'Publication Bias Analysis'!AV:AV,NA())</f>
        <v>#N/A</v>
      </c>
      <c r="IM149" s="158" t="e">
        <f>IF(AND(Sufficient_data="Yes",Include_study?="Yes"),'Publication Bias Analysis'!AU:AU,NA())</f>
        <v>#N/A</v>
      </c>
      <c r="IN149" s="69" t="str">
        <f t="shared" si="418"/>
        <v/>
      </c>
      <c r="IO149" s="74" t="str">
        <f>IF(AND(Include_study?="Yes",Sufficient_data="Yes"),Z_score-('Publication Bias Analysis'!AY$30+'Publication Bias Analysis'!AY$31*Inverse_standard_error),"")</f>
        <v/>
      </c>
      <c r="IU149" s="176"/>
      <c r="IV149" s="7" t="str">
        <f>IF('Publication Bias Analysis'!BG:BG&lt;&gt;"",RANK('Publication Bias Analysis'!BG:BG,'Publication Bias Analysis'!BG:BG,1)+COUNTIF('Publication Bias Analysis'!BG$2:BG148,'Publication Bias Analysis'!BG149),"")</f>
        <v/>
      </c>
      <c r="IW149" s="124" t="str">
        <f t="shared" si="523"/>
        <v/>
      </c>
      <c r="IX149" s="125" t="e">
        <f>IF('Publication Bias Analysis'!BF149&lt;&gt;"",'Publication Bias Analysis'!BF149,NA())</f>
        <v>#N/A</v>
      </c>
      <c r="IY149" s="125" t="e">
        <f>IF('Publication Bias Analysis'!BG149&lt;&gt;"",'Publication Bias Analysis'!BG149,NA())</f>
        <v>#N/A</v>
      </c>
      <c r="IZ149" s="69" t="str">
        <f>IF(AND(Include_study?="Yes",Sufficient_data="Yes"),'Publication Bias Analysis'!BF:BF-AVERAGE('Publication Bias Analysis'!BF:BF),"")</f>
        <v/>
      </c>
      <c r="JA149" s="74" t="str">
        <f>IF(AND(Include_study?="Yes",Sufficient_data="Yes"),'Publication Bias Analysis'!BG:BG-('Publication Bias Analysis'!BJ$30+'Publication Bias Analysis'!BJ$31*'Publication Bias Analysis'!BF:BF),"")</f>
        <v/>
      </c>
      <c r="JG149" s="176"/>
      <c r="JH149" s="39" t="str">
        <f t="shared" si="524"/>
        <v/>
      </c>
      <c r="JI149" s="148" t="str">
        <f t="shared" si="531"/>
        <v/>
      </c>
      <c r="JJ149" s="74" t="str">
        <f t="shared" si="532"/>
        <v/>
      </c>
    </row>
    <row r="150" spans="1:270" x14ac:dyDescent="0.2">
      <c r="A150" s="56" t="str">
        <f t="shared" si="334"/>
        <v/>
      </c>
      <c r="B150" s="7" t="str">
        <f>IF(AND(Include_study?="Yes",Sufficient_data="Yes"),IF(Input!a_&lt;&gt;"",Input!a_,Input!n1_-Input!b_),"")</f>
        <v/>
      </c>
      <c r="C150" s="7" t="str">
        <f>IF(AND(Include_study?="Yes",Sufficient_data="Yes"),IF(Input!b_&lt;&gt;"",Input!b_,Input!n1_-Input!a_),"")</f>
        <v/>
      </c>
      <c r="D150" s="7" t="str">
        <f>IF(AND(Include_study?="Yes",Sufficient_data="Yes"),IF(Input!c_&lt;&gt;"",Input!c_,Input!n2_-Input!d_),"")</f>
        <v/>
      </c>
      <c r="E150" s="7" t="str">
        <f>IF(AND(Include_study?="Yes",Sufficient_data="Yes"),IF(Input!d_&lt;&gt;"",Input!d_,Input!n2_-Input!c_),"")</f>
        <v/>
      </c>
      <c r="F150" s="74" t="str">
        <f t="shared" si="443"/>
        <v/>
      </c>
      <c r="H150" s="196"/>
      <c r="I150" s="182"/>
      <c r="J150" s="146" t="str">
        <f t="shared" si="444"/>
        <v/>
      </c>
      <c r="K150" s="39" t="str">
        <f t="shared" si="445"/>
        <v/>
      </c>
      <c r="L150" s="39" t="str">
        <f t="shared" si="446"/>
        <v/>
      </c>
      <c r="M150" s="39" t="str">
        <f t="shared" si="447"/>
        <v/>
      </c>
      <c r="N150" s="74" t="str">
        <f t="shared" si="448"/>
        <v/>
      </c>
      <c r="P150" s="176"/>
      <c r="Q150" s="130" t="str">
        <f t="shared" si="449"/>
        <v/>
      </c>
      <c r="R150" s="39" t="str">
        <f t="shared" si="450"/>
        <v/>
      </c>
      <c r="S150" s="39" t="str">
        <f t="shared" si="451"/>
        <v/>
      </c>
      <c r="T150" s="74" t="str">
        <f t="shared" si="452"/>
        <v/>
      </c>
      <c r="V150" s="176"/>
      <c r="W150" s="130" t="str">
        <f t="shared" si="453"/>
        <v/>
      </c>
      <c r="X150" s="39" t="str">
        <f t="shared" si="454"/>
        <v/>
      </c>
      <c r="Y150" s="39" t="str">
        <f t="shared" si="455"/>
        <v/>
      </c>
      <c r="Z150" s="74" t="str">
        <f t="shared" si="456"/>
        <v/>
      </c>
      <c r="AB150" s="176"/>
      <c r="AC150" s="130" t="str">
        <f t="shared" si="457"/>
        <v/>
      </c>
      <c r="AD150" s="39" t="str">
        <f t="shared" si="458"/>
        <v/>
      </c>
      <c r="AE150" s="39" t="str">
        <f t="shared" si="459"/>
        <v/>
      </c>
      <c r="AF150" s="39" t="str">
        <f t="shared" si="460"/>
        <v/>
      </c>
      <c r="AG150" s="74" t="str">
        <f t="shared" si="461"/>
        <v/>
      </c>
      <c r="AI150" s="196"/>
      <c r="AJ15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0" s="136" t="str">
        <f>IF(AJ150&lt;&gt;"",IF(AJ150=0,COUNTIF(AJ$2:AJ149,0)+1,COUNTIF(AJ$2:AJ149,AJ150)+AJ150+COUNTIF(AJ:AJ,0)),"")</f>
        <v/>
      </c>
      <c r="AL150" s="136" t="str">
        <f t="shared" si="462"/>
        <v/>
      </c>
      <c r="AM150" s="155" t="str">
        <f>IF(AND(Include_study?="Yes",Sufficient_data="Yes",Input!Study_name&lt;&gt;""),Input!Study_name,"")</f>
        <v/>
      </c>
      <c r="AN150" s="136" t="str">
        <f t="shared" si="463"/>
        <v/>
      </c>
      <c r="AO150" s="19" t="str">
        <f t="shared" si="464"/>
        <v/>
      </c>
      <c r="AP150" s="158" t="str">
        <f t="shared" si="465"/>
        <v/>
      </c>
      <c r="AQ150" s="158" t="str">
        <f t="shared" si="466"/>
        <v/>
      </c>
      <c r="AR150" s="39" t="str">
        <f t="shared" si="467"/>
        <v/>
      </c>
      <c r="AS150" s="158" t="str">
        <f t="shared" si="468"/>
        <v/>
      </c>
      <c r="AT150" s="39" t="str">
        <f t="shared" si="469"/>
        <v/>
      </c>
      <c r="AU150" s="172" t="str">
        <f t="shared" si="470"/>
        <v/>
      </c>
      <c r="AV150" s="45"/>
      <c r="AW150" s="84" t="e">
        <f t="shared" si="360"/>
        <v>#N/A</v>
      </c>
      <c r="AX150" s="69" t="e">
        <f t="shared" si="471"/>
        <v>#N/A</v>
      </c>
      <c r="AY150" s="74" t="e">
        <f t="shared" si="472"/>
        <v>#N/A</v>
      </c>
      <c r="AZ150" s="45"/>
      <c r="BA150" s="45"/>
      <c r="BB150" s="45"/>
      <c r="BC150" s="45"/>
      <c r="BD150" s="196"/>
      <c r="BE150" s="182"/>
      <c r="BF150" s="69" t="str">
        <f t="shared" si="363"/>
        <v/>
      </c>
      <c r="BG150" s="69" t="str">
        <f t="shared" si="364"/>
        <v/>
      </c>
      <c r="BH150" s="69" t="str">
        <f t="shared" si="365"/>
        <v/>
      </c>
      <c r="BI150" s="39" t="str">
        <f t="shared" si="366"/>
        <v/>
      </c>
      <c r="BJ150" s="95" t="str">
        <f t="shared" si="473"/>
        <v/>
      </c>
      <c r="BO150" s="176"/>
      <c r="BP150" s="158" t="str">
        <f t="shared" si="474"/>
        <v/>
      </c>
      <c r="BQ150" s="158" t="str">
        <f t="shared" si="475"/>
        <v/>
      </c>
      <c r="BR150" s="158" t="str">
        <f t="shared" si="476"/>
        <v/>
      </c>
      <c r="BS150" s="158" t="str">
        <f>IF(AND(Sufficient_data="Yes",Include_study?="Yes"),IF(Add_0_5="Yes",(a_+d_+1)*(ab_+0.5)*(c_+0.5)/(Number_of_subjects+2)^2,(a_+d_)*b_*c_/Number_of_subjects^2),"")</f>
        <v/>
      </c>
      <c r="BT150" s="158" t="str">
        <f t="shared" si="477"/>
        <v/>
      </c>
      <c r="BU150" s="158" t="str">
        <f t="shared" si="478"/>
        <v/>
      </c>
      <c r="BV150" s="158" t="str">
        <f t="shared" si="479"/>
        <v/>
      </c>
      <c r="BW150" s="69" t="str">
        <f t="shared" si="374"/>
        <v/>
      </c>
      <c r="BX150" s="137" t="str">
        <f t="shared" si="375"/>
        <v/>
      </c>
      <c r="BY150" s="95" t="str">
        <f t="shared" si="480"/>
        <v/>
      </c>
      <c r="CD150" s="176"/>
      <c r="CE150" s="130" t="str">
        <f t="shared" si="481"/>
        <v/>
      </c>
      <c r="CF150" s="39" t="str">
        <f t="shared" si="482"/>
        <v/>
      </c>
      <c r="CG150" s="39" t="str">
        <f t="shared" si="483"/>
        <v/>
      </c>
      <c r="CH150" s="39" t="str">
        <f t="shared" si="484"/>
        <v/>
      </c>
      <c r="CI150" s="39" t="str">
        <f t="shared" si="485"/>
        <v/>
      </c>
      <c r="CJ150" s="39" t="str">
        <f t="shared" si="486"/>
        <v/>
      </c>
      <c r="CK150" s="95" t="str">
        <f t="shared" si="487"/>
        <v/>
      </c>
      <c r="CP150" s="176"/>
      <c r="CQ150" s="99" t="str">
        <f t="shared" si="383"/>
        <v/>
      </c>
      <c r="CX150" s="196"/>
      <c r="CY150" s="89" t="e">
        <f t="shared" si="488"/>
        <v>#N/A</v>
      </c>
      <c r="CZ150" s="136" t="str">
        <f t="shared" si="489"/>
        <v/>
      </c>
      <c r="DA150" s="140" t="str">
        <f t="shared" si="490"/>
        <v/>
      </c>
      <c r="DB150" s="39" t="str">
        <f t="shared" si="491"/>
        <v/>
      </c>
      <c r="DC150" s="39" t="str">
        <f t="shared" si="492"/>
        <v/>
      </c>
      <c r="DD150" s="39" t="str">
        <f t="shared" si="493"/>
        <v/>
      </c>
      <c r="DE150" s="39" t="str">
        <f t="shared" si="494"/>
        <v/>
      </c>
      <c r="DF150" s="141" t="str">
        <f t="shared" si="495"/>
        <v/>
      </c>
      <c r="DG150" s="39" t="str">
        <f t="shared" si="496"/>
        <v/>
      </c>
      <c r="DH150" s="39" t="str">
        <f t="shared" si="497"/>
        <v/>
      </c>
      <c r="DI150" s="39" t="str">
        <f t="shared" si="498"/>
        <v/>
      </c>
      <c r="DJ150" s="74" t="str">
        <f t="shared" si="499"/>
        <v/>
      </c>
      <c r="DK150" s="45"/>
      <c r="DL150" s="84" t="e">
        <f t="shared" si="423"/>
        <v>#N/A</v>
      </c>
      <c r="DM150" s="39" t="e">
        <f t="shared" si="500"/>
        <v>#N/A</v>
      </c>
      <c r="DN150" s="74" t="e">
        <f t="shared" si="501"/>
        <v>#N/A</v>
      </c>
      <c r="DO150" s="45"/>
      <c r="DP150" s="89" t="str">
        <f t="shared" si="525"/>
        <v/>
      </c>
      <c r="DQ150" s="26" t="str">
        <f>IF(AND(Sufficient_data="Yes",Subgroup&lt;&gt;""),IF(COUNTIFS(Input!J$2:J149,"="&amp;"Yes",Input!C$2:C149,"="&amp;"Yes",Input!K$2:K149,"="&amp;Subgroup)&gt;0,"",Subgroup),"")</f>
        <v/>
      </c>
      <c r="DR150" s="7" t="str">
        <f t="shared" si="526"/>
        <v/>
      </c>
      <c r="DS150" s="7" t="str">
        <f t="shared" si="502"/>
        <v/>
      </c>
      <c r="DT150" s="19" t="str">
        <f t="shared" si="503"/>
        <v/>
      </c>
      <c r="DU150" s="12" t="str">
        <f t="shared" si="424"/>
        <v/>
      </c>
      <c r="DV150" s="11" t="str">
        <f t="shared" si="425"/>
        <v/>
      </c>
      <c r="DW150" s="12" t="str">
        <f t="shared" si="426"/>
        <v/>
      </c>
      <c r="DX150" s="12" t="str">
        <f t="shared" si="504"/>
        <v/>
      </c>
      <c r="DY150" s="19" t="str">
        <f t="shared" si="427"/>
        <v/>
      </c>
      <c r="DZ150" s="12" t="str">
        <f t="shared" si="428"/>
        <v/>
      </c>
      <c r="EA150" s="19" t="str">
        <f t="shared" si="505"/>
        <v/>
      </c>
      <c r="EB150" s="7" t="str">
        <f t="shared" si="506"/>
        <v/>
      </c>
      <c r="EC150" s="19" t="str">
        <f t="shared" si="507"/>
        <v/>
      </c>
      <c r="ED150" s="19" t="str">
        <f t="shared" si="508"/>
        <v/>
      </c>
      <c r="EE150" s="19" t="str">
        <f t="shared" si="429"/>
        <v/>
      </c>
      <c r="EF150" s="19" t="str">
        <f t="shared" si="430"/>
        <v/>
      </c>
      <c r="EG150" s="19" t="str">
        <f t="shared" si="431"/>
        <v/>
      </c>
      <c r="EH150" s="19" t="str">
        <f t="shared" si="432"/>
        <v/>
      </c>
      <c r="EI150" s="19" t="str">
        <f t="shared" si="433"/>
        <v/>
      </c>
      <c r="EJ150" s="19" t="str">
        <f t="shared" si="509"/>
        <v/>
      </c>
      <c r="EK150" s="19" t="str">
        <f t="shared" si="510"/>
        <v/>
      </c>
      <c r="EL150" s="19" t="str">
        <f t="shared" si="434"/>
        <v/>
      </c>
      <c r="EM150" s="19" t="str">
        <f t="shared" si="435"/>
        <v/>
      </c>
      <c r="EN150" s="19" t="str">
        <f t="shared" si="436"/>
        <v/>
      </c>
      <c r="EO150" s="19" t="str">
        <f t="shared" si="437"/>
        <v/>
      </c>
      <c r="EP150" s="19" t="str">
        <f t="shared" si="438"/>
        <v/>
      </c>
      <c r="EQ150" s="19" t="e">
        <f t="shared" si="439"/>
        <v>#N/A</v>
      </c>
      <c r="ER150" s="11" t="str">
        <f t="shared" si="527"/>
        <v/>
      </c>
      <c r="ES150" s="19" t="str">
        <f t="shared" si="528"/>
        <v/>
      </c>
      <c r="ET150" s="156" t="str">
        <f t="shared" si="511"/>
        <v/>
      </c>
      <c r="EU150" s="39" t="str">
        <f t="shared" si="440"/>
        <v/>
      </c>
      <c r="EV150" s="74" t="str">
        <f t="shared" si="512"/>
        <v/>
      </c>
      <c r="FA150" s="196"/>
      <c r="FB150" s="84" t="e">
        <f>IF(AND(Include_study?="Yes",Sufficient_data="Yes",Moderator&lt;&gt;""),'Moderator Analysis'!E150,NA())</f>
        <v>#N/A</v>
      </c>
      <c r="FC150" s="39" t="e">
        <f>IF(AND(Include_study?="Yes",Sufficient_data="Yes",Moderator&lt;&gt;""),'Moderator Analysis'!F150,NA())</f>
        <v>#N/A</v>
      </c>
      <c r="FD150" s="39" t="str">
        <f t="shared" si="513"/>
        <v/>
      </c>
      <c r="FE150" s="39" t="str">
        <f t="shared" si="514"/>
        <v/>
      </c>
      <c r="FF150" s="39" t="str">
        <f>IF(AND(Include_study?="Yes",Sufficient_data="Yes",Moderator&lt;&gt;""),'Moderator Analysis'!F:F-FP$2,"")</f>
        <v/>
      </c>
      <c r="FG150" s="39" t="str">
        <f>IF(AND(Include_study?="Yes",Sufficient_data="Yes",Moderator&lt;&gt;""),'Moderator Analysis'!E:E-FP$3,"")</f>
        <v/>
      </c>
      <c r="FH150" s="74" t="str">
        <f>IF(AND(Include_study?="Yes",Sufficient_data="Yes",Moderator&lt;&gt;""),FE:FE*('Moderator Analysis'!F:F-FP$5-FP$4*'Moderator Analysis'!E:E)^2,"")</f>
        <v/>
      </c>
      <c r="FI150" s="128"/>
      <c r="FJ150" s="92" t="str">
        <f t="shared" si="515"/>
        <v/>
      </c>
      <c r="FK150" s="137" t="str">
        <f>IF(AND(Include_study?="Yes",Sufficient_data="Yes",Moderator&lt;&gt;""),'Moderator Analysis'!F:F-'Moderator Analysis'!J$37,"")</f>
        <v/>
      </c>
      <c r="FL150" s="137" t="str">
        <f>IF(AND(Include_study?="Yes",Sufficient_data="Yes",Moderator&lt;&gt;""),'Moderator Analysis'!E:E-SUMPRODUCT('Moderator Analysis'!E:E,FJ:FJ)/SUM(FJ:FJ),"")</f>
        <v/>
      </c>
      <c r="FM150" s="95" t="str">
        <f>IF(AND(Include_study?="Yes",Sufficient_data="Yes",Moderator&lt;&gt;""),FJ:FJ*('Moderator Analysis'!F:F-'Moderator Analysis'!J$29-'Moderator Analysis'!J$30*'Moderator Analysis'!E:E)^2,"")</f>
        <v/>
      </c>
      <c r="FR150" s="196"/>
      <c r="FS150" s="182"/>
      <c r="FT15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0" s="39" t="str">
        <f>IF(AND(Include_study?="Yes",Sufficient_data="Yes"),1/('Publication Bias Analysis'!F:F^2+IF(Additional_model="Fixed effect",0,Calculations!GH$12)),"")</f>
        <v/>
      </c>
      <c r="FV150" s="39" t="str">
        <f>IF(AND(Include_study?="Yes",Sufficient_data="Yes"),1/('Publication Bias Analysis'!F:F^2+IF(Additional_model="Fixed effect",0,'Publication Bias Analysis'!L$32)),"")</f>
        <v/>
      </c>
      <c r="FW150" s="39" t="str">
        <f>IF(AND(Include_study?="Yes",Sufficient_data="Yes"),'Publication Bias Analysis'!E:E-'Publication Bias Analysis'!I$37,"")</f>
        <v/>
      </c>
      <c r="FX150" s="39" t="str">
        <f>IF(AND(Include_study?="Yes",Sufficient_data="Yes"),IF(Additional_model="Fixed effect",1/'Publication Bias Analysis'!F:F,1/SQRT('Publication Bias Analysis'!F:F^2+GH$12)),"")</f>
        <v/>
      </c>
      <c r="FY15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0" s="136" t="str">
        <f t="shared" si="516"/>
        <v/>
      </c>
      <c r="GA150" s="144" t="str">
        <f>IF(AND(Include_study?="Yes",Sufficient_data="Yes"),FZ:FZ+IF(GL:GL&lt;0,-1,1)*COUNTIF(FZ$2:FZ149,FZ:FZ),"")</f>
        <v/>
      </c>
      <c r="GB150" s="144" t="str">
        <f>IF(AND(Include_study?="Yes",Sufficient_data="Yes"),RANK(GP:GP,GP:GP,1)*IF(GO:GO&lt;0,-1,1)+IF(GO:GO&lt;0,-1,1)*COUNTIF(FZ$2:FZ149,FZ:FZ),"")</f>
        <v/>
      </c>
      <c r="GC150" s="144" t="str">
        <f>IF(AND(Include_study?="Yes",Sufficient_data="Yes"),RANK(GS:GS,GS:GS,1)*IF(GR:GR&lt;0,-1,1)+IF(GR:GR&lt;0,-1,1)*COUNTIF(FZ$2:FZ149,FZ:FZ),"")</f>
        <v/>
      </c>
      <c r="GD150" s="39" t="e">
        <f>IF(AND(Include_study?="Yes",Sufficient_data="Yes"),'Publication Bias Analysis'!E150,NA())</f>
        <v>#N/A</v>
      </c>
      <c r="GE150" s="74" t="e">
        <f>IF(AND(Include_study?="Yes",Sufficient_data="Yes"),'Publication Bias Analysis'!F150,NA())</f>
        <v>#N/A</v>
      </c>
      <c r="GK150" s="176"/>
      <c r="GL15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0" s="39" t="str">
        <f t="shared" si="517"/>
        <v/>
      </c>
      <c r="GN15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0" s="39" t="str">
        <f>IF(AND(Include_study?="Yes",Sufficient_data="Yes"),IF('Publication Bias Analysis'!L$38="Left",'Publication Bias Analysis'!E:E-GW$3,GW$3-'Publication Bias Analysis'!E:E),"")</f>
        <v/>
      </c>
      <c r="GP150" s="39" t="str">
        <f t="shared" si="529"/>
        <v/>
      </c>
      <c r="GQ15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0" s="39" t="str">
        <f>IF(AND(Include_study?="Yes",Sufficient_data="Yes"),IF('Publication Bias Analysis'!L$38="Left",'Publication Bias Analysis'!E:E-GW$10,GW$10-'Publication Bias Analysis'!E:E),"")</f>
        <v/>
      </c>
      <c r="GS150" s="39" t="str">
        <f t="shared" si="530"/>
        <v/>
      </c>
      <c r="GT15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0" s="176"/>
      <c r="HL150" s="69" t="str">
        <f t="shared" si="518"/>
        <v/>
      </c>
      <c r="HM150" s="74" t="str">
        <f>IF(AND(Include_study?="Yes",Sufficient_data="Yes"),Z_score-('Publication Bias Analysis'!P$3+'Publication Bias Analysis'!P$4*Inverse_standard_error),"")</f>
        <v/>
      </c>
      <c r="HO150" s="176"/>
      <c r="HP150" s="69" t="str">
        <f>IF(AND(Include_study?="Yes",Sufficient_data="Yes"),(GD:GD-SUMPRODUCT(Calculations!FT:FT,'Publication Bias Analysis'!E:E)/SUM(Calculations!FT:FT))/SQRT(Calculations!HQ:HQ),"")</f>
        <v/>
      </c>
      <c r="HQ150" s="69" t="str">
        <f>IF(AND(Include_study?="Yes",Sufficient_data="Yes"),GE:GE^2-1/SUM(Calculations!FT:FT),"")</f>
        <v/>
      </c>
      <c r="HR150" s="7" t="str">
        <f t="shared" si="441"/>
        <v/>
      </c>
      <c r="HS150" s="7" t="str">
        <f t="shared" si="442"/>
        <v/>
      </c>
      <c r="HT150" s="7" t="str">
        <f>IF(AND(Include_study?="Yes",Sufficient_data="Yes"),COUNTIFS(HR$2:HR149,"&lt;"&amp;HR150,HS$2:HS149,"&lt;"&amp;HS150)+COUNTIFS(HR151:HR$201,"&lt;"&amp;HR150,HS151:HS$201,"&lt;"&amp;HS150)+COUNTIFS(HR$2:HR149,"&gt;"&amp;HR150,HS$2:HS149,"&gt;"&amp;HS150)+COUNTIFS(HR151:HR$201,"&gt;"&amp;HR150,HS151:HS$201,"&gt;"&amp;HS150),"")</f>
        <v/>
      </c>
      <c r="HU150" s="104" t="str">
        <f>IF(AND(Include_study?="Yes",Sufficient_data="Yes"),COUNTIFS(HR$2:HR149,"&lt;"&amp;HR150,HS$2:HS149,"&gt;"&amp;HS150)+COUNTIFS(HR151:HR$201,"&lt;"&amp;HR150,HS151:HS$201,"&gt;"&amp;HS150)+COUNTIFS(HR$2:HR149,"&gt;"&amp;HR150,HS$2:HS149,"&lt;"&amp;HS150)+COUNTIFS(HR151:HR$201,"&gt;"&amp;HR150,HS151:HS$201,"&lt;"&amp;HS150),"")</f>
        <v/>
      </c>
      <c r="HW150" s="176"/>
      <c r="IB150" s="176"/>
      <c r="IC150" s="146" t="e">
        <f t="shared" si="519"/>
        <v>#N/A</v>
      </c>
      <c r="ID150" s="137" t="e">
        <f t="shared" si="520"/>
        <v>#N/A</v>
      </c>
      <c r="IE150" s="137" t="str">
        <f t="shared" si="521"/>
        <v/>
      </c>
      <c r="IF150" s="95" t="str">
        <f t="shared" si="522"/>
        <v/>
      </c>
      <c r="IK150" s="176"/>
      <c r="IL150" s="69" t="e">
        <f>IF(AND(Include_study?="Yes",Sufficient_data="Yes"),'Publication Bias Analysis'!AV:AV,NA())</f>
        <v>#N/A</v>
      </c>
      <c r="IM150" s="158" t="e">
        <f>IF(AND(Sufficient_data="Yes",Include_study?="Yes"),'Publication Bias Analysis'!AU:AU,NA())</f>
        <v>#N/A</v>
      </c>
      <c r="IN150" s="69" t="str">
        <f t="shared" si="418"/>
        <v/>
      </c>
      <c r="IO150" s="74" t="str">
        <f>IF(AND(Include_study?="Yes",Sufficient_data="Yes"),Z_score-('Publication Bias Analysis'!AY$30+'Publication Bias Analysis'!AY$31*Inverse_standard_error),"")</f>
        <v/>
      </c>
      <c r="IU150" s="176"/>
      <c r="IV150" s="7" t="str">
        <f>IF('Publication Bias Analysis'!BG:BG&lt;&gt;"",RANK('Publication Bias Analysis'!BG:BG,'Publication Bias Analysis'!BG:BG,1)+COUNTIF('Publication Bias Analysis'!BG$2:BG149,'Publication Bias Analysis'!BG150),"")</f>
        <v/>
      </c>
      <c r="IW150" s="124" t="str">
        <f t="shared" si="523"/>
        <v/>
      </c>
      <c r="IX150" s="125" t="e">
        <f>IF('Publication Bias Analysis'!BF150&lt;&gt;"",'Publication Bias Analysis'!BF150,NA())</f>
        <v>#N/A</v>
      </c>
      <c r="IY150" s="125" t="e">
        <f>IF('Publication Bias Analysis'!BG150&lt;&gt;"",'Publication Bias Analysis'!BG150,NA())</f>
        <v>#N/A</v>
      </c>
      <c r="IZ150" s="69" t="str">
        <f>IF(AND(Include_study?="Yes",Sufficient_data="Yes"),'Publication Bias Analysis'!BF:BF-AVERAGE('Publication Bias Analysis'!BF:BF),"")</f>
        <v/>
      </c>
      <c r="JA150" s="74" t="str">
        <f>IF(AND(Include_study?="Yes",Sufficient_data="Yes"),'Publication Bias Analysis'!BG:BG-('Publication Bias Analysis'!BJ$30+'Publication Bias Analysis'!BJ$31*'Publication Bias Analysis'!BF:BF),"")</f>
        <v/>
      </c>
      <c r="JG150" s="176"/>
      <c r="JH150" s="39" t="str">
        <f t="shared" si="524"/>
        <v/>
      </c>
      <c r="JI150" s="148" t="str">
        <f t="shared" si="531"/>
        <v/>
      </c>
      <c r="JJ150" s="74" t="str">
        <f t="shared" si="532"/>
        <v/>
      </c>
    </row>
    <row r="151" spans="1:270" x14ac:dyDescent="0.2">
      <c r="A151" s="56" t="str">
        <f t="shared" si="334"/>
        <v/>
      </c>
      <c r="B151" s="7" t="str">
        <f>IF(AND(Include_study?="Yes",Sufficient_data="Yes"),IF(Input!a_&lt;&gt;"",Input!a_,Input!n1_-Input!b_),"")</f>
        <v/>
      </c>
      <c r="C151" s="7" t="str">
        <f>IF(AND(Include_study?="Yes",Sufficient_data="Yes"),IF(Input!b_&lt;&gt;"",Input!b_,Input!n1_-Input!a_),"")</f>
        <v/>
      </c>
      <c r="D151" s="7" t="str">
        <f>IF(AND(Include_study?="Yes",Sufficient_data="Yes"),IF(Input!c_&lt;&gt;"",Input!c_,Input!n2_-Input!d_),"")</f>
        <v/>
      </c>
      <c r="E151" s="7" t="str">
        <f>IF(AND(Include_study?="Yes",Sufficient_data="Yes"),IF(Input!d_&lt;&gt;"",Input!d_,Input!n2_-Input!c_),"")</f>
        <v/>
      </c>
      <c r="F151" s="74" t="str">
        <f t="shared" si="443"/>
        <v/>
      </c>
      <c r="H151" s="196"/>
      <c r="I151" s="182"/>
      <c r="J151" s="146" t="str">
        <f t="shared" si="444"/>
        <v/>
      </c>
      <c r="K151" s="39" t="str">
        <f t="shared" si="445"/>
        <v/>
      </c>
      <c r="L151" s="39" t="str">
        <f t="shared" si="446"/>
        <v/>
      </c>
      <c r="M151" s="39" t="str">
        <f t="shared" si="447"/>
        <v/>
      </c>
      <c r="N151" s="74" t="str">
        <f t="shared" si="448"/>
        <v/>
      </c>
      <c r="P151" s="176"/>
      <c r="Q151" s="130" t="str">
        <f t="shared" si="449"/>
        <v/>
      </c>
      <c r="R151" s="39" t="str">
        <f t="shared" si="450"/>
        <v/>
      </c>
      <c r="S151" s="39" t="str">
        <f t="shared" si="451"/>
        <v/>
      </c>
      <c r="T151" s="74" t="str">
        <f t="shared" si="452"/>
        <v/>
      </c>
      <c r="V151" s="176"/>
      <c r="W151" s="130" t="str">
        <f t="shared" si="453"/>
        <v/>
      </c>
      <c r="X151" s="39" t="str">
        <f t="shared" si="454"/>
        <v/>
      </c>
      <c r="Y151" s="39" t="str">
        <f t="shared" si="455"/>
        <v/>
      </c>
      <c r="Z151" s="74" t="str">
        <f t="shared" si="456"/>
        <v/>
      </c>
      <c r="AB151" s="176"/>
      <c r="AC151" s="130" t="str">
        <f t="shared" si="457"/>
        <v/>
      </c>
      <c r="AD151" s="39" t="str">
        <f t="shared" si="458"/>
        <v/>
      </c>
      <c r="AE151" s="39" t="str">
        <f t="shared" si="459"/>
        <v/>
      </c>
      <c r="AF151" s="39" t="str">
        <f t="shared" si="460"/>
        <v/>
      </c>
      <c r="AG151" s="74" t="str">
        <f t="shared" si="461"/>
        <v/>
      </c>
      <c r="AI151" s="196"/>
      <c r="AJ15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1" s="136" t="str">
        <f>IF(AJ151&lt;&gt;"",IF(AJ151=0,COUNTIF(AJ$2:AJ150,0)+1,COUNTIF(AJ$2:AJ150,AJ151)+AJ151+COUNTIF(AJ:AJ,0)),"")</f>
        <v/>
      </c>
      <c r="AL151" s="136" t="str">
        <f t="shared" si="462"/>
        <v/>
      </c>
      <c r="AM151" s="155" t="str">
        <f>IF(AND(Include_study?="Yes",Sufficient_data="Yes",Input!Study_name&lt;&gt;""),Input!Study_name,"")</f>
        <v/>
      </c>
      <c r="AN151" s="136" t="str">
        <f t="shared" si="463"/>
        <v/>
      </c>
      <c r="AO151" s="19" t="str">
        <f t="shared" si="464"/>
        <v/>
      </c>
      <c r="AP151" s="158" t="str">
        <f t="shared" si="465"/>
        <v/>
      </c>
      <c r="AQ151" s="158" t="str">
        <f t="shared" si="466"/>
        <v/>
      </c>
      <c r="AR151" s="39" t="str">
        <f t="shared" si="467"/>
        <v/>
      </c>
      <c r="AS151" s="158" t="str">
        <f t="shared" si="468"/>
        <v/>
      </c>
      <c r="AT151" s="39" t="str">
        <f t="shared" si="469"/>
        <v/>
      </c>
      <c r="AU151" s="172" t="str">
        <f t="shared" si="470"/>
        <v/>
      </c>
      <c r="AV151" s="45"/>
      <c r="AW151" s="84" t="e">
        <f t="shared" si="360"/>
        <v>#N/A</v>
      </c>
      <c r="AX151" s="69" t="e">
        <f t="shared" si="471"/>
        <v>#N/A</v>
      </c>
      <c r="AY151" s="74" t="e">
        <f t="shared" si="472"/>
        <v>#N/A</v>
      </c>
      <c r="AZ151" s="45"/>
      <c r="BA151" s="45"/>
      <c r="BB151" s="45"/>
      <c r="BC151" s="45"/>
      <c r="BD151" s="196"/>
      <c r="BE151" s="182"/>
      <c r="BF151" s="69" t="str">
        <f t="shared" si="363"/>
        <v/>
      </c>
      <c r="BG151" s="69" t="str">
        <f t="shared" si="364"/>
        <v/>
      </c>
      <c r="BH151" s="69" t="str">
        <f t="shared" si="365"/>
        <v/>
      </c>
      <c r="BI151" s="39" t="str">
        <f t="shared" si="366"/>
        <v/>
      </c>
      <c r="BJ151" s="95" t="str">
        <f t="shared" si="473"/>
        <v/>
      </c>
      <c r="BO151" s="176"/>
      <c r="BP151" s="158" t="str">
        <f t="shared" si="474"/>
        <v/>
      </c>
      <c r="BQ151" s="158" t="str">
        <f t="shared" si="475"/>
        <v/>
      </c>
      <c r="BR151" s="158" t="str">
        <f t="shared" si="476"/>
        <v/>
      </c>
      <c r="BS151" s="158" t="str">
        <f>IF(AND(Sufficient_data="Yes",Include_study?="Yes"),IF(Add_0_5="Yes",(a_+d_+1)*(ab_+0.5)*(c_+0.5)/(Number_of_subjects+2)^2,(a_+d_)*b_*c_/Number_of_subjects^2),"")</f>
        <v/>
      </c>
      <c r="BT151" s="158" t="str">
        <f t="shared" si="477"/>
        <v/>
      </c>
      <c r="BU151" s="158" t="str">
        <f t="shared" si="478"/>
        <v/>
      </c>
      <c r="BV151" s="158" t="str">
        <f t="shared" si="479"/>
        <v/>
      </c>
      <c r="BW151" s="69" t="str">
        <f t="shared" si="374"/>
        <v/>
      </c>
      <c r="BX151" s="137" t="str">
        <f t="shared" si="375"/>
        <v/>
      </c>
      <c r="BY151" s="95" t="str">
        <f t="shared" si="480"/>
        <v/>
      </c>
      <c r="CD151" s="176"/>
      <c r="CE151" s="130" t="str">
        <f t="shared" si="481"/>
        <v/>
      </c>
      <c r="CF151" s="39" t="str">
        <f t="shared" si="482"/>
        <v/>
      </c>
      <c r="CG151" s="39" t="str">
        <f t="shared" si="483"/>
        <v/>
      </c>
      <c r="CH151" s="39" t="str">
        <f t="shared" si="484"/>
        <v/>
      </c>
      <c r="CI151" s="39" t="str">
        <f t="shared" si="485"/>
        <v/>
      </c>
      <c r="CJ151" s="39" t="str">
        <f t="shared" si="486"/>
        <v/>
      </c>
      <c r="CK151" s="95" t="str">
        <f t="shared" si="487"/>
        <v/>
      </c>
      <c r="CP151" s="176"/>
      <c r="CQ151" s="99" t="str">
        <f t="shared" si="383"/>
        <v/>
      </c>
      <c r="CX151" s="196"/>
      <c r="CY151" s="89" t="e">
        <f t="shared" si="488"/>
        <v>#N/A</v>
      </c>
      <c r="CZ151" s="136" t="str">
        <f t="shared" si="489"/>
        <v/>
      </c>
      <c r="DA151" s="140" t="str">
        <f t="shared" si="490"/>
        <v/>
      </c>
      <c r="DB151" s="39" t="str">
        <f t="shared" si="491"/>
        <v/>
      </c>
      <c r="DC151" s="39" t="str">
        <f t="shared" si="492"/>
        <v/>
      </c>
      <c r="DD151" s="39" t="str">
        <f t="shared" si="493"/>
        <v/>
      </c>
      <c r="DE151" s="39" t="str">
        <f t="shared" si="494"/>
        <v/>
      </c>
      <c r="DF151" s="141" t="str">
        <f t="shared" si="495"/>
        <v/>
      </c>
      <c r="DG151" s="39" t="str">
        <f t="shared" si="496"/>
        <v/>
      </c>
      <c r="DH151" s="39" t="str">
        <f t="shared" si="497"/>
        <v/>
      </c>
      <c r="DI151" s="39" t="str">
        <f t="shared" si="498"/>
        <v/>
      </c>
      <c r="DJ151" s="74" t="str">
        <f t="shared" si="499"/>
        <v/>
      </c>
      <c r="DK151" s="45"/>
      <c r="DL151" s="84" t="e">
        <f t="shared" si="423"/>
        <v>#N/A</v>
      </c>
      <c r="DM151" s="39" t="e">
        <f t="shared" si="500"/>
        <v>#N/A</v>
      </c>
      <c r="DN151" s="74" t="e">
        <f t="shared" si="501"/>
        <v>#N/A</v>
      </c>
      <c r="DO151" s="45"/>
      <c r="DP151" s="89" t="str">
        <f t="shared" si="525"/>
        <v/>
      </c>
      <c r="DQ151" s="26" t="str">
        <f>IF(AND(Sufficient_data="Yes",Subgroup&lt;&gt;""),IF(COUNTIFS(Input!J$2:J150,"="&amp;"Yes",Input!C$2:C150,"="&amp;"Yes",Input!K$2:K150,"="&amp;Subgroup)&gt;0,"",Subgroup),"")</f>
        <v/>
      </c>
      <c r="DR151" s="7" t="str">
        <f t="shared" si="526"/>
        <v/>
      </c>
      <c r="DS151" s="7" t="str">
        <f t="shared" si="502"/>
        <v/>
      </c>
      <c r="DT151" s="19" t="str">
        <f t="shared" si="503"/>
        <v/>
      </c>
      <c r="DU151" s="12" t="str">
        <f t="shared" si="424"/>
        <v/>
      </c>
      <c r="DV151" s="11" t="str">
        <f t="shared" si="425"/>
        <v/>
      </c>
      <c r="DW151" s="12" t="str">
        <f t="shared" si="426"/>
        <v/>
      </c>
      <c r="DX151" s="12" t="str">
        <f t="shared" si="504"/>
        <v/>
      </c>
      <c r="DY151" s="19" t="str">
        <f t="shared" si="427"/>
        <v/>
      </c>
      <c r="DZ151" s="12" t="str">
        <f t="shared" si="428"/>
        <v/>
      </c>
      <c r="EA151" s="19" t="str">
        <f t="shared" si="505"/>
        <v/>
      </c>
      <c r="EB151" s="7" t="str">
        <f t="shared" si="506"/>
        <v/>
      </c>
      <c r="EC151" s="19" t="str">
        <f t="shared" si="507"/>
        <v/>
      </c>
      <c r="ED151" s="19" t="str">
        <f t="shared" si="508"/>
        <v/>
      </c>
      <c r="EE151" s="19" t="str">
        <f t="shared" si="429"/>
        <v/>
      </c>
      <c r="EF151" s="19" t="str">
        <f t="shared" si="430"/>
        <v/>
      </c>
      <c r="EG151" s="19" t="str">
        <f t="shared" si="431"/>
        <v/>
      </c>
      <c r="EH151" s="19" t="str">
        <f t="shared" si="432"/>
        <v/>
      </c>
      <c r="EI151" s="19" t="str">
        <f t="shared" si="433"/>
        <v/>
      </c>
      <c r="EJ151" s="19" t="str">
        <f t="shared" si="509"/>
        <v/>
      </c>
      <c r="EK151" s="19" t="str">
        <f t="shared" si="510"/>
        <v/>
      </c>
      <c r="EL151" s="19" t="str">
        <f t="shared" si="434"/>
        <v/>
      </c>
      <c r="EM151" s="19" t="str">
        <f t="shared" si="435"/>
        <v/>
      </c>
      <c r="EN151" s="19" t="str">
        <f t="shared" si="436"/>
        <v/>
      </c>
      <c r="EO151" s="19" t="str">
        <f t="shared" si="437"/>
        <v/>
      </c>
      <c r="EP151" s="19" t="str">
        <f t="shared" si="438"/>
        <v/>
      </c>
      <c r="EQ151" s="19" t="e">
        <f t="shared" si="439"/>
        <v>#N/A</v>
      </c>
      <c r="ER151" s="11" t="str">
        <f t="shared" si="527"/>
        <v/>
      </c>
      <c r="ES151" s="19" t="str">
        <f t="shared" si="528"/>
        <v/>
      </c>
      <c r="ET151" s="156" t="str">
        <f t="shared" si="511"/>
        <v/>
      </c>
      <c r="EU151" s="39" t="str">
        <f t="shared" si="440"/>
        <v/>
      </c>
      <c r="EV151" s="74" t="str">
        <f t="shared" si="512"/>
        <v/>
      </c>
      <c r="FA151" s="196"/>
      <c r="FB151" s="84" t="e">
        <f>IF(AND(Include_study?="Yes",Sufficient_data="Yes",Moderator&lt;&gt;""),'Moderator Analysis'!E151,NA())</f>
        <v>#N/A</v>
      </c>
      <c r="FC151" s="39" t="e">
        <f>IF(AND(Include_study?="Yes",Sufficient_data="Yes",Moderator&lt;&gt;""),'Moderator Analysis'!F151,NA())</f>
        <v>#N/A</v>
      </c>
      <c r="FD151" s="39" t="str">
        <f t="shared" si="513"/>
        <v/>
      </c>
      <c r="FE151" s="39" t="str">
        <f t="shared" si="514"/>
        <v/>
      </c>
      <c r="FF151" s="39" t="str">
        <f>IF(AND(Include_study?="Yes",Sufficient_data="Yes",Moderator&lt;&gt;""),'Moderator Analysis'!F:F-FP$2,"")</f>
        <v/>
      </c>
      <c r="FG151" s="39" t="str">
        <f>IF(AND(Include_study?="Yes",Sufficient_data="Yes",Moderator&lt;&gt;""),'Moderator Analysis'!E:E-FP$3,"")</f>
        <v/>
      </c>
      <c r="FH151" s="74" t="str">
        <f>IF(AND(Include_study?="Yes",Sufficient_data="Yes",Moderator&lt;&gt;""),FE:FE*('Moderator Analysis'!F:F-FP$5-FP$4*'Moderator Analysis'!E:E)^2,"")</f>
        <v/>
      </c>
      <c r="FI151" s="128"/>
      <c r="FJ151" s="92" t="str">
        <f t="shared" si="515"/>
        <v/>
      </c>
      <c r="FK151" s="137" t="str">
        <f>IF(AND(Include_study?="Yes",Sufficient_data="Yes",Moderator&lt;&gt;""),'Moderator Analysis'!F:F-'Moderator Analysis'!J$37,"")</f>
        <v/>
      </c>
      <c r="FL151" s="137" t="str">
        <f>IF(AND(Include_study?="Yes",Sufficient_data="Yes",Moderator&lt;&gt;""),'Moderator Analysis'!E:E-SUMPRODUCT('Moderator Analysis'!E:E,FJ:FJ)/SUM(FJ:FJ),"")</f>
        <v/>
      </c>
      <c r="FM151" s="95" t="str">
        <f>IF(AND(Include_study?="Yes",Sufficient_data="Yes",Moderator&lt;&gt;""),FJ:FJ*('Moderator Analysis'!F:F-'Moderator Analysis'!J$29-'Moderator Analysis'!J$30*'Moderator Analysis'!E:E)^2,"")</f>
        <v/>
      </c>
      <c r="FR151" s="196"/>
      <c r="FS151" s="182"/>
      <c r="FT15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1" s="39" t="str">
        <f>IF(AND(Include_study?="Yes",Sufficient_data="Yes"),1/('Publication Bias Analysis'!F:F^2+IF(Additional_model="Fixed effect",0,Calculations!GH$12)),"")</f>
        <v/>
      </c>
      <c r="FV151" s="39" t="str">
        <f>IF(AND(Include_study?="Yes",Sufficient_data="Yes"),1/('Publication Bias Analysis'!F:F^2+IF(Additional_model="Fixed effect",0,'Publication Bias Analysis'!L$32)),"")</f>
        <v/>
      </c>
      <c r="FW151" s="39" t="str">
        <f>IF(AND(Include_study?="Yes",Sufficient_data="Yes"),'Publication Bias Analysis'!E:E-'Publication Bias Analysis'!I$37,"")</f>
        <v/>
      </c>
      <c r="FX151" s="39" t="str">
        <f>IF(AND(Include_study?="Yes",Sufficient_data="Yes"),IF(Additional_model="Fixed effect",1/'Publication Bias Analysis'!F:F,1/SQRT('Publication Bias Analysis'!F:F^2+GH$12)),"")</f>
        <v/>
      </c>
      <c r="FY15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1" s="136" t="str">
        <f t="shared" si="516"/>
        <v/>
      </c>
      <c r="GA151" s="144" t="str">
        <f>IF(AND(Include_study?="Yes",Sufficient_data="Yes"),FZ:FZ+IF(GL:GL&lt;0,-1,1)*COUNTIF(FZ$2:FZ150,FZ:FZ),"")</f>
        <v/>
      </c>
      <c r="GB151" s="144" t="str">
        <f>IF(AND(Include_study?="Yes",Sufficient_data="Yes"),RANK(GP:GP,GP:GP,1)*IF(GO:GO&lt;0,-1,1)+IF(GO:GO&lt;0,-1,1)*COUNTIF(FZ$2:FZ150,FZ:FZ),"")</f>
        <v/>
      </c>
      <c r="GC151" s="144" t="str">
        <f>IF(AND(Include_study?="Yes",Sufficient_data="Yes"),RANK(GS:GS,GS:GS,1)*IF(GR:GR&lt;0,-1,1)+IF(GR:GR&lt;0,-1,1)*COUNTIF(FZ$2:FZ150,FZ:FZ),"")</f>
        <v/>
      </c>
      <c r="GD151" s="39" t="e">
        <f>IF(AND(Include_study?="Yes",Sufficient_data="Yes"),'Publication Bias Analysis'!E151,NA())</f>
        <v>#N/A</v>
      </c>
      <c r="GE151" s="74" t="e">
        <f>IF(AND(Include_study?="Yes",Sufficient_data="Yes"),'Publication Bias Analysis'!F151,NA())</f>
        <v>#N/A</v>
      </c>
      <c r="GK151" s="176"/>
      <c r="GL15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1" s="39" t="str">
        <f t="shared" si="517"/>
        <v/>
      </c>
      <c r="GN15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1" s="39" t="str">
        <f>IF(AND(Include_study?="Yes",Sufficient_data="Yes"),IF('Publication Bias Analysis'!L$38="Left",'Publication Bias Analysis'!E:E-GW$3,GW$3-'Publication Bias Analysis'!E:E),"")</f>
        <v/>
      </c>
      <c r="GP151" s="39" t="str">
        <f t="shared" si="529"/>
        <v/>
      </c>
      <c r="GQ15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1" s="39" t="str">
        <f>IF(AND(Include_study?="Yes",Sufficient_data="Yes"),IF('Publication Bias Analysis'!L$38="Left",'Publication Bias Analysis'!E:E-GW$10,GW$10-'Publication Bias Analysis'!E:E),"")</f>
        <v/>
      </c>
      <c r="GS151" s="39" t="str">
        <f t="shared" si="530"/>
        <v/>
      </c>
      <c r="GT15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1" s="176"/>
      <c r="HL151" s="69" t="str">
        <f t="shared" si="518"/>
        <v/>
      </c>
      <c r="HM151" s="74" t="str">
        <f>IF(AND(Include_study?="Yes",Sufficient_data="Yes"),Z_score-('Publication Bias Analysis'!P$3+'Publication Bias Analysis'!P$4*Inverse_standard_error),"")</f>
        <v/>
      </c>
      <c r="HO151" s="176"/>
      <c r="HP151" s="69" t="str">
        <f>IF(AND(Include_study?="Yes",Sufficient_data="Yes"),(GD:GD-SUMPRODUCT(Calculations!FT:FT,'Publication Bias Analysis'!E:E)/SUM(Calculations!FT:FT))/SQRT(Calculations!HQ:HQ),"")</f>
        <v/>
      </c>
      <c r="HQ151" s="69" t="str">
        <f>IF(AND(Include_study?="Yes",Sufficient_data="Yes"),GE:GE^2-1/SUM(Calculations!FT:FT),"")</f>
        <v/>
      </c>
      <c r="HR151" s="7" t="str">
        <f t="shared" si="441"/>
        <v/>
      </c>
      <c r="HS151" s="7" t="str">
        <f t="shared" si="442"/>
        <v/>
      </c>
      <c r="HT151" s="7" t="str">
        <f>IF(AND(Include_study?="Yes",Sufficient_data="Yes"),COUNTIFS(HR$2:HR150,"&lt;"&amp;HR151,HS$2:HS150,"&lt;"&amp;HS151)+COUNTIFS(HR152:HR$201,"&lt;"&amp;HR151,HS152:HS$201,"&lt;"&amp;HS151)+COUNTIFS(HR$2:HR150,"&gt;"&amp;HR151,HS$2:HS150,"&gt;"&amp;HS151)+COUNTIFS(HR152:HR$201,"&gt;"&amp;HR151,HS152:HS$201,"&gt;"&amp;HS151),"")</f>
        <v/>
      </c>
      <c r="HU151" s="104" t="str">
        <f>IF(AND(Include_study?="Yes",Sufficient_data="Yes"),COUNTIFS(HR$2:HR150,"&lt;"&amp;HR151,HS$2:HS150,"&gt;"&amp;HS151)+COUNTIFS(HR152:HR$201,"&lt;"&amp;HR151,HS152:HS$201,"&gt;"&amp;HS151)+COUNTIFS(HR$2:HR150,"&gt;"&amp;HR151,HS$2:HS150,"&lt;"&amp;HS151)+COUNTIFS(HR152:HR$201,"&gt;"&amp;HR151,HS152:HS$201,"&lt;"&amp;HS151),"")</f>
        <v/>
      </c>
      <c r="HW151" s="176"/>
      <c r="IB151" s="176"/>
      <c r="IC151" s="146" t="e">
        <f t="shared" si="519"/>
        <v>#N/A</v>
      </c>
      <c r="ID151" s="137" t="e">
        <f t="shared" si="520"/>
        <v>#N/A</v>
      </c>
      <c r="IE151" s="137" t="str">
        <f t="shared" si="521"/>
        <v/>
      </c>
      <c r="IF151" s="95" t="str">
        <f t="shared" si="522"/>
        <v/>
      </c>
      <c r="IK151" s="176"/>
      <c r="IL151" s="69" t="e">
        <f>IF(AND(Include_study?="Yes",Sufficient_data="Yes"),'Publication Bias Analysis'!AV:AV,NA())</f>
        <v>#N/A</v>
      </c>
      <c r="IM151" s="158" t="e">
        <f>IF(AND(Sufficient_data="Yes",Include_study?="Yes"),'Publication Bias Analysis'!AU:AU,NA())</f>
        <v>#N/A</v>
      </c>
      <c r="IN151" s="69" t="str">
        <f t="shared" si="418"/>
        <v/>
      </c>
      <c r="IO151" s="74" t="str">
        <f>IF(AND(Include_study?="Yes",Sufficient_data="Yes"),Z_score-('Publication Bias Analysis'!AY$30+'Publication Bias Analysis'!AY$31*Inverse_standard_error),"")</f>
        <v/>
      </c>
      <c r="IU151" s="176"/>
      <c r="IV151" s="7" t="str">
        <f>IF('Publication Bias Analysis'!BG:BG&lt;&gt;"",RANK('Publication Bias Analysis'!BG:BG,'Publication Bias Analysis'!BG:BG,1)+COUNTIF('Publication Bias Analysis'!BG$2:BG150,'Publication Bias Analysis'!BG151),"")</f>
        <v/>
      </c>
      <c r="IW151" s="124" t="str">
        <f t="shared" si="523"/>
        <v/>
      </c>
      <c r="IX151" s="125" t="e">
        <f>IF('Publication Bias Analysis'!BF151&lt;&gt;"",'Publication Bias Analysis'!BF151,NA())</f>
        <v>#N/A</v>
      </c>
      <c r="IY151" s="125" t="e">
        <f>IF('Publication Bias Analysis'!BG151&lt;&gt;"",'Publication Bias Analysis'!BG151,NA())</f>
        <v>#N/A</v>
      </c>
      <c r="IZ151" s="69" t="str">
        <f>IF(AND(Include_study?="Yes",Sufficient_data="Yes"),'Publication Bias Analysis'!BF:BF-AVERAGE('Publication Bias Analysis'!BF:BF),"")</f>
        <v/>
      </c>
      <c r="JA151" s="74" t="str">
        <f>IF(AND(Include_study?="Yes",Sufficient_data="Yes"),'Publication Bias Analysis'!BG:BG-('Publication Bias Analysis'!BJ$30+'Publication Bias Analysis'!BJ$31*'Publication Bias Analysis'!BF:BF),"")</f>
        <v/>
      </c>
      <c r="JG151" s="176"/>
      <c r="JH151" s="39" t="str">
        <f t="shared" si="524"/>
        <v/>
      </c>
      <c r="JI151" s="148" t="str">
        <f t="shared" si="531"/>
        <v/>
      </c>
      <c r="JJ151" s="74" t="str">
        <f t="shared" si="532"/>
        <v/>
      </c>
    </row>
    <row r="152" spans="1:270" x14ac:dyDescent="0.2">
      <c r="A152" s="56" t="str">
        <f t="shared" si="334"/>
        <v/>
      </c>
      <c r="B152" s="7" t="str">
        <f>IF(AND(Include_study?="Yes",Sufficient_data="Yes"),IF(Input!a_&lt;&gt;"",Input!a_,Input!n1_-Input!b_),"")</f>
        <v/>
      </c>
      <c r="C152" s="7" t="str">
        <f>IF(AND(Include_study?="Yes",Sufficient_data="Yes"),IF(Input!b_&lt;&gt;"",Input!b_,Input!n1_-Input!a_),"")</f>
        <v/>
      </c>
      <c r="D152" s="7" t="str">
        <f>IF(AND(Include_study?="Yes",Sufficient_data="Yes"),IF(Input!c_&lt;&gt;"",Input!c_,Input!n2_-Input!d_),"")</f>
        <v/>
      </c>
      <c r="E152" s="7" t="str">
        <f>IF(AND(Include_study?="Yes",Sufficient_data="Yes"),IF(Input!d_&lt;&gt;"",Input!d_,Input!n2_-Input!c_),"")</f>
        <v/>
      </c>
      <c r="F152" s="74" t="str">
        <f t="shared" si="443"/>
        <v/>
      </c>
      <c r="H152" s="196"/>
      <c r="I152" s="182"/>
      <c r="J152" s="146" t="str">
        <f t="shared" si="444"/>
        <v/>
      </c>
      <c r="K152" s="39" t="str">
        <f t="shared" si="445"/>
        <v/>
      </c>
      <c r="L152" s="39" t="str">
        <f t="shared" si="446"/>
        <v/>
      </c>
      <c r="M152" s="39" t="str">
        <f t="shared" si="447"/>
        <v/>
      </c>
      <c r="N152" s="74" t="str">
        <f t="shared" si="448"/>
        <v/>
      </c>
      <c r="P152" s="176"/>
      <c r="Q152" s="130" t="str">
        <f t="shared" si="449"/>
        <v/>
      </c>
      <c r="R152" s="39" t="str">
        <f t="shared" si="450"/>
        <v/>
      </c>
      <c r="S152" s="39" t="str">
        <f t="shared" si="451"/>
        <v/>
      </c>
      <c r="T152" s="74" t="str">
        <f t="shared" si="452"/>
        <v/>
      </c>
      <c r="V152" s="176"/>
      <c r="W152" s="130" t="str">
        <f t="shared" si="453"/>
        <v/>
      </c>
      <c r="X152" s="39" t="str">
        <f t="shared" si="454"/>
        <v/>
      </c>
      <c r="Y152" s="39" t="str">
        <f t="shared" si="455"/>
        <v/>
      </c>
      <c r="Z152" s="74" t="str">
        <f t="shared" si="456"/>
        <v/>
      </c>
      <c r="AB152" s="176"/>
      <c r="AC152" s="130" t="str">
        <f t="shared" si="457"/>
        <v/>
      </c>
      <c r="AD152" s="39" t="str">
        <f t="shared" si="458"/>
        <v/>
      </c>
      <c r="AE152" s="39" t="str">
        <f t="shared" si="459"/>
        <v/>
      </c>
      <c r="AF152" s="39" t="str">
        <f t="shared" si="460"/>
        <v/>
      </c>
      <c r="AG152" s="74" t="str">
        <f t="shared" si="461"/>
        <v/>
      </c>
      <c r="AI152" s="196"/>
      <c r="AJ15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2" s="136" t="str">
        <f>IF(AJ152&lt;&gt;"",IF(AJ152=0,COUNTIF(AJ$2:AJ151,0)+1,COUNTIF(AJ$2:AJ151,AJ152)+AJ152+COUNTIF(AJ:AJ,0)),"")</f>
        <v/>
      </c>
      <c r="AL152" s="136" t="str">
        <f t="shared" si="462"/>
        <v/>
      </c>
      <c r="AM152" s="155" t="str">
        <f>IF(AND(Include_study?="Yes",Sufficient_data="Yes",Input!Study_name&lt;&gt;""),Input!Study_name,"")</f>
        <v/>
      </c>
      <c r="AN152" s="136" t="str">
        <f t="shared" si="463"/>
        <v/>
      </c>
      <c r="AO152" s="19" t="str">
        <f t="shared" si="464"/>
        <v/>
      </c>
      <c r="AP152" s="158" t="str">
        <f t="shared" si="465"/>
        <v/>
      </c>
      <c r="AQ152" s="158" t="str">
        <f t="shared" si="466"/>
        <v/>
      </c>
      <c r="AR152" s="39" t="str">
        <f t="shared" si="467"/>
        <v/>
      </c>
      <c r="AS152" s="158" t="str">
        <f t="shared" si="468"/>
        <v/>
      </c>
      <c r="AT152" s="39" t="str">
        <f t="shared" si="469"/>
        <v/>
      </c>
      <c r="AU152" s="172" t="str">
        <f t="shared" si="470"/>
        <v/>
      </c>
      <c r="AV152" s="45"/>
      <c r="AW152" s="84" t="e">
        <f t="shared" si="360"/>
        <v>#N/A</v>
      </c>
      <c r="AX152" s="69" t="e">
        <f t="shared" si="471"/>
        <v>#N/A</v>
      </c>
      <c r="AY152" s="74" t="e">
        <f t="shared" si="472"/>
        <v>#N/A</v>
      </c>
      <c r="AZ152" s="45"/>
      <c r="BA152" s="45"/>
      <c r="BB152" s="45"/>
      <c r="BC152" s="45"/>
      <c r="BD152" s="196"/>
      <c r="BE152" s="182"/>
      <c r="BF152" s="69" t="str">
        <f t="shared" si="363"/>
        <v/>
      </c>
      <c r="BG152" s="69" t="str">
        <f t="shared" si="364"/>
        <v/>
      </c>
      <c r="BH152" s="69" t="str">
        <f t="shared" si="365"/>
        <v/>
      </c>
      <c r="BI152" s="39" t="str">
        <f t="shared" si="366"/>
        <v/>
      </c>
      <c r="BJ152" s="95" t="str">
        <f t="shared" si="473"/>
        <v/>
      </c>
      <c r="BO152" s="176"/>
      <c r="BP152" s="158" t="str">
        <f t="shared" si="474"/>
        <v/>
      </c>
      <c r="BQ152" s="158" t="str">
        <f t="shared" si="475"/>
        <v/>
      </c>
      <c r="BR152" s="158" t="str">
        <f t="shared" si="476"/>
        <v/>
      </c>
      <c r="BS152" s="158" t="str">
        <f>IF(AND(Sufficient_data="Yes",Include_study?="Yes"),IF(Add_0_5="Yes",(a_+d_+1)*(ab_+0.5)*(c_+0.5)/(Number_of_subjects+2)^2,(a_+d_)*b_*c_/Number_of_subjects^2),"")</f>
        <v/>
      </c>
      <c r="BT152" s="158" t="str">
        <f t="shared" si="477"/>
        <v/>
      </c>
      <c r="BU152" s="158" t="str">
        <f t="shared" si="478"/>
        <v/>
      </c>
      <c r="BV152" s="158" t="str">
        <f t="shared" si="479"/>
        <v/>
      </c>
      <c r="BW152" s="69" t="str">
        <f t="shared" si="374"/>
        <v/>
      </c>
      <c r="BX152" s="137" t="str">
        <f t="shared" si="375"/>
        <v/>
      </c>
      <c r="BY152" s="95" t="str">
        <f t="shared" si="480"/>
        <v/>
      </c>
      <c r="CD152" s="176"/>
      <c r="CE152" s="130" t="str">
        <f t="shared" si="481"/>
        <v/>
      </c>
      <c r="CF152" s="39" t="str">
        <f t="shared" si="482"/>
        <v/>
      </c>
      <c r="CG152" s="39" t="str">
        <f t="shared" si="483"/>
        <v/>
      </c>
      <c r="CH152" s="39" t="str">
        <f t="shared" si="484"/>
        <v/>
      </c>
      <c r="CI152" s="39" t="str">
        <f t="shared" si="485"/>
        <v/>
      </c>
      <c r="CJ152" s="39" t="str">
        <f t="shared" si="486"/>
        <v/>
      </c>
      <c r="CK152" s="95" t="str">
        <f t="shared" si="487"/>
        <v/>
      </c>
      <c r="CP152" s="176"/>
      <c r="CQ152" s="99" t="str">
        <f t="shared" si="383"/>
        <v/>
      </c>
      <c r="CX152" s="196"/>
      <c r="CY152" s="89" t="e">
        <f t="shared" si="488"/>
        <v>#N/A</v>
      </c>
      <c r="CZ152" s="136" t="str">
        <f t="shared" si="489"/>
        <v/>
      </c>
      <c r="DA152" s="140" t="str">
        <f t="shared" si="490"/>
        <v/>
      </c>
      <c r="DB152" s="39" t="str">
        <f t="shared" si="491"/>
        <v/>
      </c>
      <c r="DC152" s="39" t="str">
        <f t="shared" si="492"/>
        <v/>
      </c>
      <c r="DD152" s="39" t="str">
        <f t="shared" si="493"/>
        <v/>
      </c>
      <c r="DE152" s="39" t="str">
        <f t="shared" si="494"/>
        <v/>
      </c>
      <c r="DF152" s="141" t="str">
        <f t="shared" si="495"/>
        <v/>
      </c>
      <c r="DG152" s="39" t="str">
        <f t="shared" si="496"/>
        <v/>
      </c>
      <c r="DH152" s="39" t="str">
        <f t="shared" si="497"/>
        <v/>
      </c>
      <c r="DI152" s="39" t="str">
        <f t="shared" si="498"/>
        <v/>
      </c>
      <c r="DJ152" s="74" t="str">
        <f t="shared" si="499"/>
        <v/>
      </c>
      <c r="DK152" s="45"/>
      <c r="DL152" s="84" t="e">
        <f t="shared" si="423"/>
        <v>#N/A</v>
      </c>
      <c r="DM152" s="39" t="e">
        <f t="shared" si="500"/>
        <v>#N/A</v>
      </c>
      <c r="DN152" s="74" t="e">
        <f t="shared" si="501"/>
        <v>#N/A</v>
      </c>
      <c r="DO152" s="45"/>
      <c r="DP152" s="89" t="str">
        <f t="shared" si="525"/>
        <v/>
      </c>
      <c r="DQ152" s="26" t="str">
        <f>IF(AND(Sufficient_data="Yes",Subgroup&lt;&gt;""),IF(COUNTIFS(Input!J$2:J151,"="&amp;"Yes",Input!C$2:C151,"="&amp;"Yes",Input!K$2:K151,"="&amp;Subgroup)&gt;0,"",Subgroup),"")</f>
        <v/>
      </c>
      <c r="DR152" s="7" t="str">
        <f t="shared" si="526"/>
        <v/>
      </c>
      <c r="DS152" s="7" t="str">
        <f t="shared" si="502"/>
        <v/>
      </c>
      <c r="DT152" s="19" t="str">
        <f t="shared" si="503"/>
        <v/>
      </c>
      <c r="DU152" s="12" t="str">
        <f t="shared" si="424"/>
        <v/>
      </c>
      <c r="DV152" s="11" t="str">
        <f t="shared" si="425"/>
        <v/>
      </c>
      <c r="DW152" s="12" t="str">
        <f t="shared" si="426"/>
        <v/>
      </c>
      <c r="DX152" s="12" t="str">
        <f t="shared" si="504"/>
        <v/>
      </c>
      <c r="DY152" s="19" t="str">
        <f t="shared" si="427"/>
        <v/>
      </c>
      <c r="DZ152" s="12" t="str">
        <f t="shared" si="428"/>
        <v/>
      </c>
      <c r="EA152" s="19" t="str">
        <f t="shared" si="505"/>
        <v/>
      </c>
      <c r="EB152" s="7" t="str">
        <f t="shared" si="506"/>
        <v/>
      </c>
      <c r="EC152" s="19" t="str">
        <f t="shared" si="507"/>
        <v/>
      </c>
      <c r="ED152" s="19" t="str">
        <f t="shared" si="508"/>
        <v/>
      </c>
      <c r="EE152" s="19" t="str">
        <f t="shared" si="429"/>
        <v/>
      </c>
      <c r="EF152" s="19" t="str">
        <f t="shared" si="430"/>
        <v/>
      </c>
      <c r="EG152" s="19" t="str">
        <f t="shared" si="431"/>
        <v/>
      </c>
      <c r="EH152" s="19" t="str">
        <f t="shared" si="432"/>
        <v/>
      </c>
      <c r="EI152" s="19" t="str">
        <f t="shared" si="433"/>
        <v/>
      </c>
      <c r="EJ152" s="19" t="str">
        <f t="shared" si="509"/>
        <v/>
      </c>
      <c r="EK152" s="19" t="str">
        <f t="shared" si="510"/>
        <v/>
      </c>
      <c r="EL152" s="19" t="str">
        <f t="shared" si="434"/>
        <v/>
      </c>
      <c r="EM152" s="19" t="str">
        <f t="shared" si="435"/>
        <v/>
      </c>
      <c r="EN152" s="19" t="str">
        <f t="shared" si="436"/>
        <v/>
      </c>
      <c r="EO152" s="19" t="str">
        <f t="shared" si="437"/>
        <v/>
      </c>
      <c r="EP152" s="19" t="str">
        <f t="shared" si="438"/>
        <v/>
      </c>
      <c r="EQ152" s="19" t="e">
        <f t="shared" si="439"/>
        <v>#N/A</v>
      </c>
      <c r="ER152" s="11" t="str">
        <f t="shared" si="527"/>
        <v/>
      </c>
      <c r="ES152" s="19" t="str">
        <f t="shared" si="528"/>
        <v/>
      </c>
      <c r="ET152" s="156" t="str">
        <f t="shared" si="511"/>
        <v/>
      </c>
      <c r="EU152" s="39" t="str">
        <f t="shared" si="440"/>
        <v/>
      </c>
      <c r="EV152" s="74" t="str">
        <f t="shared" si="512"/>
        <v/>
      </c>
      <c r="FA152" s="196"/>
      <c r="FB152" s="84" t="e">
        <f>IF(AND(Include_study?="Yes",Sufficient_data="Yes",Moderator&lt;&gt;""),'Moderator Analysis'!E152,NA())</f>
        <v>#N/A</v>
      </c>
      <c r="FC152" s="39" t="e">
        <f>IF(AND(Include_study?="Yes",Sufficient_data="Yes",Moderator&lt;&gt;""),'Moderator Analysis'!F152,NA())</f>
        <v>#N/A</v>
      </c>
      <c r="FD152" s="39" t="str">
        <f t="shared" si="513"/>
        <v/>
      </c>
      <c r="FE152" s="39" t="str">
        <f t="shared" si="514"/>
        <v/>
      </c>
      <c r="FF152" s="39" t="str">
        <f>IF(AND(Include_study?="Yes",Sufficient_data="Yes",Moderator&lt;&gt;""),'Moderator Analysis'!F:F-FP$2,"")</f>
        <v/>
      </c>
      <c r="FG152" s="39" t="str">
        <f>IF(AND(Include_study?="Yes",Sufficient_data="Yes",Moderator&lt;&gt;""),'Moderator Analysis'!E:E-FP$3,"")</f>
        <v/>
      </c>
      <c r="FH152" s="74" t="str">
        <f>IF(AND(Include_study?="Yes",Sufficient_data="Yes",Moderator&lt;&gt;""),FE:FE*('Moderator Analysis'!F:F-FP$5-FP$4*'Moderator Analysis'!E:E)^2,"")</f>
        <v/>
      </c>
      <c r="FI152" s="128"/>
      <c r="FJ152" s="92" t="str">
        <f t="shared" si="515"/>
        <v/>
      </c>
      <c r="FK152" s="137" t="str">
        <f>IF(AND(Include_study?="Yes",Sufficient_data="Yes",Moderator&lt;&gt;""),'Moderator Analysis'!F:F-'Moderator Analysis'!J$37,"")</f>
        <v/>
      </c>
      <c r="FL152" s="137" t="str">
        <f>IF(AND(Include_study?="Yes",Sufficient_data="Yes",Moderator&lt;&gt;""),'Moderator Analysis'!E:E-SUMPRODUCT('Moderator Analysis'!E:E,FJ:FJ)/SUM(FJ:FJ),"")</f>
        <v/>
      </c>
      <c r="FM152" s="95" t="str">
        <f>IF(AND(Include_study?="Yes",Sufficient_data="Yes",Moderator&lt;&gt;""),FJ:FJ*('Moderator Analysis'!F:F-'Moderator Analysis'!J$29-'Moderator Analysis'!J$30*'Moderator Analysis'!E:E)^2,"")</f>
        <v/>
      </c>
      <c r="FR152" s="196"/>
      <c r="FS152" s="182"/>
      <c r="FT15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2" s="39" t="str">
        <f>IF(AND(Include_study?="Yes",Sufficient_data="Yes"),1/('Publication Bias Analysis'!F:F^2+IF(Additional_model="Fixed effect",0,Calculations!GH$12)),"")</f>
        <v/>
      </c>
      <c r="FV152" s="39" t="str">
        <f>IF(AND(Include_study?="Yes",Sufficient_data="Yes"),1/('Publication Bias Analysis'!F:F^2+IF(Additional_model="Fixed effect",0,'Publication Bias Analysis'!L$32)),"")</f>
        <v/>
      </c>
      <c r="FW152" s="39" t="str">
        <f>IF(AND(Include_study?="Yes",Sufficient_data="Yes"),'Publication Bias Analysis'!E:E-'Publication Bias Analysis'!I$37,"")</f>
        <v/>
      </c>
      <c r="FX152" s="39" t="str">
        <f>IF(AND(Include_study?="Yes",Sufficient_data="Yes"),IF(Additional_model="Fixed effect",1/'Publication Bias Analysis'!F:F,1/SQRT('Publication Bias Analysis'!F:F^2+GH$12)),"")</f>
        <v/>
      </c>
      <c r="FY15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2" s="136" t="str">
        <f t="shared" si="516"/>
        <v/>
      </c>
      <c r="GA152" s="144" t="str">
        <f>IF(AND(Include_study?="Yes",Sufficient_data="Yes"),FZ:FZ+IF(GL:GL&lt;0,-1,1)*COUNTIF(FZ$2:FZ151,FZ:FZ),"")</f>
        <v/>
      </c>
      <c r="GB152" s="144" t="str">
        <f>IF(AND(Include_study?="Yes",Sufficient_data="Yes"),RANK(GP:GP,GP:GP,1)*IF(GO:GO&lt;0,-1,1)+IF(GO:GO&lt;0,-1,1)*COUNTIF(FZ$2:FZ151,FZ:FZ),"")</f>
        <v/>
      </c>
      <c r="GC152" s="144" t="str">
        <f>IF(AND(Include_study?="Yes",Sufficient_data="Yes"),RANK(GS:GS,GS:GS,1)*IF(GR:GR&lt;0,-1,1)+IF(GR:GR&lt;0,-1,1)*COUNTIF(FZ$2:FZ151,FZ:FZ),"")</f>
        <v/>
      </c>
      <c r="GD152" s="39" t="e">
        <f>IF(AND(Include_study?="Yes",Sufficient_data="Yes"),'Publication Bias Analysis'!E152,NA())</f>
        <v>#N/A</v>
      </c>
      <c r="GE152" s="74" t="e">
        <f>IF(AND(Include_study?="Yes",Sufficient_data="Yes"),'Publication Bias Analysis'!F152,NA())</f>
        <v>#N/A</v>
      </c>
      <c r="GK152" s="176"/>
      <c r="GL15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2" s="39" t="str">
        <f t="shared" si="517"/>
        <v/>
      </c>
      <c r="GN15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2" s="39" t="str">
        <f>IF(AND(Include_study?="Yes",Sufficient_data="Yes"),IF('Publication Bias Analysis'!L$38="Left",'Publication Bias Analysis'!E:E-GW$3,GW$3-'Publication Bias Analysis'!E:E),"")</f>
        <v/>
      </c>
      <c r="GP152" s="39" t="str">
        <f t="shared" si="529"/>
        <v/>
      </c>
      <c r="GQ15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2" s="39" t="str">
        <f>IF(AND(Include_study?="Yes",Sufficient_data="Yes"),IF('Publication Bias Analysis'!L$38="Left",'Publication Bias Analysis'!E:E-GW$10,GW$10-'Publication Bias Analysis'!E:E),"")</f>
        <v/>
      </c>
      <c r="GS152" s="39" t="str">
        <f t="shared" si="530"/>
        <v/>
      </c>
      <c r="GT15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2" s="176"/>
      <c r="HL152" s="69" t="str">
        <f t="shared" si="518"/>
        <v/>
      </c>
      <c r="HM152" s="74" t="str">
        <f>IF(AND(Include_study?="Yes",Sufficient_data="Yes"),Z_score-('Publication Bias Analysis'!P$3+'Publication Bias Analysis'!P$4*Inverse_standard_error),"")</f>
        <v/>
      </c>
      <c r="HO152" s="176"/>
      <c r="HP152" s="69" t="str">
        <f>IF(AND(Include_study?="Yes",Sufficient_data="Yes"),(GD:GD-SUMPRODUCT(Calculations!FT:FT,'Publication Bias Analysis'!E:E)/SUM(Calculations!FT:FT))/SQRT(Calculations!HQ:HQ),"")</f>
        <v/>
      </c>
      <c r="HQ152" s="69" t="str">
        <f>IF(AND(Include_study?="Yes",Sufficient_data="Yes"),GE:GE^2-1/SUM(Calculations!FT:FT),"")</f>
        <v/>
      </c>
      <c r="HR152" s="7" t="str">
        <f t="shared" si="441"/>
        <v/>
      </c>
      <c r="HS152" s="7" t="str">
        <f t="shared" si="442"/>
        <v/>
      </c>
      <c r="HT152" s="7" t="str">
        <f>IF(AND(Include_study?="Yes",Sufficient_data="Yes"),COUNTIFS(HR$2:HR151,"&lt;"&amp;HR152,HS$2:HS151,"&lt;"&amp;HS152)+COUNTIFS(HR153:HR$201,"&lt;"&amp;HR152,HS153:HS$201,"&lt;"&amp;HS152)+COUNTIFS(HR$2:HR151,"&gt;"&amp;HR152,HS$2:HS151,"&gt;"&amp;HS152)+COUNTIFS(HR153:HR$201,"&gt;"&amp;HR152,HS153:HS$201,"&gt;"&amp;HS152),"")</f>
        <v/>
      </c>
      <c r="HU152" s="104" t="str">
        <f>IF(AND(Include_study?="Yes",Sufficient_data="Yes"),COUNTIFS(HR$2:HR151,"&lt;"&amp;HR152,HS$2:HS151,"&gt;"&amp;HS152)+COUNTIFS(HR153:HR$201,"&lt;"&amp;HR152,HS153:HS$201,"&gt;"&amp;HS152)+COUNTIFS(HR$2:HR151,"&gt;"&amp;HR152,HS$2:HS151,"&lt;"&amp;HS152)+COUNTIFS(HR153:HR$201,"&gt;"&amp;HR152,HS153:HS$201,"&lt;"&amp;HS152),"")</f>
        <v/>
      </c>
      <c r="HW152" s="176"/>
      <c r="IB152" s="176"/>
      <c r="IC152" s="146" t="e">
        <f t="shared" si="519"/>
        <v>#N/A</v>
      </c>
      <c r="ID152" s="137" t="e">
        <f t="shared" si="520"/>
        <v>#N/A</v>
      </c>
      <c r="IE152" s="137" t="str">
        <f t="shared" si="521"/>
        <v/>
      </c>
      <c r="IF152" s="95" t="str">
        <f t="shared" si="522"/>
        <v/>
      </c>
      <c r="IK152" s="176"/>
      <c r="IL152" s="69" t="e">
        <f>IF(AND(Include_study?="Yes",Sufficient_data="Yes"),'Publication Bias Analysis'!AV:AV,NA())</f>
        <v>#N/A</v>
      </c>
      <c r="IM152" s="158" t="e">
        <f>IF(AND(Sufficient_data="Yes",Include_study?="Yes"),'Publication Bias Analysis'!AU:AU,NA())</f>
        <v>#N/A</v>
      </c>
      <c r="IN152" s="69" t="str">
        <f t="shared" si="418"/>
        <v/>
      </c>
      <c r="IO152" s="74" t="str">
        <f>IF(AND(Include_study?="Yes",Sufficient_data="Yes"),Z_score-('Publication Bias Analysis'!AY$30+'Publication Bias Analysis'!AY$31*Inverse_standard_error),"")</f>
        <v/>
      </c>
      <c r="IU152" s="176"/>
      <c r="IV152" s="7" t="str">
        <f>IF('Publication Bias Analysis'!BG:BG&lt;&gt;"",RANK('Publication Bias Analysis'!BG:BG,'Publication Bias Analysis'!BG:BG,1)+COUNTIF('Publication Bias Analysis'!BG$2:BG151,'Publication Bias Analysis'!BG152),"")</f>
        <v/>
      </c>
      <c r="IW152" s="124" t="str">
        <f t="shared" si="523"/>
        <v/>
      </c>
      <c r="IX152" s="125" t="e">
        <f>IF('Publication Bias Analysis'!BF152&lt;&gt;"",'Publication Bias Analysis'!BF152,NA())</f>
        <v>#N/A</v>
      </c>
      <c r="IY152" s="125" t="e">
        <f>IF('Publication Bias Analysis'!BG152&lt;&gt;"",'Publication Bias Analysis'!BG152,NA())</f>
        <v>#N/A</v>
      </c>
      <c r="IZ152" s="69" t="str">
        <f>IF(AND(Include_study?="Yes",Sufficient_data="Yes"),'Publication Bias Analysis'!BF:BF-AVERAGE('Publication Bias Analysis'!BF:BF),"")</f>
        <v/>
      </c>
      <c r="JA152" s="74" t="str">
        <f>IF(AND(Include_study?="Yes",Sufficient_data="Yes"),'Publication Bias Analysis'!BG:BG-('Publication Bias Analysis'!BJ$30+'Publication Bias Analysis'!BJ$31*'Publication Bias Analysis'!BF:BF),"")</f>
        <v/>
      </c>
      <c r="JG152" s="176"/>
      <c r="JH152" s="39" t="str">
        <f t="shared" si="524"/>
        <v/>
      </c>
      <c r="JI152" s="148" t="str">
        <f t="shared" si="531"/>
        <v/>
      </c>
      <c r="JJ152" s="74" t="str">
        <f t="shared" si="532"/>
        <v/>
      </c>
    </row>
    <row r="153" spans="1:270" x14ac:dyDescent="0.2">
      <c r="A153" s="56" t="str">
        <f t="shared" si="334"/>
        <v/>
      </c>
      <c r="B153" s="7" t="str">
        <f>IF(AND(Include_study?="Yes",Sufficient_data="Yes"),IF(Input!a_&lt;&gt;"",Input!a_,Input!n1_-Input!b_),"")</f>
        <v/>
      </c>
      <c r="C153" s="7" t="str">
        <f>IF(AND(Include_study?="Yes",Sufficient_data="Yes"),IF(Input!b_&lt;&gt;"",Input!b_,Input!n1_-Input!a_),"")</f>
        <v/>
      </c>
      <c r="D153" s="7" t="str">
        <f>IF(AND(Include_study?="Yes",Sufficient_data="Yes"),IF(Input!c_&lt;&gt;"",Input!c_,Input!n2_-Input!d_),"")</f>
        <v/>
      </c>
      <c r="E153" s="7" t="str">
        <f>IF(AND(Include_study?="Yes",Sufficient_data="Yes"),IF(Input!d_&lt;&gt;"",Input!d_,Input!n2_-Input!c_),"")</f>
        <v/>
      </c>
      <c r="F153" s="74" t="str">
        <f t="shared" si="443"/>
        <v/>
      </c>
      <c r="H153" s="196"/>
      <c r="I153" s="182"/>
      <c r="J153" s="146" t="str">
        <f t="shared" si="444"/>
        <v/>
      </c>
      <c r="K153" s="39" t="str">
        <f t="shared" si="445"/>
        <v/>
      </c>
      <c r="L153" s="39" t="str">
        <f t="shared" si="446"/>
        <v/>
      </c>
      <c r="M153" s="39" t="str">
        <f t="shared" si="447"/>
        <v/>
      </c>
      <c r="N153" s="74" t="str">
        <f t="shared" si="448"/>
        <v/>
      </c>
      <c r="P153" s="176"/>
      <c r="Q153" s="130" t="str">
        <f t="shared" si="449"/>
        <v/>
      </c>
      <c r="R153" s="39" t="str">
        <f t="shared" si="450"/>
        <v/>
      </c>
      <c r="S153" s="39" t="str">
        <f t="shared" si="451"/>
        <v/>
      </c>
      <c r="T153" s="74" t="str">
        <f t="shared" si="452"/>
        <v/>
      </c>
      <c r="V153" s="176"/>
      <c r="W153" s="130" t="str">
        <f t="shared" si="453"/>
        <v/>
      </c>
      <c r="X153" s="39" t="str">
        <f t="shared" si="454"/>
        <v/>
      </c>
      <c r="Y153" s="39" t="str">
        <f t="shared" si="455"/>
        <v/>
      </c>
      <c r="Z153" s="74" t="str">
        <f t="shared" si="456"/>
        <v/>
      </c>
      <c r="AB153" s="176"/>
      <c r="AC153" s="130" t="str">
        <f t="shared" si="457"/>
        <v/>
      </c>
      <c r="AD153" s="39" t="str">
        <f t="shared" si="458"/>
        <v/>
      </c>
      <c r="AE153" s="39" t="str">
        <f t="shared" si="459"/>
        <v/>
      </c>
      <c r="AF153" s="39" t="str">
        <f t="shared" si="460"/>
        <v/>
      </c>
      <c r="AG153" s="74" t="str">
        <f t="shared" si="461"/>
        <v/>
      </c>
      <c r="AI153" s="196"/>
      <c r="AJ15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3" s="136" t="str">
        <f>IF(AJ153&lt;&gt;"",IF(AJ153=0,COUNTIF(AJ$2:AJ152,0)+1,COUNTIF(AJ$2:AJ152,AJ153)+AJ153+COUNTIF(AJ:AJ,0)),"")</f>
        <v/>
      </c>
      <c r="AL153" s="136" t="str">
        <f t="shared" si="462"/>
        <v/>
      </c>
      <c r="AM153" s="155" t="str">
        <f>IF(AND(Include_study?="Yes",Sufficient_data="Yes",Input!Study_name&lt;&gt;""),Input!Study_name,"")</f>
        <v/>
      </c>
      <c r="AN153" s="136" t="str">
        <f t="shared" si="463"/>
        <v/>
      </c>
      <c r="AO153" s="19" t="str">
        <f t="shared" si="464"/>
        <v/>
      </c>
      <c r="AP153" s="158" t="str">
        <f t="shared" si="465"/>
        <v/>
      </c>
      <c r="AQ153" s="158" t="str">
        <f t="shared" si="466"/>
        <v/>
      </c>
      <c r="AR153" s="39" t="str">
        <f t="shared" si="467"/>
        <v/>
      </c>
      <c r="AS153" s="158" t="str">
        <f t="shared" si="468"/>
        <v/>
      </c>
      <c r="AT153" s="39" t="str">
        <f t="shared" si="469"/>
        <v/>
      </c>
      <c r="AU153" s="172" t="str">
        <f t="shared" si="470"/>
        <v/>
      </c>
      <c r="AV153" s="45"/>
      <c r="AW153" s="84" t="e">
        <f t="shared" si="360"/>
        <v>#N/A</v>
      </c>
      <c r="AX153" s="69" t="e">
        <f t="shared" si="471"/>
        <v>#N/A</v>
      </c>
      <c r="AY153" s="74" t="e">
        <f t="shared" si="472"/>
        <v>#N/A</v>
      </c>
      <c r="AZ153" s="45"/>
      <c r="BA153" s="45"/>
      <c r="BB153" s="45"/>
      <c r="BC153" s="45"/>
      <c r="BD153" s="196"/>
      <c r="BE153" s="182"/>
      <c r="BF153" s="69" t="str">
        <f t="shared" si="363"/>
        <v/>
      </c>
      <c r="BG153" s="69" t="str">
        <f t="shared" si="364"/>
        <v/>
      </c>
      <c r="BH153" s="69" t="str">
        <f t="shared" si="365"/>
        <v/>
      </c>
      <c r="BI153" s="39" t="str">
        <f t="shared" si="366"/>
        <v/>
      </c>
      <c r="BJ153" s="95" t="str">
        <f t="shared" si="473"/>
        <v/>
      </c>
      <c r="BO153" s="176"/>
      <c r="BP153" s="158" t="str">
        <f t="shared" si="474"/>
        <v/>
      </c>
      <c r="BQ153" s="158" t="str">
        <f t="shared" si="475"/>
        <v/>
      </c>
      <c r="BR153" s="158" t="str">
        <f t="shared" si="476"/>
        <v/>
      </c>
      <c r="BS153" s="158" t="str">
        <f>IF(AND(Sufficient_data="Yes",Include_study?="Yes"),IF(Add_0_5="Yes",(a_+d_+1)*(ab_+0.5)*(c_+0.5)/(Number_of_subjects+2)^2,(a_+d_)*b_*c_/Number_of_subjects^2),"")</f>
        <v/>
      </c>
      <c r="BT153" s="158" t="str">
        <f t="shared" si="477"/>
        <v/>
      </c>
      <c r="BU153" s="158" t="str">
        <f t="shared" si="478"/>
        <v/>
      </c>
      <c r="BV153" s="158" t="str">
        <f t="shared" si="479"/>
        <v/>
      </c>
      <c r="BW153" s="69" t="str">
        <f t="shared" si="374"/>
        <v/>
      </c>
      <c r="BX153" s="137" t="str">
        <f t="shared" si="375"/>
        <v/>
      </c>
      <c r="BY153" s="95" t="str">
        <f t="shared" si="480"/>
        <v/>
      </c>
      <c r="CD153" s="176"/>
      <c r="CE153" s="130" t="str">
        <f t="shared" si="481"/>
        <v/>
      </c>
      <c r="CF153" s="39" t="str">
        <f t="shared" si="482"/>
        <v/>
      </c>
      <c r="CG153" s="39" t="str">
        <f t="shared" si="483"/>
        <v/>
      </c>
      <c r="CH153" s="39" t="str">
        <f t="shared" si="484"/>
        <v/>
      </c>
      <c r="CI153" s="39" t="str">
        <f t="shared" si="485"/>
        <v/>
      </c>
      <c r="CJ153" s="39" t="str">
        <f t="shared" si="486"/>
        <v/>
      </c>
      <c r="CK153" s="95" t="str">
        <f t="shared" si="487"/>
        <v/>
      </c>
      <c r="CP153" s="176"/>
      <c r="CQ153" s="99" t="str">
        <f t="shared" si="383"/>
        <v/>
      </c>
      <c r="CX153" s="196"/>
      <c r="CY153" s="89" t="e">
        <f t="shared" si="488"/>
        <v>#N/A</v>
      </c>
      <c r="CZ153" s="136" t="str">
        <f t="shared" si="489"/>
        <v/>
      </c>
      <c r="DA153" s="140" t="str">
        <f t="shared" si="490"/>
        <v/>
      </c>
      <c r="DB153" s="39" t="str">
        <f t="shared" si="491"/>
        <v/>
      </c>
      <c r="DC153" s="39" t="str">
        <f t="shared" si="492"/>
        <v/>
      </c>
      <c r="DD153" s="39" t="str">
        <f t="shared" si="493"/>
        <v/>
      </c>
      <c r="DE153" s="39" t="str">
        <f t="shared" si="494"/>
        <v/>
      </c>
      <c r="DF153" s="141" t="str">
        <f t="shared" si="495"/>
        <v/>
      </c>
      <c r="DG153" s="39" t="str">
        <f t="shared" si="496"/>
        <v/>
      </c>
      <c r="DH153" s="39" t="str">
        <f t="shared" si="497"/>
        <v/>
      </c>
      <c r="DI153" s="39" t="str">
        <f t="shared" si="498"/>
        <v/>
      </c>
      <c r="DJ153" s="74" t="str">
        <f t="shared" si="499"/>
        <v/>
      </c>
      <c r="DK153" s="45"/>
      <c r="DL153" s="84" t="e">
        <f t="shared" si="423"/>
        <v>#N/A</v>
      </c>
      <c r="DM153" s="39" t="e">
        <f t="shared" si="500"/>
        <v>#N/A</v>
      </c>
      <c r="DN153" s="74" t="e">
        <f t="shared" si="501"/>
        <v>#N/A</v>
      </c>
      <c r="DO153" s="45"/>
      <c r="DP153" s="89" t="str">
        <f t="shared" si="525"/>
        <v/>
      </c>
      <c r="DQ153" s="26" t="str">
        <f>IF(AND(Sufficient_data="Yes",Subgroup&lt;&gt;""),IF(COUNTIFS(Input!J$2:J152,"="&amp;"Yes",Input!C$2:C152,"="&amp;"Yes",Input!K$2:K152,"="&amp;Subgroup)&gt;0,"",Subgroup),"")</f>
        <v/>
      </c>
      <c r="DR153" s="7" t="str">
        <f t="shared" si="526"/>
        <v/>
      </c>
      <c r="DS153" s="7" t="str">
        <f t="shared" si="502"/>
        <v/>
      </c>
      <c r="DT153" s="19" t="str">
        <f t="shared" si="503"/>
        <v/>
      </c>
      <c r="DU153" s="12" t="str">
        <f t="shared" si="424"/>
        <v/>
      </c>
      <c r="DV153" s="11" t="str">
        <f t="shared" si="425"/>
        <v/>
      </c>
      <c r="DW153" s="12" t="str">
        <f t="shared" si="426"/>
        <v/>
      </c>
      <c r="DX153" s="12" t="str">
        <f t="shared" si="504"/>
        <v/>
      </c>
      <c r="DY153" s="19" t="str">
        <f t="shared" si="427"/>
        <v/>
      </c>
      <c r="DZ153" s="12" t="str">
        <f t="shared" si="428"/>
        <v/>
      </c>
      <c r="EA153" s="19" t="str">
        <f t="shared" si="505"/>
        <v/>
      </c>
      <c r="EB153" s="7" t="str">
        <f t="shared" si="506"/>
        <v/>
      </c>
      <c r="EC153" s="19" t="str">
        <f t="shared" si="507"/>
        <v/>
      </c>
      <c r="ED153" s="19" t="str">
        <f t="shared" si="508"/>
        <v/>
      </c>
      <c r="EE153" s="19" t="str">
        <f t="shared" si="429"/>
        <v/>
      </c>
      <c r="EF153" s="19" t="str">
        <f t="shared" si="430"/>
        <v/>
      </c>
      <c r="EG153" s="19" t="str">
        <f t="shared" si="431"/>
        <v/>
      </c>
      <c r="EH153" s="19" t="str">
        <f t="shared" si="432"/>
        <v/>
      </c>
      <c r="EI153" s="19" t="str">
        <f t="shared" si="433"/>
        <v/>
      </c>
      <c r="EJ153" s="19" t="str">
        <f t="shared" si="509"/>
        <v/>
      </c>
      <c r="EK153" s="19" t="str">
        <f t="shared" si="510"/>
        <v/>
      </c>
      <c r="EL153" s="19" t="str">
        <f t="shared" si="434"/>
        <v/>
      </c>
      <c r="EM153" s="19" t="str">
        <f t="shared" si="435"/>
        <v/>
      </c>
      <c r="EN153" s="19" t="str">
        <f t="shared" si="436"/>
        <v/>
      </c>
      <c r="EO153" s="19" t="str">
        <f t="shared" si="437"/>
        <v/>
      </c>
      <c r="EP153" s="19" t="str">
        <f t="shared" si="438"/>
        <v/>
      </c>
      <c r="EQ153" s="19" t="e">
        <f t="shared" si="439"/>
        <v>#N/A</v>
      </c>
      <c r="ER153" s="11" t="str">
        <f t="shared" si="527"/>
        <v/>
      </c>
      <c r="ES153" s="19" t="str">
        <f t="shared" si="528"/>
        <v/>
      </c>
      <c r="ET153" s="156" t="str">
        <f t="shared" si="511"/>
        <v/>
      </c>
      <c r="EU153" s="39" t="str">
        <f t="shared" si="440"/>
        <v/>
      </c>
      <c r="EV153" s="74" t="str">
        <f t="shared" si="512"/>
        <v/>
      </c>
      <c r="FA153" s="196"/>
      <c r="FB153" s="84" t="e">
        <f>IF(AND(Include_study?="Yes",Sufficient_data="Yes",Moderator&lt;&gt;""),'Moderator Analysis'!E153,NA())</f>
        <v>#N/A</v>
      </c>
      <c r="FC153" s="39" t="e">
        <f>IF(AND(Include_study?="Yes",Sufficient_data="Yes",Moderator&lt;&gt;""),'Moderator Analysis'!F153,NA())</f>
        <v>#N/A</v>
      </c>
      <c r="FD153" s="39" t="str">
        <f t="shared" si="513"/>
        <v/>
      </c>
      <c r="FE153" s="39" t="str">
        <f t="shared" si="514"/>
        <v/>
      </c>
      <c r="FF153" s="39" t="str">
        <f>IF(AND(Include_study?="Yes",Sufficient_data="Yes",Moderator&lt;&gt;""),'Moderator Analysis'!F:F-FP$2,"")</f>
        <v/>
      </c>
      <c r="FG153" s="39" t="str">
        <f>IF(AND(Include_study?="Yes",Sufficient_data="Yes",Moderator&lt;&gt;""),'Moderator Analysis'!E:E-FP$3,"")</f>
        <v/>
      </c>
      <c r="FH153" s="74" t="str">
        <f>IF(AND(Include_study?="Yes",Sufficient_data="Yes",Moderator&lt;&gt;""),FE:FE*('Moderator Analysis'!F:F-FP$5-FP$4*'Moderator Analysis'!E:E)^2,"")</f>
        <v/>
      </c>
      <c r="FI153" s="128"/>
      <c r="FJ153" s="92" t="str">
        <f t="shared" si="515"/>
        <v/>
      </c>
      <c r="FK153" s="137" t="str">
        <f>IF(AND(Include_study?="Yes",Sufficient_data="Yes",Moderator&lt;&gt;""),'Moderator Analysis'!F:F-'Moderator Analysis'!J$37,"")</f>
        <v/>
      </c>
      <c r="FL153" s="137" t="str">
        <f>IF(AND(Include_study?="Yes",Sufficient_data="Yes",Moderator&lt;&gt;""),'Moderator Analysis'!E:E-SUMPRODUCT('Moderator Analysis'!E:E,FJ:FJ)/SUM(FJ:FJ),"")</f>
        <v/>
      </c>
      <c r="FM153" s="95" t="str">
        <f>IF(AND(Include_study?="Yes",Sufficient_data="Yes",Moderator&lt;&gt;""),FJ:FJ*('Moderator Analysis'!F:F-'Moderator Analysis'!J$29-'Moderator Analysis'!J$30*'Moderator Analysis'!E:E)^2,"")</f>
        <v/>
      </c>
      <c r="FR153" s="196"/>
      <c r="FS153" s="182"/>
      <c r="FT15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3" s="39" t="str">
        <f>IF(AND(Include_study?="Yes",Sufficient_data="Yes"),1/('Publication Bias Analysis'!F:F^2+IF(Additional_model="Fixed effect",0,Calculations!GH$12)),"")</f>
        <v/>
      </c>
      <c r="FV153" s="39" t="str">
        <f>IF(AND(Include_study?="Yes",Sufficient_data="Yes"),1/('Publication Bias Analysis'!F:F^2+IF(Additional_model="Fixed effect",0,'Publication Bias Analysis'!L$32)),"")</f>
        <v/>
      </c>
      <c r="FW153" s="39" t="str">
        <f>IF(AND(Include_study?="Yes",Sufficient_data="Yes"),'Publication Bias Analysis'!E:E-'Publication Bias Analysis'!I$37,"")</f>
        <v/>
      </c>
      <c r="FX153" s="39" t="str">
        <f>IF(AND(Include_study?="Yes",Sufficient_data="Yes"),IF(Additional_model="Fixed effect",1/'Publication Bias Analysis'!F:F,1/SQRT('Publication Bias Analysis'!F:F^2+GH$12)),"")</f>
        <v/>
      </c>
      <c r="FY15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3" s="136" t="str">
        <f t="shared" si="516"/>
        <v/>
      </c>
      <c r="GA153" s="144" t="str">
        <f>IF(AND(Include_study?="Yes",Sufficient_data="Yes"),FZ:FZ+IF(GL:GL&lt;0,-1,1)*COUNTIF(FZ$2:FZ152,FZ:FZ),"")</f>
        <v/>
      </c>
      <c r="GB153" s="144" t="str">
        <f>IF(AND(Include_study?="Yes",Sufficient_data="Yes"),RANK(GP:GP,GP:GP,1)*IF(GO:GO&lt;0,-1,1)+IF(GO:GO&lt;0,-1,1)*COUNTIF(FZ$2:FZ152,FZ:FZ),"")</f>
        <v/>
      </c>
      <c r="GC153" s="144" t="str">
        <f>IF(AND(Include_study?="Yes",Sufficient_data="Yes"),RANK(GS:GS,GS:GS,1)*IF(GR:GR&lt;0,-1,1)+IF(GR:GR&lt;0,-1,1)*COUNTIF(FZ$2:FZ152,FZ:FZ),"")</f>
        <v/>
      </c>
      <c r="GD153" s="39" t="e">
        <f>IF(AND(Include_study?="Yes",Sufficient_data="Yes"),'Publication Bias Analysis'!E153,NA())</f>
        <v>#N/A</v>
      </c>
      <c r="GE153" s="74" t="e">
        <f>IF(AND(Include_study?="Yes",Sufficient_data="Yes"),'Publication Bias Analysis'!F153,NA())</f>
        <v>#N/A</v>
      </c>
      <c r="GK153" s="176"/>
      <c r="GL15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3" s="39" t="str">
        <f t="shared" si="517"/>
        <v/>
      </c>
      <c r="GN15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3" s="39" t="str">
        <f>IF(AND(Include_study?="Yes",Sufficient_data="Yes"),IF('Publication Bias Analysis'!L$38="Left",'Publication Bias Analysis'!E:E-GW$3,GW$3-'Publication Bias Analysis'!E:E),"")</f>
        <v/>
      </c>
      <c r="GP153" s="39" t="str">
        <f t="shared" si="529"/>
        <v/>
      </c>
      <c r="GQ15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3" s="39" t="str">
        <f>IF(AND(Include_study?="Yes",Sufficient_data="Yes"),IF('Publication Bias Analysis'!L$38="Left",'Publication Bias Analysis'!E:E-GW$10,GW$10-'Publication Bias Analysis'!E:E),"")</f>
        <v/>
      </c>
      <c r="GS153" s="39" t="str">
        <f t="shared" si="530"/>
        <v/>
      </c>
      <c r="GT15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3" s="176"/>
      <c r="HL153" s="69" t="str">
        <f t="shared" si="518"/>
        <v/>
      </c>
      <c r="HM153" s="74" t="str">
        <f>IF(AND(Include_study?="Yes",Sufficient_data="Yes"),Z_score-('Publication Bias Analysis'!P$3+'Publication Bias Analysis'!P$4*Inverse_standard_error),"")</f>
        <v/>
      </c>
      <c r="HO153" s="176"/>
      <c r="HP153" s="69" t="str">
        <f>IF(AND(Include_study?="Yes",Sufficient_data="Yes"),(GD:GD-SUMPRODUCT(Calculations!FT:FT,'Publication Bias Analysis'!E:E)/SUM(Calculations!FT:FT))/SQRT(Calculations!HQ:HQ),"")</f>
        <v/>
      </c>
      <c r="HQ153" s="69" t="str">
        <f>IF(AND(Include_study?="Yes",Sufficient_data="Yes"),GE:GE^2-1/SUM(Calculations!FT:FT),"")</f>
        <v/>
      </c>
      <c r="HR153" s="7" t="str">
        <f t="shared" si="441"/>
        <v/>
      </c>
      <c r="HS153" s="7" t="str">
        <f t="shared" si="442"/>
        <v/>
      </c>
      <c r="HT153" s="7" t="str">
        <f>IF(AND(Include_study?="Yes",Sufficient_data="Yes"),COUNTIFS(HR$2:HR152,"&lt;"&amp;HR153,HS$2:HS152,"&lt;"&amp;HS153)+COUNTIFS(HR154:HR$201,"&lt;"&amp;HR153,HS154:HS$201,"&lt;"&amp;HS153)+COUNTIFS(HR$2:HR152,"&gt;"&amp;HR153,HS$2:HS152,"&gt;"&amp;HS153)+COUNTIFS(HR154:HR$201,"&gt;"&amp;HR153,HS154:HS$201,"&gt;"&amp;HS153),"")</f>
        <v/>
      </c>
      <c r="HU153" s="104" t="str">
        <f>IF(AND(Include_study?="Yes",Sufficient_data="Yes"),COUNTIFS(HR$2:HR152,"&lt;"&amp;HR153,HS$2:HS152,"&gt;"&amp;HS153)+COUNTIFS(HR154:HR$201,"&lt;"&amp;HR153,HS154:HS$201,"&gt;"&amp;HS153)+COUNTIFS(HR$2:HR152,"&gt;"&amp;HR153,HS$2:HS152,"&lt;"&amp;HS153)+COUNTIFS(HR154:HR$201,"&gt;"&amp;HR153,HS154:HS$201,"&lt;"&amp;HS153),"")</f>
        <v/>
      </c>
      <c r="HW153" s="176"/>
      <c r="IB153" s="176"/>
      <c r="IC153" s="146" t="e">
        <f t="shared" si="519"/>
        <v>#N/A</v>
      </c>
      <c r="ID153" s="137" t="e">
        <f t="shared" si="520"/>
        <v>#N/A</v>
      </c>
      <c r="IE153" s="137" t="str">
        <f t="shared" si="521"/>
        <v/>
      </c>
      <c r="IF153" s="95" t="str">
        <f t="shared" si="522"/>
        <v/>
      </c>
      <c r="IK153" s="176"/>
      <c r="IL153" s="69" t="e">
        <f>IF(AND(Include_study?="Yes",Sufficient_data="Yes"),'Publication Bias Analysis'!AV:AV,NA())</f>
        <v>#N/A</v>
      </c>
      <c r="IM153" s="158" t="e">
        <f>IF(AND(Sufficient_data="Yes",Include_study?="Yes"),'Publication Bias Analysis'!AU:AU,NA())</f>
        <v>#N/A</v>
      </c>
      <c r="IN153" s="69" t="str">
        <f t="shared" si="418"/>
        <v/>
      </c>
      <c r="IO153" s="74" t="str">
        <f>IF(AND(Include_study?="Yes",Sufficient_data="Yes"),Z_score-('Publication Bias Analysis'!AY$30+'Publication Bias Analysis'!AY$31*Inverse_standard_error),"")</f>
        <v/>
      </c>
      <c r="IU153" s="176"/>
      <c r="IV153" s="7" t="str">
        <f>IF('Publication Bias Analysis'!BG:BG&lt;&gt;"",RANK('Publication Bias Analysis'!BG:BG,'Publication Bias Analysis'!BG:BG,1)+COUNTIF('Publication Bias Analysis'!BG$2:BG152,'Publication Bias Analysis'!BG153),"")</f>
        <v/>
      </c>
      <c r="IW153" s="124" t="str">
        <f t="shared" si="523"/>
        <v/>
      </c>
      <c r="IX153" s="125" t="e">
        <f>IF('Publication Bias Analysis'!BF153&lt;&gt;"",'Publication Bias Analysis'!BF153,NA())</f>
        <v>#N/A</v>
      </c>
      <c r="IY153" s="125" t="e">
        <f>IF('Publication Bias Analysis'!BG153&lt;&gt;"",'Publication Bias Analysis'!BG153,NA())</f>
        <v>#N/A</v>
      </c>
      <c r="IZ153" s="69" t="str">
        <f>IF(AND(Include_study?="Yes",Sufficient_data="Yes"),'Publication Bias Analysis'!BF:BF-AVERAGE('Publication Bias Analysis'!BF:BF),"")</f>
        <v/>
      </c>
      <c r="JA153" s="74" t="str">
        <f>IF(AND(Include_study?="Yes",Sufficient_data="Yes"),'Publication Bias Analysis'!BG:BG-('Publication Bias Analysis'!BJ$30+'Publication Bias Analysis'!BJ$31*'Publication Bias Analysis'!BF:BF),"")</f>
        <v/>
      </c>
      <c r="JG153" s="176"/>
      <c r="JH153" s="39" t="str">
        <f t="shared" si="524"/>
        <v/>
      </c>
      <c r="JI153" s="148" t="str">
        <f t="shared" si="531"/>
        <v/>
      </c>
      <c r="JJ153" s="74" t="str">
        <f t="shared" si="532"/>
        <v/>
      </c>
    </row>
    <row r="154" spans="1:270" x14ac:dyDescent="0.2">
      <c r="A154" s="56" t="str">
        <f t="shared" si="334"/>
        <v/>
      </c>
      <c r="B154" s="7" t="str">
        <f>IF(AND(Include_study?="Yes",Sufficient_data="Yes"),IF(Input!a_&lt;&gt;"",Input!a_,Input!n1_-Input!b_),"")</f>
        <v/>
      </c>
      <c r="C154" s="7" t="str">
        <f>IF(AND(Include_study?="Yes",Sufficient_data="Yes"),IF(Input!b_&lt;&gt;"",Input!b_,Input!n1_-Input!a_),"")</f>
        <v/>
      </c>
      <c r="D154" s="7" t="str">
        <f>IF(AND(Include_study?="Yes",Sufficient_data="Yes"),IF(Input!c_&lt;&gt;"",Input!c_,Input!n2_-Input!d_),"")</f>
        <v/>
      </c>
      <c r="E154" s="7" t="str">
        <f>IF(AND(Include_study?="Yes",Sufficient_data="Yes"),IF(Input!d_&lt;&gt;"",Input!d_,Input!n2_-Input!c_),"")</f>
        <v/>
      </c>
      <c r="F154" s="74" t="str">
        <f t="shared" si="443"/>
        <v/>
      </c>
      <c r="H154" s="196"/>
      <c r="I154" s="182"/>
      <c r="J154" s="146" t="str">
        <f t="shared" si="444"/>
        <v/>
      </c>
      <c r="K154" s="39" t="str">
        <f t="shared" si="445"/>
        <v/>
      </c>
      <c r="L154" s="39" t="str">
        <f t="shared" si="446"/>
        <v/>
      </c>
      <c r="M154" s="39" t="str">
        <f t="shared" si="447"/>
        <v/>
      </c>
      <c r="N154" s="74" t="str">
        <f t="shared" si="448"/>
        <v/>
      </c>
      <c r="P154" s="176"/>
      <c r="Q154" s="130" t="str">
        <f t="shared" si="449"/>
        <v/>
      </c>
      <c r="R154" s="39" t="str">
        <f t="shared" si="450"/>
        <v/>
      </c>
      <c r="S154" s="39" t="str">
        <f t="shared" si="451"/>
        <v/>
      </c>
      <c r="T154" s="74" t="str">
        <f t="shared" si="452"/>
        <v/>
      </c>
      <c r="V154" s="176"/>
      <c r="W154" s="130" t="str">
        <f t="shared" si="453"/>
        <v/>
      </c>
      <c r="X154" s="39" t="str">
        <f t="shared" si="454"/>
        <v/>
      </c>
      <c r="Y154" s="39" t="str">
        <f t="shared" si="455"/>
        <v/>
      </c>
      <c r="Z154" s="74" t="str">
        <f t="shared" si="456"/>
        <v/>
      </c>
      <c r="AB154" s="176"/>
      <c r="AC154" s="130" t="str">
        <f t="shared" si="457"/>
        <v/>
      </c>
      <c r="AD154" s="39" t="str">
        <f t="shared" si="458"/>
        <v/>
      </c>
      <c r="AE154" s="39" t="str">
        <f t="shared" si="459"/>
        <v/>
      </c>
      <c r="AF154" s="39" t="str">
        <f t="shared" si="460"/>
        <v/>
      </c>
      <c r="AG154" s="74" t="str">
        <f t="shared" si="461"/>
        <v/>
      </c>
      <c r="AI154" s="196"/>
      <c r="AJ15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4" s="136" t="str">
        <f>IF(AJ154&lt;&gt;"",IF(AJ154=0,COUNTIF(AJ$2:AJ153,0)+1,COUNTIF(AJ$2:AJ153,AJ154)+AJ154+COUNTIF(AJ:AJ,0)),"")</f>
        <v/>
      </c>
      <c r="AL154" s="136" t="str">
        <f t="shared" si="462"/>
        <v/>
      </c>
      <c r="AM154" s="155" t="str">
        <f>IF(AND(Include_study?="Yes",Sufficient_data="Yes",Input!Study_name&lt;&gt;""),Input!Study_name,"")</f>
        <v/>
      </c>
      <c r="AN154" s="136" t="str">
        <f t="shared" si="463"/>
        <v/>
      </c>
      <c r="AO154" s="19" t="str">
        <f t="shared" si="464"/>
        <v/>
      </c>
      <c r="AP154" s="158" t="str">
        <f t="shared" si="465"/>
        <v/>
      </c>
      <c r="AQ154" s="158" t="str">
        <f t="shared" si="466"/>
        <v/>
      </c>
      <c r="AR154" s="39" t="str">
        <f t="shared" si="467"/>
        <v/>
      </c>
      <c r="AS154" s="158" t="str">
        <f t="shared" si="468"/>
        <v/>
      </c>
      <c r="AT154" s="39" t="str">
        <f t="shared" si="469"/>
        <v/>
      </c>
      <c r="AU154" s="172" t="str">
        <f t="shared" si="470"/>
        <v/>
      </c>
      <c r="AV154" s="45"/>
      <c r="AW154" s="84" t="e">
        <f t="shared" si="360"/>
        <v>#N/A</v>
      </c>
      <c r="AX154" s="69" t="e">
        <f t="shared" si="471"/>
        <v>#N/A</v>
      </c>
      <c r="AY154" s="74" t="e">
        <f t="shared" si="472"/>
        <v>#N/A</v>
      </c>
      <c r="AZ154" s="45"/>
      <c r="BA154" s="45"/>
      <c r="BB154" s="45"/>
      <c r="BC154" s="45"/>
      <c r="BD154" s="196"/>
      <c r="BE154" s="182"/>
      <c r="BF154" s="69" t="str">
        <f t="shared" si="363"/>
        <v/>
      </c>
      <c r="BG154" s="69" t="str">
        <f t="shared" si="364"/>
        <v/>
      </c>
      <c r="BH154" s="69" t="str">
        <f t="shared" si="365"/>
        <v/>
      </c>
      <c r="BI154" s="39" t="str">
        <f t="shared" si="366"/>
        <v/>
      </c>
      <c r="BJ154" s="95" t="str">
        <f t="shared" si="473"/>
        <v/>
      </c>
      <c r="BO154" s="176"/>
      <c r="BP154" s="158" t="str">
        <f t="shared" si="474"/>
        <v/>
      </c>
      <c r="BQ154" s="158" t="str">
        <f t="shared" si="475"/>
        <v/>
      </c>
      <c r="BR154" s="158" t="str">
        <f t="shared" si="476"/>
        <v/>
      </c>
      <c r="BS154" s="158" t="str">
        <f>IF(AND(Sufficient_data="Yes",Include_study?="Yes"),IF(Add_0_5="Yes",(a_+d_+1)*(ab_+0.5)*(c_+0.5)/(Number_of_subjects+2)^2,(a_+d_)*b_*c_/Number_of_subjects^2),"")</f>
        <v/>
      </c>
      <c r="BT154" s="158" t="str">
        <f t="shared" si="477"/>
        <v/>
      </c>
      <c r="BU154" s="158" t="str">
        <f t="shared" si="478"/>
        <v/>
      </c>
      <c r="BV154" s="158" t="str">
        <f t="shared" si="479"/>
        <v/>
      </c>
      <c r="BW154" s="69" t="str">
        <f t="shared" si="374"/>
        <v/>
      </c>
      <c r="BX154" s="137" t="str">
        <f t="shared" si="375"/>
        <v/>
      </c>
      <c r="BY154" s="95" t="str">
        <f t="shared" si="480"/>
        <v/>
      </c>
      <c r="CD154" s="176"/>
      <c r="CE154" s="130" t="str">
        <f t="shared" si="481"/>
        <v/>
      </c>
      <c r="CF154" s="39" t="str">
        <f t="shared" si="482"/>
        <v/>
      </c>
      <c r="CG154" s="39" t="str">
        <f t="shared" si="483"/>
        <v/>
      </c>
      <c r="CH154" s="39" t="str">
        <f t="shared" si="484"/>
        <v/>
      </c>
      <c r="CI154" s="39" t="str">
        <f t="shared" si="485"/>
        <v/>
      </c>
      <c r="CJ154" s="39" t="str">
        <f t="shared" si="486"/>
        <v/>
      </c>
      <c r="CK154" s="95" t="str">
        <f t="shared" si="487"/>
        <v/>
      </c>
      <c r="CP154" s="176"/>
      <c r="CQ154" s="99" t="str">
        <f t="shared" si="383"/>
        <v/>
      </c>
      <c r="CX154" s="196"/>
      <c r="CY154" s="89" t="e">
        <f t="shared" si="488"/>
        <v>#N/A</v>
      </c>
      <c r="CZ154" s="136" t="str">
        <f t="shared" si="489"/>
        <v/>
      </c>
      <c r="DA154" s="140" t="str">
        <f t="shared" si="490"/>
        <v/>
      </c>
      <c r="DB154" s="39" t="str">
        <f t="shared" si="491"/>
        <v/>
      </c>
      <c r="DC154" s="39" t="str">
        <f t="shared" si="492"/>
        <v/>
      </c>
      <c r="DD154" s="39" t="str">
        <f t="shared" si="493"/>
        <v/>
      </c>
      <c r="DE154" s="39" t="str">
        <f t="shared" si="494"/>
        <v/>
      </c>
      <c r="DF154" s="141" t="str">
        <f t="shared" si="495"/>
        <v/>
      </c>
      <c r="DG154" s="39" t="str">
        <f t="shared" si="496"/>
        <v/>
      </c>
      <c r="DH154" s="39" t="str">
        <f t="shared" si="497"/>
        <v/>
      </c>
      <c r="DI154" s="39" t="str">
        <f t="shared" si="498"/>
        <v/>
      </c>
      <c r="DJ154" s="74" t="str">
        <f t="shared" si="499"/>
        <v/>
      </c>
      <c r="DK154" s="45"/>
      <c r="DL154" s="84" t="e">
        <f t="shared" si="423"/>
        <v>#N/A</v>
      </c>
      <c r="DM154" s="39" t="e">
        <f t="shared" si="500"/>
        <v>#N/A</v>
      </c>
      <c r="DN154" s="74" t="e">
        <f t="shared" si="501"/>
        <v>#N/A</v>
      </c>
      <c r="DO154" s="45"/>
      <c r="DP154" s="89" t="str">
        <f t="shared" si="525"/>
        <v/>
      </c>
      <c r="DQ154" s="26" t="str">
        <f>IF(AND(Sufficient_data="Yes",Subgroup&lt;&gt;""),IF(COUNTIFS(Input!J$2:J153,"="&amp;"Yes",Input!C$2:C153,"="&amp;"Yes",Input!K$2:K153,"="&amp;Subgroup)&gt;0,"",Subgroup),"")</f>
        <v/>
      </c>
      <c r="DR154" s="7" t="str">
        <f t="shared" si="526"/>
        <v/>
      </c>
      <c r="DS154" s="7" t="str">
        <f t="shared" si="502"/>
        <v/>
      </c>
      <c r="DT154" s="19" t="str">
        <f t="shared" si="503"/>
        <v/>
      </c>
      <c r="DU154" s="12" t="str">
        <f t="shared" si="424"/>
        <v/>
      </c>
      <c r="DV154" s="11" t="str">
        <f t="shared" si="425"/>
        <v/>
      </c>
      <c r="DW154" s="12" t="str">
        <f t="shared" si="426"/>
        <v/>
      </c>
      <c r="DX154" s="12" t="str">
        <f t="shared" si="504"/>
        <v/>
      </c>
      <c r="DY154" s="19" t="str">
        <f t="shared" si="427"/>
        <v/>
      </c>
      <c r="DZ154" s="12" t="str">
        <f t="shared" si="428"/>
        <v/>
      </c>
      <c r="EA154" s="19" t="str">
        <f t="shared" si="505"/>
        <v/>
      </c>
      <c r="EB154" s="7" t="str">
        <f t="shared" si="506"/>
        <v/>
      </c>
      <c r="EC154" s="19" t="str">
        <f t="shared" si="507"/>
        <v/>
      </c>
      <c r="ED154" s="19" t="str">
        <f t="shared" si="508"/>
        <v/>
      </c>
      <c r="EE154" s="19" t="str">
        <f t="shared" si="429"/>
        <v/>
      </c>
      <c r="EF154" s="19" t="str">
        <f t="shared" si="430"/>
        <v/>
      </c>
      <c r="EG154" s="19" t="str">
        <f t="shared" si="431"/>
        <v/>
      </c>
      <c r="EH154" s="19" t="str">
        <f t="shared" si="432"/>
        <v/>
      </c>
      <c r="EI154" s="19" t="str">
        <f t="shared" si="433"/>
        <v/>
      </c>
      <c r="EJ154" s="19" t="str">
        <f t="shared" si="509"/>
        <v/>
      </c>
      <c r="EK154" s="19" t="str">
        <f t="shared" si="510"/>
        <v/>
      </c>
      <c r="EL154" s="19" t="str">
        <f t="shared" si="434"/>
        <v/>
      </c>
      <c r="EM154" s="19" t="str">
        <f t="shared" si="435"/>
        <v/>
      </c>
      <c r="EN154" s="19" t="str">
        <f t="shared" si="436"/>
        <v/>
      </c>
      <c r="EO154" s="19" t="str">
        <f t="shared" si="437"/>
        <v/>
      </c>
      <c r="EP154" s="19" t="str">
        <f t="shared" si="438"/>
        <v/>
      </c>
      <c r="EQ154" s="19" t="e">
        <f t="shared" si="439"/>
        <v>#N/A</v>
      </c>
      <c r="ER154" s="11" t="str">
        <f t="shared" si="527"/>
        <v/>
      </c>
      <c r="ES154" s="19" t="str">
        <f t="shared" si="528"/>
        <v/>
      </c>
      <c r="ET154" s="156" t="str">
        <f t="shared" si="511"/>
        <v/>
      </c>
      <c r="EU154" s="39" t="str">
        <f t="shared" si="440"/>
        <v/>
      </c>
      <c r="EV154" s="74" t="str">
        <f t="shared" si="512"/>
        <v/>
      </c>
      <c r="FA154" s="196"/>
      <c r="FB154" s="84" t="e">
        <f>IF(AND(Include_study?="Yes",Sufficient_data="Yes",Moderator&lt;&gt;""),'Moderator Analysis'!E154,NA())</f>
        <v>#N/A</v>
      </c>
      <c r="FC154" s="39" t="e">
        <f>IF(AND(Include_study?="Yes",Sufficient_data="Yes",Moderator&lt;&gt;""),'Moderator Analysis'!F154,NA())</f>
        <v>#N/A</v>
      </c>
      <c r="FD154" s="39" t="str">
        <f t="shared" si="513"/>
        <v/>
      </c>
      <c r="FE154" s="39" t="str">
        <f t="shared" si="514"/>
        <v/>
      </c>
      <c r="FF154" s="39" t="str">
        <f>IF(AND(Include_study?="Yes",Sufficient_data="Yes",Moderator&lt;&gt;""),'Moderator Analysis'!F:F-FP$2,"")</f>
        <v/>
      </c>
      <c r="FG154" s="39" t="str">
        <f>IF(AND(Include_study?="Yes",Sufficient_data="Yes",Moderator&lt;&gt;""),'Moderator Analysis'!E:E-FP$3,"")</f>
        <v/>
      </c>
      <c r="FH154" s="74" t="str">
        <f>IF(AND(Include_study?="Yes",Sufficient_data="Yes",Moderator&lt;&gt;""),FE:FE*('Moderator Analysis'!F:F-FP$5-FP$4*'Moderator Analysis'!E:E)^2,"")</f>
        <v/>
      </c>
      <c r="FI154" s="128"/>
      <c r="FJ154" s="92" t="str">
        <f t="shared" si="515"/>
        <v/>
      </c>
      <c r="FK154" s="137" t="str">
        <f>IF(AND(Include_study?="Yes",Sufficient_data="Yes",Moderator&lt;&gt;""),'Moderator Analysis'!F:F-'Moderator Analysis'!J$37,"")</f>
        <v/>
      </c>
      <c r="FL154" s="137" t="str">
        <f>IF(AND(Include_study?="Yes",Sufficient_data="Yes",Moderator&lt;&gt;""),'Moderator Analysis'!E:E-SUMPRODUCT('Moderator Analysis'!E:E,FJ:FJ)/SUM(FJ:FJ),"")</f>
        <v/>
      </c>
      <c r="FM154" s="95" t="str">
        <f>IF(AND(Include_study?="Yes",Sufficient_data="Yes",Moderator&lt;&gt;""),FJ:FJ*('Moderator Analysis'!F:F-'Moderator Analysis'!J$29-'Moderator Analysis'!J$30*'Moderator Analysis'!E:E)^2,"")</f>
        <v/>
      </c>
      <c r="FR154" s="196"/>
      <c r="FS154" s="182"/>
      <c r="FT15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4" s="39" t="str">
        <f>IF(AND(Include_study?="Yes",Sufficient_data="Yes"),1/('Publication Bias Analysis'!F:F^2+IF(Additional_model="Fixed effect",0,Calculations!GH$12)),"")</f>
        <v/>
      </c>
      <c r="FV154" s="39" t="str">
        <f>IF(AND(Include_study?="Yes",Sufficient_data="Yes"),1/('Publication Bias Analysis'!F:F^2+IF(Additional_model="Fixed effect",0,'Publication Bias Analysis'!L$32)),"")</f>
        <v/>
      </c>
      <c r="FW154" s="39" t="str">
        <f>IF(AND(Include_study?="Yes",Sufficient_data="Yes"),'Publication Bias Analysis'!E:E-'Publication Bias Analysis'!I$37,"")</f>
        <v/>
      </c>
      <c r="FX154" s="39" t="str">
        <f>IF(AND(Include_study?="Yes",Sufficient_data="Yes"),IF(Additional_model="Fixed effect",1/'Publication Bias Analysis'!F:F,1/SQRT('Publication Bias Analysis'!F:F^2+GH$12)),"")</f>
        <v/>
      </c>
      <c r="FY15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4" s="136" t="str">
        <f t="shared" si="516"/>
        <v/>
      </c>
      <c r="GA154" s="144" t="str">
        <f>IF(AND(Include_study?="Yes",Sufficient_data="Yes"),FZ:FZ+IF(GL:GL&lt;0,-1,1)*COUNTIF(FZ$2:FZ153,FZ:FZ),"")</f>
        <v/>
      </c>
      <c r="GB154" s="144" t="str">
        <f>IF(AND(Include_study?="Yes",Sufficient_data="Yes"),RANK(GP:GP,GP:GP,1)*IF(GO:GO&lt;0,-1,1)+IF(GO:GO&lt;0,-1,1)*COUNTIF(FZ$2:FZ153,FZ:FZ),"")</f>
        <v/>
      </c>
      <c r="GC154" s="144" t="str">
        <f>IF(AND(Include_study?="Yes",Sufficient_data="Yes"),RANK(GS:GS,GS:GS,1)*IF(GR:GR&lt;0,-1,1)+IF(GR:GR&lt;0,-1,1)*COUNTIF(FZ$2:FZ153,FZ:FZ),"")</f>
        <v/>
      </c>
      <c r="GD154" s="39" t="e">
        <f>IF(AND(Include_study?="Yes",Sufficient_data="Yes"),'Publication Bias Analysis'!E154,NA())</f>
        <v>#N/A</v>
      </c>
      <c r="GE154" s="74" t="e">
        <f>IF(AND(Include_study?="Yes",Sufficient_data="Yes"),'Publication Bias Analysis'!F154,NA())</f>
        <v>#N/A</v>
      </c>
      <c r="GK154" s="176"/>
      <c r="GL15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4" s="39" t="str">
        <f t="shared" si="517"/>
        <v/>
      </c>
      <c r="GN15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4" s="39" t="str">
        <f>IF(AND(Include_study?="Yes",Sufficient_data="Yes"),IF('Publication Bias Analysis'!L$38="Left",'Publication Bias Analysis'!E:E-GW$3,GW$3-'Publication Bias Analysis'!E:E),"")</f>
        <v/>
      </c>
      <c r="GP154" s="39" t="str">
        <f t="shared" si="529"/>
        <v/>
      </c>
      <c r="GQ15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4" s="39" t="str">
        <f>IF(AND(Include_study?="Yes",Sufficient_data="Yes"),IF('Publication Bias Analysis'!L$38="Left",'Publication Bias Analysis'!E:E-GW$10,GW$10-'Publication Bias Analysis'!E:E),"")</f>
        <v/>
      </c>
      <c r="GS154" s="39" t="str">
        <f t="shared" si="530"/>
        <v/>
      </c>
      <c r="GT15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4" s="176"/>
      <c r="HL154" s="69" t="str">
        <f t="shared" si="518"/>
        <v/>
      </c>
      <c r="HM154" s="74" t="str">
        <f>IF(AND(Include_study?="Yes",Sufficient_data="Yes"),Z_score-('Publication Bias Analysis'!P$3+'Publication Bias Analysis'!P$4*Inverse_standard_error),"")</f>
        <v/>
      </c>
      <c r="HO154" s="176"/>
      <c r="HP154" s="69" t="str">
        <f>IF(AND(Include_study?="Yes",Sufficient_data="Yes"),(GD:GD-SUMPRODUCT(Calculations!FT:FT,'Publication Bias Analysis'!E:E)/SUM(Calculations!FT:FT))/SQRT(Calculations!HQ:HQ),"")</f>
        <v/>
      </c>
      <c r="HQ154" s="69" t="str">
        <f>IF(AND(Include_study?="Yes",Sufficient_data="Yes"),GE:GE^2-1/SUM(Calculations!FT:FT),"")</f>
        <v/>
      </c>
      <c r="HR154" s="7" t="str">
        <f t="shared" si="441"/>
        <v/>
      </c>
      <c r="HS154" s="7" t="str">
        <f t="shared" si="442"/>
        <v/>
      </c>
      <c r="HT154" s="7" t="str">
        <f>IF(AND(Include_study?="Yes",Sufficient_data="Yes"),COUNTIFS(HR$2:HR153,"&lt;"&amp;HR154,HS$2:HS153,"&lt;"&amp;HS154)+COUNTIFS(HR155:HR$201,"&lt;"&amp;HR154,HS155:HS$201,"&lt;"&amp;HS154)+COUNTIFS(HR$2:HR153,"&gt;"&amp;HR154,HS$2:HS153,"&gt;"&amp;HS154)+COUNTIFS(HR155:HR$201,"&gt;"&amp;HR154,HS155:HS$201,"&gt;"&amp;HS154),"")</f>
        <v/>
      </c>
      <c r="HU154" s="104" t="str">
        <f>IF(AND(Include_study?="Yes",Sufficient_data="Yes"),COUNTIFS(HR$2:HR153,"&lt;"&amp;HR154,HS$2:HS153,"&gt;"&amp;HS154)+COUNTIFS(HR155:HR$201,"&lt;"&amp;HR154,HS155:HS$201,"&gt;"&amp;HS154)+COUNTIFS(HR$2:HR153,"&gt;"&amp;HR154,HS$2:HS153,"&lt;"&amp;HS154)+COUNTIFS(HR155:HR$201,"&gt;"&amp;HR154,HS155:HS$201,"&lt;"&amp;HS154),"")</f>
        <v/>
      </c>
      <c r="HW154" s="176"/>
      <c r="IB154" s="176"/>
      <c r="IC154" s="146" t="e">
        <f t="shared" si="519"/>
        <v>#N/A</v>
      </c>
      <c r="ID154" s="137" t="e">
        <f t="shared" si="520"/>
        <v>#N/A</v>
      </c>
      <c r="IE154" s="137" t="str">
        <f t="shared" si="521"/>
        <v/>
      </c>
      <c r="IF154" s="95" t="str">
        <f t="shared" si="522"/>
        <v/>
      </c>
      <c r="IK154" s="176"/>
      <c r="IL154" s="69" t="e">
        <f>IF(AND(Include_study?="Yes",Sufficient_data="Yes"),'Publication Bias Analysis'!AV:AV,NA())</f>
        <v>#N/A</v>
      </c>
      <c r="IM154" s="158" t="e">
        <f>IF(AND(Sufficient_data="Yes",Include_study?="Yes"),'Publication Bias Analysis'!AU:AU,NA())</f>
        <v>#N/A</v>
      </c>
      <c r="IN154" s="69" t="str">
        <f t="shared" si="418"/>
        <v/>
      </c>
      <c r="IO154" s="74" t="str">
        <f>IF(AND(Include_study?="Yes",Sufficient_data="Yes"),Z_score-('Publication Bias Analysis'!AY$30+'Publication Bias Analysis'!AY$31*Inverse_standard_error),"")</f>
        <v/>
      </c>
      <c r="IU154" s="176"/>
      <c r="IV154" s="7" t="str">
        <f>IF('Publication Bias Analysis'!BG:BG&lt;&gt;"",RANK('Publication Bias Analysis'!BG:BG,'Publication Bias Analysis'!BG:BG,1)+COUNTIF('Publication Bias Analysis'!BG$2:BG153,'Publication Bias Analysis'!BG154),"")</f>
        <v/>
      </c>
      <c r="IW154" s="124" t="str">
        <f t="shared" si="523"/>
        <v/>
      </c>
      <c r="IX154" s="125" t="e">
        <f>IF('Publication Bias Analysis'!BF154&lt;&gt;"",'Publication Bias Analysis'!BF154,NA())</f>
        <v>#N/A</v>
      </c>
      <c r="IY154" s="125" t="e">
        <f>IF('Publication Bias Analysis'!BG154&lt;&gt;"",'Publication Bias Analysis'!BG154,NA())</f>
        <v>#N/A</v>
      </c>
      <c r="IZ154" s="69" t="str">
        <f>IF(AND(Include_study?="Yes",Sufficient_data="Yes"),'Publication Bias Analysis'!BF:BF-AVERAGE('Publication Bias Analysis'!BF:BF),"")</f>
        <v/>
      </c>
      <c r="JA154" s="74" t="str">
        <f>IF(AND(Include_study?="Yes",Sufficient_data="Yes"),'Publication Bias Analysis'!BG:BG-('Publication Bias Analysis'!BJ$30+'Publication Bias Analysis'!BJ$31*'Publication Bias Analysis'!BF:BF),"")</f>
        <v/>
      </c>
      <c r="JG154" s="176"/>
      <c r="JH154" s="39" t="str">
        <f t="shared" si="524"/>
        <v/>
      </c>
      <c r="JI154" s="148" t="str">
        <f t="shared" si="531"/>
        <v/>
      </c>
      <c r="JJ154" s="74" t="str">
        <f t="shared" si="532"/>
        <v/>
      </c>
    </row>
    <row r="155" spans="1:270" x14ac:dyDescent="0.2">
      <c r="A155" s="56" t="str">
        <f t="shared" si="334"/>
        <v/>
      </c>
      <c r="B155" s="7" t="str">
        <f>IF(AND(Include_study?="Yes",Sufficient_data="Yes"),IF(Input!a_&lt;&gt;"",Input!a_,Input!n1_-Input!b_),"")</f>
        <v/>
      </c>
      <c r="C155" s="7" t="str">
        <f>IF(AND(Include_study?="Yes",Sufficient_data="Yes"),IF(Input!b_&lt;&gt;"",Input!b_,Input!n1_-Input!a_),"")</f>
        <v/>
      </c>
      <c r="D155" s="7" t="str">
        <f>IF(AND(Include_study?="Yes",Sufficient_data="Yes"),IF(Input!c_&lt;&gt;"",Input!c_,Input!n2_-Input!d_),"")</f>
        <v/>
      </c>
      <c r="E155" s="7" t="str">
        <f>IF(AND(Include_study?="Yes",Sufficient_data="Yes"),IF(Input!d_&lt;&gt;"",Input!d_,Input!n2_-Input!c_),"")</f>
        <v/>
      </c>
      <c r="F155" s="74" t="str">
        <f t="shared" si="443"/>
        <v/>
      </c>
      <c r="H155" s="196"/>
      <c r="I155" s="182"/>
      <c r="J155" s="146" t="str">
        <f t="shared" si="444"/>
        <v/>
      </c>
      <c r="K155" s="39" t="str">
        <f t="shared" si="445"/>
        <v/>
      </c>
      <c r="L155" s="39" t="str">
        <f t="shared" si="446"/>
        <v/>
      </c>
      <c r="M155" s="39" t="str">
        <f t="shared" si="447"/>
        <v/>
      </c>
      <c r="N155" s="74" t="str">
        <f t="shared" si="448"/>
        <v/>
      </c>
      <c r="P155" s="176"/>
      <c r="Q155" s="130" t="str">
        <f t="shared" si="449"/>
        <v/>
      </c>
      <c r="R155" s="39" t="str">
        <f t="shared" si="450"/>
        <v/>
      </c>
      <c r="S155" s="39" t="str">
        <f t="shared" si="451"/>
        <v/>
      </c>
      <c r="T155" s="74" t="str">
        <f t="shared" si="452"/>
        <v/>
      </c>
      <c r="V155" s="176"/>
      <c r="W155" s="130" t="str">
        <f t="shared" si="453"/>
        <v/>
      </c>
      <c r="X155" s="39" t="str">
        <f t="shared" si="454"/>
        <v/>
      </c>
      <c r="Y155" s="39" t="str">
        <f t="shared" si="455"/>
        <v/>
      </c>
      <c r="Z155" s="74" t="str">
        <f t="shared" si="456"/>
        <v/>
      </c>
      <c r="AB155" s="176"/>
      <c r="AC155" s="130" t="str">
        <f t="shared" si="457"/>
        <v/>
      </c>
      <c r="AD155" s="39" t="str">
        <f t="shared" si="458"/>
        <v/>
      </c>
      <c r="AE155" s="39" t="str">
        <f t="shared" si="459"/>
        <v/>
      </c>
      <c r="AF155" s="39" t="str">
        <f t="shared" si="460"/>
        <v/>
      </c>
      <c r="AG155" s="74" t="str">
        <f t="shared" si="461"/>
        <v/>
      </c>
      <c r="AI155" s="196"/>
      <c r="AJ15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5" s="136" t="str">
        <f>IF(AJ155&lt;&gt;"",IF(AJ155=0,COUNTIF(AJ$2:AJ154,0)+1,COUNTIF(AJ$2:AJ154,AJ155)+AJ155+COUNTIF(AJ:AJ,0)),"")</f>
        <v/>
      </c>
      <c r="AL155" s="136" t="str">
        <f t="shared" si="462"/>
        <v/>
      </c>
      <c r="AM155" s="155" t="str">
        <f>IF(AND(Include_study?="Yes",Sufficient_data="Yes",Input!Study_name&lt;&gt;""),Input!Study_name,"")</f>
        <v/>
      </c>
      <c r="AN155" s="136" t="str">
        <f t="shared" si="463"/>
        <v/>
      </c>
      <c r="AO155" s="19" t="str">
        <f t="shared" si="464"/>
        <v/>
      </c>
      <c r="AP155" s="158" t="str">
        <f t="shared" si="465"/>
        <v/>
      </c>
      <c r="AQ155" s="158" t="str">
        <f t="shared" si="466"/>
        <v/>
      </c>
      <c r="AR155" s="39" t="str">
        <f t="shared" si="467"/>
        <v/>
      </c>
      <c r="AS155" s="158" t="str">
        <f t="shared" si="468"/>
        <v/>
      </c>
      <c r="AT155" s="39" t="str">
        <f t="shared" si="469"/>
        <v/>
      </c>
      <c r="AU155" s="172" t="str">
        <f t="shared" si="470"/>
        <v/>
      </c>
      <c r="AV155" s="45"/>
      <c r="AW155" s="84" t="e">
        <f t="shared" si="360"/>
        <v>#N/A</v>
      </c>
      <c r="AX155" s="69" t="e">
        <f t="shared" si="471"/>
        <v>#N/A</v>
      </c>
      <c r="AY155" s="74" t="e">
        <f t="shared" si="472"/>
        <v>#N/A</v>
      </c>
      <c r="AZ155" s="45"/>
      <c r="BA155" s="45"/>
      <c r="BB155" s="45"/>
      <c r="BC155" s="45"/>
      <c r="BD155" s="196"/>
      <c r="BE155" s="182"/>
      <c r="BF155" s="69" t="str">
        <f t="shared" si="363"/>
        <v/>
      </c>
      <c r="BG155" s="69" t="str">
        <f t="shared" si="364"/>
        <v/>
      </c>
      <c r="BH155" s="69" t="str">
        <f t="shared" si="365"/>
        <v/>
      </c>
      <c r="BI155" s="39" t="str">
        <f t="shared" si="366"/>
        <v/>
      </c>
      <c r="BJ155" s="95" t="str">
        <f t="shared" si="473"/>
        <v/>
      </c>
      <c r="BO155" s="176"/>
      <c r="BP155" s="158" t="str">
        <f t="shared" si="474"/>
        <v/>
      </c>
      <c r="BQ155" s="158" t="str">
        <f t="shared" si="475"/>
        <v/>
      </c>
      <c r="BR155" s="158" t="str">
        <f t="shared" si="476"/>
        <v/>
      </c>
      <c r="BS155" s="158" t="str">
        <f>IF(AND(Sufficient_data="Yes",Include_study?="Yes"),IF(Add_0_5="Yes",(a_+d_+1)*(ab_+0.5)*(c_+0.5)/(Number_of_subjects+2)^2,(a_+d_)*b_*c_/Number_of_subjects^2),"")</f>
        <v/>
      </c>
      <c r="BT155" s="158" t="str">
        <f t="shared" si="477"/>
        <v/>
      </c>
      <c r="BU155" s="158" t="str">
        <f t="shared" si="478"/>
        <v/>
      </c>
      <c r="BV155" s="158" t="str">
        <f t="shared" si="479"/>
        <v/>
      </c>
      <c r="BW155" s="69" t="str">
        <f t="shared" si="374"/>
        <v/>
      </c>
      <c r="BX155" s="137" t="str">
        <f t="shared" si="375"/>
        <v/>
      </c>
      <c r="BY155" s="95" t="str">
        <f t="shared" si="480"/>
        <v/>
      </c>
      <c r="CD155" s="176"/>
      <c r="CE155" s="130" t="str">
        <f t="shared" si="481"/>
        <v/>
      </c>
      <c r="CF155" s="39" t="str">
        <f t="shared" si="482"/>
        <v/>
      </c>
      <c r="CG155" s="39" t="str">
        <f t="shared" si="483"/>
        <v/>
      </c>
      <c r="CH155" s="39" t="str">
        <f t="shared" si="484"/>
        <v/>
      </c>
      <c r="CI155" s="39" t="str">
        <f t="shared" si="485"/>
        <v/>
      </c>
      <c r="CJ155" s="39" t="str">
        <f t="shared" si="486"/>
        <v/>
      </c>
      <c r="CK155" s="95" t="str">
        <f t="shared" si="487"/>
        <v/>
      </c>
      <c r="CP155" s="176"/>
      <c r="CQ155" s="99" t="str">
        <f t="shared" si="383"/>
        <v/>
      </c>
      <c r="CX155" s="196"/>
      <c r="CY155" s="89" t="e">
        <f t="shared" si="488"/>
        <v>#N/A</v>
      </c>
      <c r="CZ155" s="136" t="str">
        <f t="shared" si="489"/>
        <v/>
      </c>
      <c r="DA155" s="140" t="str">
        <f t="shared" si="490"/>
        <v/>
      </c>
      <c r="DB155" s="39" t="str">
        <f t="shared" si="491"/>
        <v/>
      </c>
      <c r="DC155" s="39" t="str">
        <f t="shared" si="492"/>
        <v/>
      </c>
      <c r="DD155" s="39" t="str">
        <f t="shared" si="493"/>
        <v/>
      </c>
      <c r="DE155" s="39" t="str">
        <f t="shared" si="494"/>
        <v/>
      </c>
      <c r="DF155" s="141" t="str">
        <f t="shared" si="495"/>
        <v/>
      </c>
      <c r="DG155" s="39" t="str">
        <f t="shared" si="496"/>
        <v/>
      </c>
      <c r="DH155" s="39" t="str">
        <f t="shared" si="497"/>
        <v/>
      </c>
      <c r="DI155" s="39" t="str">
        <f t="shared" si="498"/>
        <v/>
      </c>
      <c r="DJ155" s="74" t="str">
        <f t="shared" si="499"/>
        <v/>
      </c>
      <c r="DK155" s="45"/>
      <c r="DL155" s="84" t="e">
        <f t="shared" si="423"/>
        <v>#N/A</v>
      </c>
      <c r="DM155" s="39" t="e">
        <f t="shared" si="500"/>
        <v>#N/A</v>
      </c>
      <c r="DN155" s="74" t="e">
        <f t="shared" si="501"/>
        <v>#N/A</v>
      </c>
      <c r="DO155" s="45"/>
      <c r="DP155" s="89" t="str">
        <f t="shared" si="525"/>
        <v/>
      </c>
      <c r="DQ155" s="26" t="str">
        <f>IF(AND(Sufficient_data="Yes",Subgroup&lt;&gt;""),IF(COUNTIFS(Input!J$2:J154,"="&amp;"Yes",Input!C$2:C154,"="&amp;"Yes",Input!K$2:K154,"="&amp;Subgroup)&gt;0,"",Subgroup),"")</f>
        <v/>
      </c>
      <c r="DR155" s="7" t="str">
        <f t="shared" si="526"/>
        <v/>
      </c>
      <c r="DS155" s="7" t="str">
        <f t="shared" si="502"/>
        <v/>
      </c>
      <c r="DT155" s="19" t="str">
        <f t="shared" si="503"/>
        <v/>
      </c>
      <c r="DU155" s="12" t="str">
        <f t="shared" si="424"/>
        <v/>
      </c>
      <c r="DV155" s="11" t="str">
        <f t="shared" si="425"/>
        <v/>
      </c>
      <c r="DW155" s="12" t="str">
        <f t="shared" si="426"/>
        <v/>
      </c>
      <c r="DX155" s="12" t="str">
        <f t="shared" si="504"/>
        <v/>
      </c>
      <c r="DY155" s="19" t="str">
        <f t="shared" si="427"/>
        <v/>
      </c>
      <c r="DZ155" s="12" t="str">
        <f t="shared" si="428"/>
        <v/>
      </c>
      <c r="EA155" s="19" t="str">
        <f t="shared" si="505"/>
        <v/>
      </c>
      <c r="EB155" s="7" t="str">
        <f t="shared" si="506"/>
        <v/>
      </c>
      <c r="EC155" s="19" t="str">
        <f t="shared" si="507"/>
        <v/>
      </c>
      <c r="ED155" s="19" t="str">
        <f t="shared" si="508"/>
        <v/>
      </c>
      <c r="EE155" s="19" t="str">
        <f t="shared" si="429"/>
        <v/>
      </c>
      <c r="EF155" s="19" t="str">
        <f t="shared" si="430"/>
        <v/>
      </c>
      <c r="EG155" s="19" t="str">
        <f t="shared" si="431"/>
        <v/>
      </c>
      <c r="EH155" s="19" t="str">
        <f t="shared" si="432"/>
        <v/>
      </c>
      <c r="EI155" s="19" t="str">
        <f t="shared" si="433"/>
        <v/>
      </c>
      <c r="EJ155" s="19" t="str">
        <f t="shared" si="509"/>
        <v/>
      </c>
      <c r="EK155" s="19" t="str">
        <f t="shared" si="510"/>
        <v/>
      </c>
      <c r="EL155" s="19" t="str">
        <f t="shared" si="434"/>
        <v/>
      </c>
      <c r="EM155" s="19" t="str">
        <f t="shared" si="435"/>
        <v/>
      </c>
      <c r="EN155" s="19" t="str">
        <f t="shared" si="436"/>
        <v/>
      </c>
      <c r="EO155" s="19" t="str">
        <f t="shared" si="437"/>
        <v/>
      </c>
      <c r="EP155" s="19" t="str">
        <f t="shared" si="438"/>
        <v/>
      </c>
      <c r="EQ155" s="19" t="e">
        <f t="shared" si="439"/>
        <v>#N/A</v>
      </c>
      <c r="ER155" s="11" t="str">
        <f t="shared" si="527"/>
        <v/>
      </c>
      <c r="ES155" s="19" t="str">
        <f t="shared" si="528"/>
        <v/>
      </c>
      <c r="ET155" s="156" t="str">
        <f t="shared" si="511"/>
        <v/>
      </c>
      <c r="EU155" s="39" t="str">
        <f t="shared" si="440"/>
        <v/>
      </c>
      <c r="EV155" s="74" t="str">
        <f t="shared" si="512"/>
        <v/>
      </c>
      <c r="FA155" s="196"/>
      <c r="FB155" s="84" t="e">
        <f>IF(AND(Include_study?="Yes",Sufficient_data="Yes",Moderator&lt;&gt;""),'Moderator Analysis'!E155,NA())</f>
        <v>#N/A</v>
      </c>
      <c r="FC155" s="39" t="e">
        <f>IF(AND(Include_study?="Yes",Sufficient_data="Yes",Moderator&lt;&gt;""),'Moderator Analysis'!F155,NA())</f>
        <v>#N/A</v>
      </c>
      <c r="FD155" s="39" t="str">
        <f t="shared" si="513"/>
        <v/>
      </c>
      <c r="FE155" s="39" t="str">
        <f t="shared" si="514"/>
        <v/>
      </c>
      <c r="FF155" s="39" t="str">
        <f>IF(AND(Include_study?="Yes",Sufficient_data="Yes",Moderator&lt;&gt;""),'Moderator Analysis'!F:F-FP$2,"")</f>
        <v/>
      </c>
      <c r="FG155" s="39" t="str">
        <f>IF(AND(Include_study?="Yes",Sufficient_data="Yes",Moderator&lt;&gt;""),'Moderator Analysis'!E:E-FP$3,"")</f>
        <v/>
      </c>
      <c r="FH155" s="74" t="str">
        <f>IF(AND(Include_study?="Yes",Sufficient_data="Yes",Moderator&lt;&gt;""),FE:FE*('Moderator Analysis'!F:F-FP$5-FP$4*'Moderator Analysis'!E:E)^2,"")</f>
        <v/>
      </c>
      <c r="FI155" s="128"/>
      <c r="FJ155" s="92" t="str">
        <f t="shared" si="515"/>
        <v/>
      </c>
      <c r="FK155" s="137" t="str">
        <f>IF(AND(Include_study?="Yes",Sufficient_data="Yes",Moderator&lt;&gt;""),'Moderator Analysis'!F:F-'Moderator Analysis'!J$37,"")</f>
        <v/>
      </c>
      <c r="FL155" s="137" t="str">
        <f>IF(AND(Include_study?="Yes",Sufficient_data="Yes",Moderator&lt;&gt;""),'Moderator Analysis'!E:E-SUMPRODUCT('Moderator Analysis'!E:E,FJ:FJ)/SUM(FJ:FJ),"")</f>
        <v/>
      </c>
      <c r="FM155" s="95" t="str">
        <f>IF(AND(Include_study?="Yes",Sufficient_data="Yes",Moderator&lt;&gt;""),FJ:FJ*('Moderator Analysis'!F:F-'Moderator Analysis'!J$29-'Moderator Analysis'!J$30*'Moderator Analysis'!E:E)^2,"")</f>
        <v/>
      </c>
      <c r="FR155" s="196"/>
      <c r="FS155" s="182"/>
      <c r="FT15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5" s="39" t="str">
        <f>IF(AND(Include_study?="Yes",Sufficient_data="Yes"),1/('Publication Bias Analysis'!F:F^2+IF(Additional_model="Fixed effect",0,Calculations!GH$12)),"")</f>
        <v/>
      </c>
      <c r="FV155" s="39" t="str">
        <f>IF(AND(Include_study?="Yes",Sufficient_data="Yes"),1/('Publication Bias Analysis'!F:F^2+IF(Additional_model="Fixed effect",0,'Publication Bias Analysis'!L$32)),"")</f>
        <v/>
      </c>
      <c r="FW155" s="39" t="str">
        <f>IF(AND(Include_study?="Yes",Sufficient_data="Yes"),'Publication Bias Analysis'!E:E-'Publication Bias Analysis'!I$37,"")</f>
        <v/>
      </c>
      <c r="FX155" s="39" t="str">
        <f>IF(AND(Include_study?="Yes",Sufficient_data="Yes"),IF(Additional_model="Fixed effect",1/'Publication Bias Analysis'!F:F,1/SQRT('Publication Bias Analysis'!F:F^2+GH$12)),"")</f>
        <v/>
      </c>
      <c r="FY15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5" s="136" t="str">
        <f t="shared" si="516"/>
        <v/>
      </c>
      <c r="GA155" s="144" t="str">
        <f>IF(AND(Include_study?="Yes",Sufficient_data="Yes"),FZ:FZ+IF(GL:GL&lt;0,-1,1)*COUNTIF(FZ$2:FZ154,FZ:FZ),"")</f>
        <v/>
      </c>
      <c r="GB155" s="144" t="str">
        <f>IF(AND(Include_study?="Yes",Sufficient_data="Yes"),RANK(GP:GP,GP:GP,1)*IF(GO:GO&lt;0,-1,1)+IF(GO:GO&lt;0,-1,1)*COUNTIF(FZ$2:FZ154,FZ:FZ),"")</f>
        <v/>
      </c>
      <c r="GC155" s="144" t="str">
        <f>IF(AND(Include_study?="Yes",Sufficient_data="Yes"),RANK(GS:GS,GS:GS,1)*IF(GR:GR&lt;0,-1,1)+IF(GR:GR&lt;0,-1,1)*COUNTIF(FZ$2:FZ154,FZ:FZ),"")</f>
        <v/>
      </c>
      <c r="GD155" s="39" t="e">
        <f>IF(AND(Include_study?="Yes",Sufficient_data="Yes"),'Publication Bias Analysis'!E155,NA())</f>
        <v>#N/A</v>
      </c>
      <c r="GE155" s="74" t="e">
        <f>IF(AND(Include_study?="Yes",Sufficient_data="Yes"),'Publication Bias Analysis'!F155,NA())</f>
        <v>#N/A</v>
      </c>
      <c r="GK155" s="176"/>
      <c r="GL15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5" s="39" t="str">
        <f t="shared" si="517"/>
        <v/>
      </c>
      <c r="GN15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5" s="39" t="str">
        <f>IF(AND(Include_study?="Yes",Sufficient_data="Yes"),IF('Publication Bias Analysis'!L$38="Left",'Publication Bias Analysis'!E:E-GW$3,GW$3-'Publication Bias Analysis'!E:E),"")</f>
        <v/>
      </c>
      <c r="GP155" s="39" t="str">
        <f t="shared" si="529"/>
        <v/>
      </c>
      <c r="GQ15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5" s="39" t="str">
        <f>IF(AND(Include_study?="Yes",Sufficient_data="Yes"),IF('Publication Bias Analysis'!L$38="Left",'Publication Bias Analysis'!E:E-GW$10,GW$10-'Publication Bias Analysis'!E:E),"")</f>
        <v/>
      </c>
      <c r="GS155" s="39" t="str">
        <f t="shared" si="530"/>
        <v/>
      </c>
      <c r="GT15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5" s="176"/>
      <c r="HL155" s="69" t="str">
        <f t="shared" si="518"/>
        <v/>
      </c>
      <c r="HM155" s="74" t="str">
        <f>IF(AND(Include_study?="Yes",Sufficient_data="Yes"),Z_score-('Publication Bias Analysis'!P$3+'Publication Bias Analysis'!P$4*Inverse_standard_error),"")</f>
        <v/>
      </c>
      <c r="HO155" s="176"/>
      <c r="HP155" s="69" t="str">
        <f>IF(AND(Include_study?="Yes",Sufficient_data="Yes"),(GD:GD-SUMPRODUCT(Calculations!FT:FT,'Publication Bias Analysis'!E:E)/SUM(Calculations!FT:FT))/SQRT(Calculations!HQ:HQ),"")</f>
        <v/>
      </c>
      <c r="HQ155" s="69" t="str">
        <f>IF(AND(Include_study?="Yes",Sufficient_data="Yes"),GE:GE^2-1/SUM(Calculations!FT:FT),"")</f>
        <v/>
      </c>
      <c r="HR155" s="7" t="str">
        <f t="shared" si="441"/>
        <v/>
      </c>
      <c r="HS155" s="7" t="str">
        <f t="shared" si="442"/>
        <v/>
      </c>
      <c r="HT155" s="7" t="str">
        <f>IF(AND(Include_study?="Yes",Sufficient_data="Yes"),COUNTIFS(HR$2:HR154,"&lt;"&amp;HR155,HS$2:HS154,"&lt;"&amp;HS155)+COUNTIFS(HR156:HR$201,"&lt;"&amp;HR155,HS156:HS$201,"&lt;"&amp;HS155)+COUNTIFS(HR$2:HR154,"&gt;"&amp;HR155,HS$2:HS154,"&gt;"&amp;HS155)+COUNTIFS(HR156:HR$201,"&gt;"&amp;HR155,HS156:HS$201,"&gt;"&amp;HS155),"")</f>
        <v/>
      </c>
      <c r="HU155" s="104" t="str">
        <f>IF(AND(Include_study?="Yes",Sufficient_data="Yes"),COUNTIFS(HR$2:HR154,"&lt;"&amp;HR155,HS$2:HS154,"&gt;"&amp;HS155)+COUNTIFS(HR156:HR$201,"&lt;"&amp;HR155,HS156:HS$201,"&gt;"&amp;HS155)+COUNTIFS(HR$2:HR154,"&gt;"&amp;HR155,HS$2:HS154,"&lt;"&amp;HS155)+COUNTIFS(HR156:HR$201,"&gt;"&amp;HR155,HS156:HS$201,"&lt;"&amp;HS155),"")</f>
        <v/>
      </c>
      <c r="HW155" s="176"/>
      <c r="IB155" s="176"/>
      <c r="IC155" s="146" t="e">
        <f t="shared" si="519"/>
        <v>#N/A</v>
      </c>
      <c r="ID155" s="137" t="e">
        <f t="shared" si="520"/>
        <v>#N/A</v>
      </c>
      <c r="IE155" s="137" t="str">
        <f t="shared" si="521"/>
        <v/>
      </c>
      <c r="IF155" s="95" t="str">
        <f t="shared" si="522"/>
        <v/>
      </c>
      <c r="IK155" s="176"/>
      <c r="IL155" s="69" t="e">
        <f>IF(AND(Include_study?="Yes",Sufficient_data="Yes"),'Publication Bias Analysis'!AV:AV,NA())</f>
        <v>#N/A</v>
      </c>
      <c r="IM155" s="158" t="e">
        <f>IF(AND(Sufficient_data="Yes",Include_study?="Yes"),'Publication Bias Analysis'!AU:AU,NA())</f>
        <v>#N/A</v>
      </c>
      <c r="IN155" s="69" t="str">
        <f t="shared" si="418"/>
        <v/>
      </c>
      <c r="IO155" s="74" t="str">
        <f>IF(AND(Include_study?="Yes",Sufficient_data="Yes"),Z_score-('Publication Bias Analysis'!AY$30+'Publication Bias Analysis'!AY$31*Inverse_standard_error),"")</f>
        <v/>
      </c>
      <c r="IU155" s="176"/>
      <c r="IV155" s="7" t="str">
        <f>IF('Publication Bias Analysis'!BG:BG&lt;&gt;"",RANK('Publication Bias Analysis'!BG:BG,'Publication Bias Analysis'!BG:BG,1)+COUNTIF('Publication Bias Analysis'!BG$2:BG154,'Publication Bias Analysis'!BG155),"")</f>
        <v/>
      </c>
      <c r="IW155" s="124" t="str">
        <f t="shared" si="523"/>
        <v/>
      </c>
      <c r="IX155" s="125" t="e">
        <f>IF('Publication Bias Analysis'!BF155&lt;&gt;"",'Publication Bias Analysis'!BF155,NA())</f>
        <v>#N/A</v>
      </c>
      <c r="IY155" s="125" t="e">
        <f>IF('Publication Bias Analysis'!BG155&lt;&gt;"",'Publication Bias Analysis'!BG155,NA())</f>
        <v>#N/A</v>
      </c>
      <c r="IZ155" s="69" t="str">
        <f>IF(AND(Include_study?="Yes",Sufficient_data="Yes"),'Publication Bias Analysis'!BF:BF-AVERAGE('Publication Bias Analysis'!BF:BF),"")</f>
        <v/>
      </c>
      <c r="JA155" s="74" t="str">
        <f>IF(AND(Include_study?="Yes",Sufficient_data="Yes"),'Publication Bias Analysis'!BG:BG-('Publication Bias Analysis'!BJ$30+'Publication Bias Analysis'!BJ$31*'Publication Bias Analysis'!BF:BF),"")</f>
        <v/>
      </c>
      <c r="JG155" s="176"/>
      <c r="JH155" s="39" t="str">
        <f t="shared" si="524"/>
        <v/>
      </c>
      <c r="JI155" s="148" t="str">
        <f t="shared" si="531"/>
        <v/>
      </c>
      <c r="JJ155" s="74" t="str">
        <f t="shared" si="532"/>
        <v/>
      </c>
    </row>
    <row r="156" spans="1:270" x14ac:dyDescent="0.2">
      <c r="A156" s="56" t="str">
        <f t="shared" si="334"/>
        <v/>
      </c>
      <c r="B156" s="7" t="str">
        <f>IF(AND(Include_study?="Yes",Sufficient_data="Yes"),IF(Input!a_&lt;&gt;"",Input!a_,Input!n1_-Input!b_),"")</f>
        <v/>
      </c>
      <c r="C156" s="7" t="str">
        <f>IF(AND(Include_study?="Yes",Sufficient_data="Yes"),IF(Input!b_&lt;&gt;"",Input!b_,Input!n1_-Input!a_),"")</f>
        <v/>
      </c>
      <c r="D156" s="7" t="str">
        <f>IF(AND(Include_study?="Yes",Sufficient_data="Yes"),IF(Input!c_&lt;&gt;"",Input!c_,Input!n2_-Input!d_),"")</f>
        <v/>
      </c>
      <c r="E156" s="7" t="str">
        <f>IF(AND(Include_study?="Yes",Sufficient_data="Yes"),IF(Input!d_&lt;&gt;"",Input!d_,Input!n2_-Input!c_),"")</f>
        <v/>
      </c>
      <c r="F156" s="74" t="str">
        <f t="shared" si="443"/>
        <v/>
      </c>
      <c r="H156" s="196"/>
      <c r="I156" s="182"/>
      <c r="J156" s="146" t="str">
        <f t="shared" si="444"/>
        <v/>
      </c>
      <c r="K156" s="39" t="str">
        <f t="shared" si="445"/>
        <v/>
      </c>
      <c r="L156" s="39" t="str">
        <f t="shared" si="446"/>
        <v/>
      </c>
      <c r="M156" s="39" t="str">
        <f t="shared" si="447"/>
        <v/>
      </c>
      <c r="N156" s="74" t="str">
        <f t="shared" si="448"/>
        <v/>
      </c>
      <c r="P156" s="176"/>
      <c r="Q156" s="130" t="str">
        <f t="shared" si="449"/>
        <v/>
      </c>
      <c r="R156" s="39" t="str">
        <f t="shared" si="450"/>
        <v/>
      </c>
      <c r="S156" s="39" t="str">
        <f t="shared" si="451"/>
        <v/>
      </c>
      <c r="T156" s="74" t="str">
        <f t="shared" si="452"/>
        <v/>
      </c>
      <c r="V156" s="176"/>
      <c r="W156" s="130" t="str">
        <f t="shared" si="453"/>
        <v/>
      </c>
      <c r="X156" s="39" t="str">
        <f t="shared" si="454"/>
        <v/>
      </c>
      <c r="Y156" s="39" t="str">
        <f t="shared" si="455"/>
        <v/>
      </c>
      <c r="Z156" s="74" t="str">
        <f t="shared" si="456"/>
        <v/>
      </c>
      <c r="AB156" s="176"/>
      <c r="AC156" s="130" t="str">
        <f t="shared" si="457"/>
        <v/>
      </c>
      <c r="AD156" s="39" t="str">
        <f t="shared" si="458"/>
        <v/>
      </c>
      <c r="AE156" s="39" t="str">
        <f t="shared" si="459"/>
        <v/>
      </c>
      <c r="AF156" s="39" t="str">
        <f t="shared" si="460"/>
        <v/>
      </c>
      <c r="AG156" s="74" t="str">
        <f t="shared" si="461"/>
        <v/>
      </c>
      <c r="AI156" s="196"/>
      <c r="AJ15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6" s="136" t="str">
        <f>IF(AJ156&lt;&gt;"",IF(AJ156=0,COUNTIF(AJ$2:AJ155,0)+1,COUNTIF(AJ$2:AJ155,AJ156)+AJ156+COUNTIF(AJ:AJ,0)),"")</f>
        <v/>
      </c>
      <c r="AL156" s="136" t="str">
        <f t="shared" si="462"/>
        <v/>
      </c>
      <c r="AM156" s="155" t="str">
        <f>IF(AND(Include_study?="Yes",Sufficient_data="Yes",Input!Study_name&lt;&gt;""),Input!Study_name,"")</f>
        <v/>
      </c>
      <c r="AN156" s="136" t="str">
        <f t="shared" si="463"/>
        <v/>
      </c>
      <c r="AO156" s="19" t="str">
        <f t="shared" si="464"/>
        <v/>
      </c>
      <c r="AP156" s="158" t="str">
        <f t="shared" si="465"/>
        <v/>
      </c>
      <c r="AQ156" s="158" t="str">
        <f t="shared" si="466"/>
        <v/>
      </c>
      <c r="AR156" s="39" t="str">
        <f t="shared" si="467"/>
        <v/>
      </c>
      <c r="AS156" s="158" t="str">
        <f t="shared" si="468"/>
        <v/>
      </c>
      <c r="AT156" s="39" t="str">
        <f t="shared" si="469"/>
        <v/>
      </c>
      <c r="AU156" s="172" t="str">
        <f t="shared" si="470"/>
        <v/>
      </c>
      <c r="AV156" s="45"/>
      <c r="AW156" s="84" t="e">
        <f t="shared" si="360"/>
        <v>#N/A</v>
      </c>
      <c r="AX156" s="69" t="e">
        <f t="shared" si="471"/>
        <v>#N/A</v>
      </c>
      <c r="AY156" s="74" t="e">
        <f t="shared" si="472"/>
        <v>#N/A</v>
      </c>
      <c r="AZ156" s="45"/>
      <c r="BA156" s="45"/>
      <c r="BB156" s="45"/>
      <c r="BC156" s="45"/>
      <c r="BD156" s="196"/>
      <c r="BE156" s="182"/>
      <c r="BF156" s="69" t="str">
        <f t="shared" si="363"/>
        <v/>
      </c>
      <c r="BG156" s="69" t="str">
        <f t="shared" si="364"/>
        <v/>
      </c>
      <c r="BH156" s="69" t="str">
        <f t="shared" si="365"/>
        <v/>
      </c>
      <c r="BI156" s="39" t="str">
        <f t="shared" si="366"/>
        <v/>
      </c>
      <c r="BJ156" s="95" t="str">
        <f t="shared" si="473"/>
        <v/>
      </c>
      <c r="BO156" s="176"/>
      <c r="BP156" s="158" t="str">
        <f t="shared" si="474"/>
        <v/>
      </c>
      <c r="BQ156" s="158" t="str">
        <f t="shared" si="475"/>
        <v/>
      </c>
      <c r="BR156" s="158" t="str">
        <f t="shared" si="476"/>
        <v/>
      </c>
      <c r="BS156" s="158" t="str">
        <f>IF(AND(Sufficient_data="Yes",Include_study?="Yes"),IF(Add_0_5="Yes",(a_+d_+1)*(ab_+0.5)*(c_+0.5)/(Number_of_subjects+2)^2,(a_+d_)*b_*c_/Number_of_subjects^2),"")</f>
        <v/>
      </c>
      <c r="BT156" s="158" t="str">
        <f t="shared" si="477"/>
        <v/>
      </c>
      <c r="BU156" s="158" t="str">
        <f t="shared" si="478"/>
        <v/>
      </c>
      <c r="BV156" s="158" t="str">
        <f t="shared" si="479"/>
        <v/>
      </c>
      <c r="BW156" s="69" t="str">
        <f t="shared" si="374"/>
        <v/>
      </c>
      <c r="BX156" s="137" t="str">
        <f t="shared" si="375"/>
        <v/>
      </c>
      <c r="BY156" s="95" t="str">
        <f t="shared" si="480"/>
        <v/>
      </c>
      <c r="CD156" s="176"/>
      <c r="CE156" s="130" t="str">
        <f t="shared" si="481"/>
        <v/>
      </c>
      <c r="CF156" s="39" t="str">
        <f t="shared" si="482"/>
        <v/>
      </c>
      <c r="CG156" s="39" t="str">
        <f t="shared" si="483"/>
        <v/>
      </c>
      <c r="CH156" s="39" t="str">
        <f t="shared" si="484"/>
        <v/>
      </c>
      <c r="CI156" s="39" t="str">
        <f t="shared" si="485"/>
        <v/>
      </c>
      <c r="CJ156" s="39" t="str">
        <f t="shared" si="486"/>
        <v/>
      </c>
      <c r="CK156" s="95" t="str">
        <f t="shared" si="487"/>
        <v/>
      </c>
      <c r="CP156" s="176"/>
      <c r="CQ156" s="99" t="str">
        <f t="shared" si="383"/>
        <v/>
      </c>
      <c r="CX156" s="196"/>
      <c r="CY156" s="89" t="e">
        <f t="shared" si="488"/>
        <v>#N/A</v>
      </c>
      <c r="CZ156" s="136" t="str">
        <f t="shared" si="489"/>
        <v/>
      </c>
      <c r="DA156" s="140" t="str">
        <f t="shared" si="490"/>
        <v/>
      </c>
      <c r="DB156" s="39" t="str">
        <f t="shared" si="491"/>
        <v/>
      </c>
      <c r="DC156" s="39" t="str">
        <f t="shared" si="492"/>
        <v/>
      </c>
      <c r="DD156" s="39" t="str">
        <f t="shared" si="493"/>
        <v/>
      </c>
      <c r="DE156" s="39" t="str">
        <f t="shared" si="494"/>
        <v/>
      </c>
      <c r="DF156" s="141" t="str">
        <f t="shared" si="495"/>
        <v/>
      </c>
      <c r="DG156" s="39" t="str">
        <f t="shared" si="496"/>
        <v/>
      </c>
      <c r="DH156" s="39" t="str">
        <f t="shared" si="497"/>
        <v/>
      </c>
      <c r="DI156" s="39" t="str">
        <f t="shared" si="498"/>
        <v/>
      </c>
      <c r="DJ156" s="74" t="str">
        <f t="shared" si="499"/>
        <v/>
      </c>
      <c r="DK156" s="45"/>
      <c r="DL156" s="84" t="e">
        <f t="shared" si="423"/>
        <v>#N/A</v>
      </c>
      <c r="DM156" s="39" t="e">
        <f t="shared" si="500"/>
        <v>#N/A</v>
      </c>
      <c r="DN156" s="74" t="e">
        <f t="shared" si="501"/>
        <v>#N/A</v>
      </c>
      <c r="DO156" s="45"/>
      <c r="DP156" s="89" t="str">
        <f t="shared" si="525"/>
        <v/>
      </c>
      <c r="DQ156" s="26" t="str">
        <f>IF(AND(Sufficient_data="Yes",Subgroup&lt;&gt;""),IF(COUNTIFS(Input!J$2:J155,"="&amp;"Yes",Input!C$2:C155,"="&amp;"Yes",Input!K$2:K155,"="&amp;Subgroup)&gt;0,"",Subgroup),"")</f>
        <v/>
      </c>
      <c r="DR156" s="7" t="str">
        <f t="shared" si="526"/>
        <v/>
      </c>
      <c r="DS156" s="7" t="str">
        <f t="shared" si="502"/>
        <v/>
      </c>
      <c r="DT156" s="19" t="str">
        <f t="shared" si="503"/>
        <v/>
      </c>
      <c r="DU156" s="12" t="str">
        <f t="shared" si="424"/>
        <v/>
      </c>
      <c r="DV156" s="11" t="str">
        <f t="shared" si="425"/>
        <v/>
      </c>
      <c r="DW156" s="12" t="str">
        <f t="shared" si="426"/>
        <v/>
      </c>
      <c r="DX156" s="12" t="str">
        <f t="shared" si="504"/>
        <v/>
      </c>
      <c r="DY156" s="19" t="str">
        <f t="shared" si="427"/>
        <v/>
      </c>
      <c r="DZ156" s="12" t="str">
        <f t="shared" si="428"/>
        <v/>
      </c>
      <c r="EA156" s="19" t="str">
        <f t="shared" si="505"/>
        <v/>
      </c>
      <c r="EB156" s="7" t="str">
        <f t="shared" si="506"/>
        <v/>
      </c>
      <c r="EC156" s="19" t="str">
        <f t="shared" si="507"/>
        <v/>
      </c>
      <c r="ED156" s="19" t="str">
        <f t="shared" si="508"/>
        <v/>
      </c>
      <c r="EE156" s="19" t="str">
        <f t="shared" si="429"/>
        <v/>
      </c>
      <c r="EF156" s="19" t="str">
        <f t="shared" si="430"/>
        <v/>
      </c>
      <c r="EG156" s="19" t="str">
        <f t="shared" si="431"/>
        <v/>
      </c>
      <c r="EH156" s="19" t="str">
        <f t="shared" si="432"/>
        <v/>
      </c>
      <c r="EI156" s="19" t="str">
        <f t="shared" si="433"/>
        <v/>
      </c>
      <c r="EJ156" s="19" t="str">
        <f t="shared" si="509"/>
        <v/>
      </c>
      <c r="EK156" s="19" t="str">
        <f t="shared" si="510"/>
        <v/>
      </c>
      <c r="EL156" s="19" t="str">
        <f t="shared" si="434"/>
        <v/>
      </c>
      <c r="EM156" s="19" t="str">
        <f t="shared" si="435"/>
        <v/>
      </c>
      <c r="EN156" s="19" t="str">
        <f t="shared" si="436"/>
        <v/>
      </c>
      <c r="EO156" s="19" t="str">
        <f t="shared" si="437"/>
        <v/>
      </c>
      <c r="EP156" s="19" t="str">
        <f t="shared" si="438"/>
        <v/>
      </c>
      <c r="EQ156" s="19" t="e">
        <f t="shared" si="439"/>
        <v>#N/A</v>
      </c>
      <c r="ER156" s="11" t="str">
        <f t="shared" si="527"/>
        <v/>
      </c>
      <c r="ES156" s="19" t="str">
        <f t="shared" si="528"/>
        <v/>
      </c>
      <c r="ET156" s="156" t="str">
        <f t="shared" si="511"/>
        <v/>
      </c>
      <c r="EU156" s="39" t="str">
        <f t="shared" si="440"/>
        <v/>
      </c>
      <c r="EV156" s="74" t="str">
        <f t="shared" si="512"/>
        <v/>
      </c>
      <c r="FA156" s="196"/>
      <c r="FB156" s="84" t="e">
        <f>IF(AND(Include_study?="Yes",Sufficient_data="Yes",Moderator&lt;&gt;""),'Moderator Analysis'!E156,NA())</f>
        <v>#N/A</v>
      </c>
      <c r="FC156" s="39" t="e">
        <f>IF(AND(Include_study?="Yes",Sufficient_data="Yes",Moderator&lt;&gt;""),'Moderator Analysis'!F156,NA())</f>
        <v>#N/A</v>
      </c>
      <c r="FD156" s="39" t="str">
        <f t="shared" si="513"/>
        <v/>
      </c>
      <c r="FE156" s="39" t="str">
        <f t="shared" si="514"/>
        <v/>
      </c>
      <c r="FF156" s="39" t="str">
        <f>IF(AND(Include_study?="Yes",Sufficient_data="Yes",Moderator&lt;&gt;""),'Moderator Analysis'!F:F-FP$2,"")</f>
        <v/>
      </c>
      <c r="FG156" s="39" t="str">
        <f>IF(AND(Include_study?="Yes",Sufficient_data="Yes",Moderator&lt;&gt;""),'Moderator Analysis'!E:E-FP$3,"")</f>
        <v/>
      </c>
      <c r="FH156" s="74" t="str">
        <f>IF(AND(Include_study?="Yes",Sufficient_data="Yes",Moderator&lt;&gt;""),FE:FE*('Moderator Analysis'!F:F-FP$5-FP$4*'Moderator Analysis'!E:E)^2,"")</f>
        <v/>
      </c>
      <c r="FI156" s="128"/>
      <c r="FJ156" s="92" t="str">
        <f t="shared" si="515"/>
        <v/>
      </c>
      <c r="FK156" s="137" t="str">
        <f>IF(AND(Include_study?="Yes",Sufficient_data="Yes",Moderator&lt;&gt;""),'Moderator Analysis'!F:F-'Moderator Analysis'!J$37,"")</f>
        <v/>
      </c>
      <c r="FL156" s="137" t="str">
        <f>IF(AND(Include_study?="Yes",Sufficient_data="Yes",Moderator&lt;&gt;""),'Moderator Analysis'!E:E-SUMPRODUCT('Moderator Analysis'!E:E,FJ:FJ)/SUM(FJ:FJ),"")</f>
        <v/>
      </c>
      <c r="FM156" s="95" t="str">
        <f>IF(AND(Include_study?="Yes",Sufficient_data="Yes",Moderator&lt;&gt;""),FJ:FJ*('Moderator Analysis'!F:F-'Moderator Analysis'!J$29-'Moderator Analysis'!J$30*'Moderator Analysis'!E:E)^2,"")</f>
        <v/>
      </c>
      <c r="FR156" s="196"/>
      <c r="FS156" s="182"/>
      <c r="FT15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6" s="39" t="str">
        <f>IF(AND(Include_study?="Yes",Sufficient_data="Yes"),1/('Publication Bias Analysis'!F:F^2+IF(Additional_model="Fixed effect",0,Calculations!GH$12)),"")</f>
        <v/>
      </c>
      <c r="FV156" s="39" t="str">
        <f>IF(AND(Include_study?="Yes",Sufficient_data="Yes"),1/('Publication Bias Analysis'!F:F^2+IF(Additional_model="Fixed effect",0,'Publication Bias Analysis'!L$32)),"")</f>
        <v/>
      </c>
      <c r="FW156" s="39" t="str">
        <f>IF(AND(Include_study?="Yes",Sufficient_data="Yes"),'Publication Bias Analysis'!E:E-'Publication Bias Analysis'!I$37,"")</f>
        <v/>
      </c>
      <c r="FX156" s="39" t="str">
        <f>IF(AND(Include_study?="Yes",Sufficient_data="Yes"),IF(Additional_model="Fixed effect",1/'Publication Bias Analysis'!F:F,1/SQRT('Publication Bias Analysis'!F:F^2+GH$12)),"")</f>
        <v/>
      </c>
      <c r="FY15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6" s="136" t="str">
        <f t="shared" si="516"/>
        <v/>
      </c>
      <c r="GA156" s="144" t="str">
        <f>IF(AND(Include_study?="Yes",Sufficient_data="Yes"),FZ:FZ+IF(GL:GL&lt;0,-1,1)*COUNTIF(FZ$2:FZ155,FZ:FZ),"")</f>
        <v/>
      </c>
      <c r="GB156" s="144" t="str">
        <f>IF(AND(Include_study?="Yes",Sufficient_data="Yes"),RANK(GP:GP,GP:GP,1)*IF(GO:GO&lt;0,-1,1)+IF(GO:GO&lt;0,-1,1)*COUNTIF(FZ$2:FZ155,FZ:FZ),"")</f>
        <v/>
      </c>
      <c r="GC156" s="144" t="str">
        <f>IF(AND(Include_study?="Yes",Sufficient_data="Yes"),RANK(GS:GS,GS:GS,1)*IF(GR:GR&lt;0,-1,1)+IF(GR:GR&lt;0,-1,1)*COUNTIF(FZ$2:FZ155,FZ:FZ),"")</f>
        <v/>
      </c>
      <c r="GD156" s="39" t="e">
        <f>IF(AND(Include_study?="Yes",Sufficient_data="Yes"),'Publication Bias Analysis'!E156,NA())</f>
        <v>#N/A</v>
      </c>
      <c r="GE156" s="74" t="e">
        <f>IF(AND(Include_study?="Yes",Sufficient_data="Yes"),'Publication Bias Analysis'!F156,NA())</f>
        <v>#N/A</v>
      </c>
      <c r="GK156" s="176"/>
      <c r="GL15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6" s="39" t="str">
        <f t="shared" si="517"/>
        <v/>
      </c>
      <c r="GN15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6" s="39" t="str">
        <f>IF(AND(Include_study?="Yes",Sufficient_data="Yes"),IF('Publication Bias Analysis'!L$38="Left",'Publication Bias Analysis'!E:E-GW$3,GW$3-'Publication Bias Analysis'!E:E),"")</f>
        <v/>
      </c>
      <c r="GP156" s="39" t="str">
        <f t="shared" si="529"/>
        <v/>
      </c>
      <c r="GQ15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6" s="39" t="str">
        <f>IF(AND(Include_study?="Yes",Sufficient_data="Yes"),IF('Publication Bias Analysis'!L$38="Left",'Publication Bias Analysis'!E:E-GW$10,GW$10-'Publication Bias Analysis'!E:E),"")</f>
        <v/>
      </c>
      <c r="GS156" s="39" t="str">
        <f t="shared" si="530"/>
        <v/>
      </c>
      <c r="GT15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6" s="176"/>
      <c r="HL156" s="69" t="str">
        <f t="shared" si="518"/>
        <v/>
      </c>
      <c r="HM156" s="74" t="str">
        <f>IF(AND(Include_study?="Yes",Sufficient_data="Yes"),Z_score-('Publication Bias Analysis'!P$3+'Publication Bias Analysis'!P$4*Inverse_standard_error),"")</f>
        <v/>
      </c>
      <c r="HO156" s="176"/>
      <c r="HP156" s="69" t="str">
        <f>IF(AND(Include_study?="Yes",Sufficient_data="Yes"),(GD:GD-SUMPRODUCT(Calculations!FT:FT,'Publication Bias Analysis'!E:E)/SUM(Calculations!FT:FT))/SQRT(Calculations!HQ:HQ),"")</f>
        <v/>
      </c>
      <c r="HQ156" s="69" t="str">
        <f>IF(AND(Include_study?="Yes",Sufficient_data="Yes"),GE:GE^2-1/SUM(Calculations!FT:FT),"")</f>
        <v/>
      </c>
      <c r="HR156" s="7" t="str">
        <f t="shared" si="441"/>
        <v/>
      </c>
      <c r="HS156" s="7" t="str">
        <f t="shared" si="442"/>
        <v/>
      </c>
      <c r="HT156" s="7" t="str">
        <f>IF(AND(Include_study?="Yes",Sufficient_data="Yes"),COUNTIFS(HR$2:HR155,"&lt;"&amp;HR156,HS$2:HS155,"&lt;"&amp;HS156)+COUNTIFS(HR157:HR$201,"&lt;"&amp;HR156,HS157:HS$201,"&lt;"&amp;HS156)+COUNTIFS(HR$2:HR155,"&gt;"&amp;HR156,HS$2:HS155,"&gt;"&amp;HS156)+COUNTIFS(HR157:HR$201,"&gt;"&amp;HR156,HS157:HS$201,"&gt;"&amp;HS156),"")</f>
        <v/>
      </c>
      <c r="HU156" s="104" t="str">
        <f>IF(AND(Include_study?="Yes",Sufficient_data="Yes"),COUNTIFS(HR$2:HR155,"&lt;"&amp;HR156,HS$2:HS155,"&gt;"&amp;HS156)+COUNTIFS(HR157:HR$201,"&lt;"&amp;HR156,HS157:HS$201,"&gt;"&amp;HS156)+COUNTIFS(HR$2:HR155,"&gt;"&amp;HR156,HS$2:HS155,"&lt;"&amp;HS156)+COUNTIFS(HR157:HR$201,"&gt;"&amp;HR156,HS157:HS$201,"&lt;"&amp;HS156),"")</f>
        <v/>
      </c>
      <c r="HW156" s="176"/>
      <c r="IB156" s="176"/>
      <c r="IC156" s="146" t="e">
        <f t="shared" si="519"/>
        <v>#N/A</v>
      </c>
      <c r="ID156" s="137" t="e">
        <f t="shared" si="520"/>
        <v>#N/A</v>
      </c>
      <c r="IE156" s="137" t="str">
        <f t="shared" si="521"/>
        <v/>
      </c>
      <c r="IF156" s="95" t="str">
        <f t="shared" si="522"/>
        <v/>
      </c>
      <c r="IK156" s="176"/>
      <c r="IL156" s="69" t="e">
        <f>IF(AND(Include_study?="Yes",Sufficient_data="Yes"),'Publication Bias Analysis'!AV:AV,NA())</f>
        <v>#N/A</v>
      </c>
      <c r="IM156" s="158" t="e">
        <f>IF(AND(Sufficient_data="Yes",Include_study?="Yes"),'Publication Bias Analysis'!AU:AU,NA())</f>
        <v>#N/A</v>
      </c>
      <c r="IN156" s="69" t="str">
        <f t="shared" si="418"/>
        <v/>
      </c>
      <c r="IO156" s="74" t="str">
        <f>IF(AND(Include_study?="Yes",Sufficient_data="Yes"),Z_score-('Publication Bias Analysis'!AY$30+'Publication Bias Analysis'!AY$31*Inverse_standard_error),"")</f>
        <v/>
      </c>
      <c r="IU156" s="176"/>
      <c r="IV156" s="7" t="str">
        <f>IF('Publication Bias Analysis'!BG:BG&lt;&gt;"",RANK('Publication Bias Analysis'!BG:BG,'Publication Bias Analysis'!BG:BG,1)+COUNTIF('Publication Bias Analysis'!BG$2:BG155,'Publication Bias Analysis'!BG156),"")</f>
        <v/>
      </c>
      <c r="IW156" s="124" t="str">
        <f t="shared" si="523"/>
        <v/>
      </c>
      <c r="IX156" s="125" t="e">
        <f>IF('Publication Bias Analysis'!BF156&lt;&gt;"",'Publication Bias Analysis'!BF156,NA())</f>
        <v>#N/A</v>
      </c>
      <c r="IY156" s="125" t="e">
        <f>IF('Publication Bias Analysis'!BG156&lt;&gt;"",'Publication Bias Analysis'!BG156,NA())</f>
        <v>#N/A</v>
      </c>
      <c r="IZ156" s="69" t="str">
        <f>IF(AND(Include_study?="Yes",Sufficient_data="Yes"),'Publication Bias Analysis'!BF:BF-AVERAGE('Publication Bias Analysis'!BF:BF),"")</f>
        <v/>
      </c>
      <c r="JA156" s="74" t="str">
        <f>IF(AND(Include_study?="Yes",Sufficient_data="Yes"),'Publication Bias Analysis'!BG:BG-('Publication Bias Analysis'!BJ$30+'Publication Bias Analysis'!BJ$31*'Publication Bias Analysis'!BF:BF),"")</f>
        <v/>
      </c>
      <c r="JG156" s="176"/>
      <c r="JH156" s="39" t="str">
        <f t="shared" si="524"/>
        <v/>
      </c>
      <c r="JI156" s="148" t="str">
        <f t="shared" si="531"/>
        <v/>
      </c>
      <c r="JJ156" s="74" t="str">
        <f t="shared" si="532"/>
        <v/>
      </c>
    </row>
    <row r="157" spans="1:270" x14ac:dyDescent="0.2">
      <c r="A157" s="56" t="str">
        <f t="shared" si="334"/>
        <v/>
      </c>
      <c r="B157" s="7" t="str">
        <f>IF(AND(Include_study?="Yes",Sufficient_data="Yes"),IF(Input!a_&lt;&gt;"",Input!a_,Input!n1_-Input!b_),"")</f>
        <v/>
      </c>
      <c r="C157" s="7" t="str">
        <f>IF(AND(Include_study?="Yes",Sufficient_data="Yes"),IF(Input!b_&lt;&gt;"",Input!b_,Input!n1_-Input!a_),"")</f>
        <v/>
      </c>
      <c r="D157" s="7" t="str">
        <f>IF(AND(Include_study?="Yes",Sufficient_data="Yes"),IF(Input!c_&lt;&gt;"",Input!c_,Input!n2_-Input!d_),"")</f>
        <v/>
      </c>
      <c r="E157" s="7" t="str">
        <f>IF(AND(Include_study?="Yes",Sufficient_data="Yes"),IF(Input!d_&lt;&gt;"",Input!d_,Input!n2_-Input!c_),"")</f>
        <v/>
      </c>
      <c r="F157" s="74" t="str">
        <f t="shared" si="443"/>
        <v/>
      </c>
      <c r="H157" s="196"/>
      <c r="I157" s="182"/>
      <c r="J157" s="146" t="str">
        <f t="shared" si="444"/>
        <v/>
      </c>
      <c r="K157" s="39" t="str">
        <f t="shared" si="445"/>
        <v/>
      </c>
      <c r="L157" s="39" t="str">
        <f t="shared" si="446"/>
        <v/>
      </c>
      <c r="M157" s="39" t="str">
        <f t="shared" si="447"/>
        <v/>
      </c>
      <c r="N157" s="74" t="str">
        <f t="shared" si="448"/>
        <v/>
      </c>
      <c r="P157" s="176"/>
      <c r="Q157" s="130" t="str">
        <f t="shared" si="449"/>
        <v/>
      </c>
      <c r="R157" s="39" t="str">
        <f t="shared" si="450"/>
        <v/>
      </c>
      <c r="S157" s="39" t="str">
        <f t="shared" si="451"/>
        <v/>
      </c>
      <c r="T157" s="74" t="str">
        <f t="shared" si="452"/>
        <v/>
      </c>
      <c r="V157" s="176"/>
      <c r="W157" s="130" t="str">
        <f t="shared" si="453"/>
        <v/>
      </c>
      <c r="X157" s="39" t="str">
        <f t="shared" si="454"/>
        <v/>
      </c>
      <c r="Y157" s="39" t="str">
        <f t="shared" si="455"/>
        <v/>
      </c>
      <c r="Z157" s="74" t="str">
        <f t="shared" si="456"/>
        <v/>
      </c>
      <c r="AB157" s="176"/>
      <c r="AC157" s="130" t="str">
        <f t="shared" si="457"/>
        <v/>
      </c>
      <c r="AD157" s="39" t="str">
        <f t="shared" si="458"/>
        <v/>
      </c>
      <c r="AE157" s="39" t="str">
        <f t="shared" si="459"/>
        <v/>
      </c>
      <c r="AF157" s="39" t="str">
        <f t="shared" si="460"/>
        <v/>
      </c>
      <c r="AG157" s="74" t="str">
        <f t="shared" si="461"/>
        <v/>
      </c>
      <c r="AI157" s="196"/>
      <c r="AJ15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7" s="136" t="str">
        <f>IF(AJ157&lt;&gt;"",IF(AJ157=0,COUNTIF(AJ$2:AJ156,0)+1,COUNTIF(AJ$2:AJ156,AJ157)+AJ157+COUNTIF(AJ:AJ,0)),"")</f>
        <v/>
      </c>
      <c r="AL157" s="136" t="str">
        <f t="shared" si="462"/>
        <v/>
      </c>
      <c r="AM157" s="155" t="str">
        <f>IF(AND(Include_study?="Yes",Sufficient_data="Yes",Input!Study_name&lt;&gt;""),Input!Study_name,"")</f>
        <v/>
      </c>
      <c r="AN157" s="136" t="str">
        <f t="shared" si="463"/>
        <v/>
      </c>
      <c r="AO157" s="19" t="str">
        <f t="shared" si="464"/>
        <v/>
      </c>
      <c r="AP157" s="158" t="str">
        <f t="shared" si="465"/>
        <v/>
      </c>
      <c r="AQ157" s="158" t="str">
        <f t="shared" si="466"/>
        <v/>
      </c>
      <c r="AR157" s="39" t="str">
        <f t="shared" si="467"/>
        <v/>
      </c>
      <c r="AS157" s="158" t="str">
        <f t="shared" si="468"/>
        <v/>
      </c>
      <c r="AT157" s="39" t="str">
        <f t="shared" si="469"/>
        <v/>
      </c>
      <c r="AU157" s="172" t="str">
        <f t="shared" si="470"/>
        <v/>
      </c>
      <c r="AV157" s="45"/>
      <c r="AW157" s="84" t="e">
        <f t="shared" si="360"/>
        <v>#N/A</v>
      </c>
      <c r="AX157" s="69" t="e">
        <f t="shared" si="471"/>
        <v>#N/A</v>
      </c>
      <c r="AY157" s="74" t="e">
        <f t="shared" si="472"/>
        <v>#N/A</v>
      </c>
      <c r="AZ157" s="45"/>
      <c r="BA157" s="45"/>
      <c r="BB157" s="45"/>
      <c r="BC157" s="45"/>
      <c r="BD157" s="196"/>
      <c r="BE157" s="182"/>
      <c r="BF157" s="69" t="str">
        <f t="shared" si="363"/>
        <v/>
      </c>
      <c r="BG157" s="69" t="str">
        <f t="shared" si="364"/>
        <v/>
      </c>
      <c r="BH157" s="69" t="str">
        <f t="shared" si="365"/>
        <v/>
      </c>
      <c r="BI157" s="39" t="str">
        <f t="shared" si="366"/>
        <v/>
      </c>
      <c r="BJ157" s="95" t="str">
        <f t="shared" si="473"/>
        <v/>
      </c>
      <c r="BO157" s="176"/>
      <c r="BP157" s="158" t="str">
        <f t="shared" si="474"/>
        <v/>
      </c>
      <c r="BQ157" s="158" t="str">
        <f t="shared" si="475"/>
        <v/>
      </c>
      <c r="BR157" s="158" t="str">
        <f t="shared" si="476"/>
        <v/>
      </c>
      <c r="BS157" s="158" t="str">
        <f>IF(AND(Sufficient_data="Yes",Include_study?="Yes"),IF(Add_0_5="Yes",(a_+d_+1)*(ab_+0.5)*(c_+0.5)/(Number_of_subjects+2)^2,(a_+d_)*b_*c_/Number_of_subjects^2),"")</f>
        <v/>
      </c>
      <c r="BT157" s="158" t="str">
        <f t="shared" si="477"/>
        <v/>
      </c>
      <c r="BU157" s="158" t="str">
        <f t="shared" si="478"/>
        <v/>
      </c>
      <c r="BV157" s="158" t="str">
        <f t="shared" si="479"/>
        <v/>
      </c>
      <c r="BW157" s="69" t="str">
        <f t="shared" si="374"/>
        <v/>
      </c>
      <c r="BX157" s="137" t="str">
        <f t="shared" si="375"/>
        <v/>
      </c>
      <c r="BY157" s="95" t="str">
        <f t="shared" si="480"/>
        <v/>
      </c>
      <c r="CD157" s="176"/>
      <c r="CE157" s="130" t="str">
        <f t="shared" si="481"/>
        <v/>
      </c>
      <c r="CF157" s="39" t="str">
        <f t="shared" si="482"/>
        <v/>
      </c>
      <c r="CG157" s="39" t="str">
        <f t="shared" si="483"/>
        <v/>
      </c>
      <c r="CH157" s="39" t="str">
        <f t="shared" si="484"/>
        <v/>
      </c>
      <c r="CI157" s="39" t="str">
        <f t="shared" si="485"/>
        <v/>
      </c>
      <c r="CJ157" s="39" t="str">
        <f t="shared" si="486"/>
        <v/>
      </c>
      <c r="CK157" s="95" t="str">
        <f t="shared" si="487"/>
        <v/>
      </c>
      <c r="CP157" s="176"/>
      <c r="CQ157" s="99" t="str">
        <f t="shared" si="383"/>
        <v/>
      </c>
      <c r="CX157" s="196"/>
      <c r="CY157" s="89" t="e">
        <f t="shared" si="488"/>
        <v>#N/A</v>
      </c>
      <c r="CZ157" s="136" t="str">
        <f t="shared" si="489"/>
        <v/>
      </c>
      <c r="DA157" s="140" t="str">
        <f t="shared" si="490"/>
        <v/>
      </c>
      <c r="DB157" s="39" t="str">
        <f t="shared" si="491"/>
        <v/>
      </c>
      <c r="DC157" s="39" t="str">
        <f t="shared" si="492"/>
        <v/>
      </c>
      <c r="DD157" s="39" t="str">
        <f t="shared" si="493"/>
        <v/>
      </c>
      <c r="DE157" s="39" t="str">
        <f t="shared" si="494"/>
        <v/>
      </c>
      <c r="DF157" s="141" t="str">
        <f t="shared" si="495"/>
        <v/>
      </c>
      <c r="DG157" s="39" t="str">
        <f t="shared" si="496"/>
        <v/>
      </c>
      <c r="DH157" s="39" t="str">
        <f t="shared" si="497"/>
        <v/>
      </c>
      <c r="DI157" s="39" t="str">
        <f t="shared" si="498"/>
        <v/>
      </c>
      <c r="DJ157" s="74" t="str">
        <f t="shared" si="499"/>
        <v/>
      </c>
      <c r="DK157" s="45"/>
      <c r="DL157" s="84" t="e">
        <f t="shared" si="423"/>
        <v>#N/A</v>
      </c>
      <c r="DM157" s="39" t="e">
        <f t="shared" si="500"/>
        <v>#N/A</v>
      </c>
      <c r="DN157" s="74" t="e">
        <f t="shared" si="501"/>
        <v>#N/A</v>
      </c>
      <c r="DO157" s="45"/>
      <c r="DP157" s="89" t="str">
        <f t="shared" si="525"/>
        <v/>
      </c>
      <c r="DQ157" s="26" t="str">
        <f>IF(AND(Sufficient_data="Yes",Subgroup&lt;&gt;""),IF(COUNTIFS(Input!J$2:J156,"="&amp;"Yes",Input!C$2:C156,"="&amp;"Yes",Input!K$2:K156,"="&amp;Subgroup)&gt;0,"",Subgroup),"")</f>
        <v/>
      </c>
      <c r="DR157" s="7" t="str">
        <f t="shared" si="526"/>
        <v/>
      </c>
      <c r="DS157" s="7" t="str">
        <f t="shared" si="502"/>
        <v/>
      </c>
      <c r="DT157" s="19" t="str">
        <f t="shared" si="503"/>
        <v/>
      </c>
      <c r="DU157" s="12" t="str">
        <f t="shared" si="424"/>
        <v/>
      </c>
      <c r="DV157" s="11" t="str">
        <f t="shared" si="425"/>
        <v/>
      </c>
      <c r="DW157" s="12" t="str">
        <f t="shared" si="426"/>
        <v/>
      </c>
      <c r="DX157" s="12" t="str">
        <f t="shared" si="504"/>
        <v/>
      </c>
      <c r="DY157" s="19" t="str">
        <f t="shared" si="427"/>
        <v/>
      </c>
      <c r="DZ157" s="12" t="str">
        <f t="shared" si="428"/>
        <v/>
      </c>
      <c r="EA157" s="19" t="str">
        <f t="shared" si="505"/>
        <v/>
      </c>
      <c r="EB157" s="7" t="str">
        <f t="shared" si="506"/>
        <v/>
      </c>
      <c r="EC157" s="19" t="str">
        <f t="shared" si="507"/>
        <v/>
      </c>
      <c r="ED157" s="19" t="str">
        <f t="shared" si="508"/>
        <v/>
      </c>
      <c r="EE157" s="19" t="str">
        <f t="shared" si="429"/>
        <v/>
      </c>
      <c r="EF157" s="19" t="str">
        <f t="shared" si="430"/>
        <v/>
      </c>
      <c r="EG157" s="19" t="str">
        <f t="shared" si="431"/>
        <v/>
      </c>
      <c r="EH157" s="19" t="str">
        <f t="shared" si="432"/>
        <v/>
      </c>
      <c r="EI157" s="19" t="str">
        <f t="shared" si="433"/>
        <v/>
      </c>
      <c r="EJ157" s="19" t="str">
        <f t="shared" si="509"/>
        <v/>
      </c>
      <c r="EK157" s="19" t="str">
        <f t="shared" si="510"/>
        <v/>
      </c>
      <c r="EL157" s="19" t="str">
        <f t="shared" si="434"/>
        <v/>
      </c>
      <c r="EM157" s="19" t="str">
        <f t="shared" si="435"/>
        <v/>
      </c>
      <c r="EN157" s="19" t="str">
        <f t="shared" si="436"/>
        <v/>
      </c>
      <c r="EO157" s="19" t="str">
        <f t="shared" si="437"/>
        <v/>
      </c>
      <c r="EP157" s="19" t="str">
        <f t="shared" si="438"/>
        <v/>
      </c>
      <c r="EQ157" s="19" t="e">
        <f t="shared" si="439"/>
        <v>#N/A</v>
      </c>
      <c r="ER157" s="11" t="str">
        <f t="shared" si="527"/>
        <v/>
      </c>
      <c r="ES157" s="19" t="str">
        <f t="shared" si="528"/>
        <v/>
      </c>
      <c r="ET157" s="156" t="str">
        <f t="shared" si="511"/>
        <v/>
      </c>
      <c r="EU157" s="39" t="str">
        <f t="shared" si="440"/>
        <v/>
      </c>
      <c r="EV157" s="74" t="str">
        <f t="shared" si="512"/>
        <v/>
      </c>
      <c r="FA157" s="196"/>
      <c r="FB157" s="84" t="e">
        <f>IF(AND(Include_study?="Yes",Sufficient_data="Yes",Moderator&lt;&gt;""),'Moderator Analysis'!E157,NA())</f>
        <v>#N/A</v>
      </c>
      <c r="FC157" s="39" t="e">
        <f>IF(AND(Include_study?="Yes",Sufficient_data="Yes",Moderator&lt;&gt;""),'Moderator Analysis'!F157,NA())</f>
        <v>#N/A</v>
      </c>
      <c r="FD157" s="39" t="str">
        <f t="shared" si="513"/>
        <v/>
      </c>
      <c r="FE157" s="39" t="str">
        <f t="shared" si="514"/>
        <v/>
      </c>
      <c r="FF157" s="39" t="str">
        <f>IF(AND(Include_study?="Yes",Sufficient_data="Yes",Moderator&lt;&gt;""),'Moderator Analysis'!F:F-FP$2,"")</f>
        <v/>
      </c>
      <c r="FG157" s="39" t="str">
        <f>IF(AND(Include_study?="Yes",Sufficient_data="Yes",Moderator&lt;&gt;""),'Moderator Analysis'!E:E-FP$3,"")</f>
        <v/>
      </c>
      <c r="FH157" s="74" t="str">
        <f>IF(AND(Include_study?="Yes",Sufficient_data="Yes",Moderator&lt;&gt;""),FE:FE*('Moderator Analysis'!F:F-FP$5-FP$4*'Moderator Analysis'!E:E)^2,"")</f>
        <v/>
      </c>
      <c r="FI157" s="128"/>
      <c r="FJ157" s="92" t="str">
        <f t="shared" si="515"/>
        <v/>
      </c>
      <c r="FK157" s="137" t="str">
        <f>IF(AND(Include_study?="Yes",Sufficient_data="Yes",Moderator&lt;&gt;""),'Moderator Analysis'!F:F-'Moderator Analysis'!J$37,"")</f>
        <v/>
      </c>
      <c r="FL157" s="137" t="str">
        <f>IF(AND(Include_study?="Yes",Sufficient_data="Yes",Moderator&lt;&gt;""),'Moderator Analysis'!E:E-SUMPRODUCT('Moderator Analysis'!E:E,FJ:FJ)/SUM(FJ:FJ),"")</f>
        <v/>
      </c>
      <c r="FM157" s="95" t="str">
        <f>IF(AND(Include_study?="Yes",Sufficient_data="Yes",Moderator&lt;&gt;""),FJ:FJ*('Moderator Analysis'!F:F-'Moderator Analysis'!J$29-'Moderator Analysis'!J$30*'Moderator Analysis'!E:E)^2,"")</f>
        <v/>
      </c>
      <c r="FR157" s="196"/>
      <c r="FS157" s="182"/>
      <c r="FT15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7" s="39" t="str">
        <f>IF(AND(Include_study?="Yes",Sufficient_data="Yes"),1/('Publication Bias Analysis'!F:F^2+IF(Additional_model="Fixed effect",0,Calculations!GH$12)),"")</f>
        <v/>
      </c>
      <c r="FV157" s="39" t="str">
        <f>IF(AND(Include_study?="Yes",Sufficient_data="Yes"),1/('Publication Bias Analysis'!F:F^2+IF(Additional_model="Fixed effect",0,'Publication Bias Analysis'!L$32)),"")</f>
        <v/>
      </c>
      <c r="FW157" s="39" t="str">
        <f>IF(AND(Include_study?="Yes",Sufficient_data="Yes"),'Publication Bias Analysis'!E:E-'Publication Bias Analysis'!I$37,"")</f>
        <v/>
      </c>
      <c r="FX157" s="39" t="str">
        <f>IF(AND(Include_study?="Yes",Sufficient_data="Yes"),IF(Additional_model="Fixed effect",1/'Publication Bias Analysis'!F:F,1/SQRT('Publication Bias Analysis'!F:F^2+GH$12)),"")</f>
        <v/>
      </c>
      <c r="FY15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7" s="136" t="str">
        <f t="shared" si="516"/>
        <v/>
      </c>
      <c r="GA157" s="144" t="str">
        <f>IF(AND(Include_study?="Yes",Sufficient_data="Yes"),FZ:FZ+IF(GL:GL&lt;0,-1,1)*COUNTIF(FZ$2:FZ156,FZ:FZ),"")</f>
        <v/>
      </c>
      <c r="GB157" s="144" t="str">
        <f>IF(AND(Include_study?="Yes",Sufficient_data="Yes"),RANK(GP:GP,GP:GP,1)*IF(GO:GO&lt;0,-1,1)+IF(GO:GO&lt;0,-1,1)*COUNTIF(FZ$2:FZ156,FZ:FZ),"")</f>
        <v/>
      </c>
      <c r="GC157" s="144" t="str">
        <f>IF(AND(Include_study?="Yes",Sufficient_data="Yes"),RANK(GS:GS,GS:GS,1)*IF(GR:GR&lt;0,-1,1)+IF(GR:GR&lt;0,-1,1)*COUNTIF(FZ$2:FZ156,FZ:FZ),"")</f>
        <v/>
      </c>
      <c r="GD157" s="39" t="e">
        <f>IF(AND(Include_study?="Yes",Sufficient_data="Yes"),'Publication Bias Analysis'!E157,NA())</f>
        <v>#N/A</v>
      </c>
      <c r="GE157" s="74" t="e">
        <f>IF(AND(Include_study?="Yes",Sufficient_data="Yes"),'Publication Bias Analysis'!F157,NA())</f>
        <v>#N/A</v>
      </c>
      <c r="GK157" s="176"/>
      <c r="GL15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7" s="39" t="str">
        <f t="shared" si="517"/>
        <v/>
      </c>
      <c r="GN15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7" s="39" t="str">
        <f>IF(AND(Include_study?="Yes",Sufficient_data="Yes"),IF('Publication Bias Analysis'!L$38="Left",'Publication Bias Analysis'!E:E-GW$3,GW$3-'Publication Bias Analysis'!E:E),"")</f>
        <v/>
      </c>
      <c r="GP157" s="39" t="str">
        <f t="shared" si="529"/>
        <v/>
      </c>
      <c r="GQ15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7" s="39" t="str">
        <f>IF(AND(Include_study?="Yes",Sufficient_data="Yes"),IF('Publication Bias Analysis'!L$38="Left",'Publication Bias Analysis'!E:E-GW$10,GW$10-'Publication Bias Analysis'!E:E),"")</f>
        <v/>
      </c>
      <c r="GS157" s="39" t="str">
        <f t="shared" si="530"/>
        <v/>
      </c>
      <c r="GT15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7" s="176"/>
      <c r="HL157" s="69" t="str">
        <f t="shared" si="518"/>
        <v/>
      </c>
      <c r="HM157" s="74" t="str">
        <f>IF(AND(Include_study?="Yes",Sufficient_data="Yes"),Z_score-('Publication Bias Analysis'!P$3+'Publication Bias Analysis'!P$4*Inverse_standard_error),"")</f>
        <v/>
      </c>
      <c r="HO157" s="176"/>
      <c r="HP157" s="69" t="str">
        <f>IF(AND(Include_study?="Yes",Sufficient_data="Yes"),(GD:GD-SUMPRODUCT(Calculations!FT:FT,'Publication Bias Analysis'!E:E)/SUM(Calculations!FT:FT))/SQRT(Calculations!HQ:HQ),"")</f>
        <v/>
      </c>
      <c r="HQ157" s="69" t="str">
        <f>IF(AND(Include_study?="Yes",Sufficient_data="Yes"),GE:GE^2-1/SUM(Calculations!FT:FT),"")</f>
        <v/>
      </c>
      <c r="HR157" s="7" t="str">
        <f t="shared" si="441"/>
        <v/>
      </c>
      <c r="HS157" s="7" t="str">
        <f t="shared" si="442"/>
        <v/>
      </c>
      <c r="HT157" s="7" t="str">
        <f>IF(AND(Include_study?="Yes",Sufficient_data="Yes"),COUNTIFS(HR$2:HR156,"&lt;"&amp;HR157,HS$2:HS156,"&lt;"&amp;HS157)+COUNTIFS(HR158:HR$201,"&lt;"&amp;HR157,HS158:HS$201,"&lt;"&amp;HS157)+COUNTIFS(HR$2:HR156,"&gt;"&amp;HR157,HS$2:HS156,"&gt;"&amp;HS157)+COUNTIFS(HR158:HR$201,"&gt;"&amp;HR157,HS158:HS$201,"&gt;"&amp;HS157),"")</f>
        <v/>
      </c>
      <c r="HU157" s="104" t="str">
        <f>IF(AND(Include_study?="Yes",Sufficient_data="Yes"),COUNTIFS(HR$2:HR156,"&lt;"&amp;HR157,HS$2:HS156,"&gt;"&amp;HS157)+COUNTIFS(HR158:HR$201,"&lt;"&amp;HR157,HS158:HS$201,"&gt;"&amp;HS157)+COUNTIFS(HR$2:HR156,"&gt;"&amp;HR157,HS$2:HS156,"&lt;"&amp;HS157)+COUNTIFS(HR158:HR$201,"&gt;"&amp;HR157,HS158:HS$201,"&lt;"&amp;HS157),"")</f>
        <v/>
      </c>
      <c r="HW157" s="176"/>
      <c r="IB157" s="176"/>
      <c r="IC157" s="146" t="e">
        <f t="shared" si="519"/>
        <v>#N/A</v>
      </c>
      <c r="ID157" s="137" t="e">
        <f t="shared" si="520"/>
        <v>#N/A</v>
      </c>
      <c r="IE157" s="137" t="str">
        <f t="shared" si="521"/>
        <v/>
      </c>
      <c r="IF157" s="95" t="str">
        <f t="shared" si="522"/>
        <v/>
      </c>
      <c r="IK157" s="176"/>
      <c r="IL157" s="69" t="e">
        <f>IF(AND(Include_study?="Yes",Sufficient_data="Yes"),'Publication Bias Analysis'!AV:AV,NA())</f>
        <v>#N/A</v>
      </c>
      <c r="IM157" s="158" t="e">
        <f>IF(AND(Sufficient_data="Yes",Include_study?="Yes"),'Publication Bias Analysis'!AU:AU,NA())</f>
        <v>#N/A</v>
      </c>
      <c r="IN157" s="69" t="str">
        <f t="shared" si="418"/>
        <v/>
      </c>
      <c r="IO157" s="74" t="str">
        <f>IF(AND(Include_study?="Yes",Sufficient_data="Yes"),Z_score-('Publication Bias Analysis'!AY$30+'Publication Bias Analysis'!AY$31*Inverse_standard_error),"")</f>
        <v/>
      </c>
      <c r="IU157" s="176"/>
      <c r="IV157" s="7" t="str">
        <f>IF('Publication Bias Analysis'!BG:BG&lt;&gt;"",RANK('Publication Bias Analysis'!BG:BG,'Publication Bias Analysis'!BG:BG,1)+COUNTIF('Publication Bias Analysis'!BG$2:BG156,'Publication Bias Analysis'!BG157),"")</f>
        <v/>
      </c>
      <c r="IW157" s="124" t="str">
        <f t="shared" si="523"/>
        <v/>
      </c>
      <c r="IX157" s="125" t="e">
        <f>IF('Publication Bias Analysis'!BF157&lt;&gt;"",'Publication Bias Analysis'!BF157,NA())</f>
        <v>#N/A</v>
      </c>
      <c r="IY157" s="125" t="e">
        <f>IF('Publication Bias Analysis'!BG157&lt;&gt;"",'Publication Bias Analysis'!BG157,NA())</f>
        <v>#N/A</v>
      </c>
      <c r="IZ157" s="69" t="str">
        <f>IF(AND(Include_study?="Yes",Sufficient_data="Yes"),'Publication Bias Analysis'!BF:BF-AVERAGE('Publication Bias Analysis'!BF:BF),"")</f>
        <v/>
      </c>
      <c r="JA157" s="74" t="str">
        <f>IF(AND(Include_study?="Yes",Sufficient_data="Yes"),'Publication Bias Analysis'!BG:BG-('Publication Bias Analysis'!BJ$30+'Publication Bias Analysis'!BJ$31*'Publication Bias Analysis'!BF:BF),"")</f>
        <v/>
      </c>
      <c r="JG157" s="176"/>
      <c r="JH157" s="39" t="str">
        <f t="shared" si="524"/>
        <v/>
      </c>
      <c r="JI157" s="148" t="str">
        <f t="shared" si="531"/>
        <v/>
      </c>
      <c r="JJ157" s="74" t="str">
        <f t="shared" si="532"/>
        <v/>
      </c>
    </row>
    <row r="158" spans="1:270" x14ac:dyDescent="0.2">
      <c r="A158" s="56" t="str">
        <f t="shared" si="334"/>
        <v/>
      </c>
      <c r="B158" s="7" t="str">
        <f>IF(AND(Include_study?="Yes",Sufficient_data="Yes"),IF(Input!a_&lt;&gt;"",Input!a_,Input!n1_-Input!b_),"")</f>
        <v/>
      </c>
      <c r="C158" s="7" t="str">
        <f>IF(AND(Include_study?="Yes",Sufficient_data="Yes"),IF(Input!b_&lt;&gt;"",Input!b_,Input!n1_-Input!a_),"")</f>
        <v/>
      </c>
      <c r="D158" s="7" t="str">
        <f>IF(AND(Include_study?="Yes",Sufficient_data="Yes"),IF(Input!c_&lt;&gt;"",Input!c_,Input!n2_-Input!d_),"")</f>
        <v/>
      </c>
      <c r="E158" s="7" t="str">
        <f>IF(AND(Include_study?="Yes",Sufficient_data="Yes"),IF(Input!d_&lt;&gt;"",Input!d_,Input!n2_-Input!c_),"")</f>
        <v/>
      </c>
      <c r="F158" s="74" t="str">
        <f t="shared" si="443"/>
        <v/>
      </c>
      <c r="H158" s="196"/>
      <c r="I158" s="182"/>
      <c r="J158" s="146" t="str">
        <f t="shared" si="444"/>
        <v/>
      </c>
      <c r="K158" s="39" t="str">
        <f t="shared" si="445"/>
        <v/>
      </c>
      <c r="L158" s="39" t="str">
        <f t="shared" si="446"/>
        <v/>
      </c>
      <c r="M158" s="39" t="str">
        <f t="shared" si="447"/>
        <v/>
      </c>
      <c r="N158" s="74" t="str">
        <f t="shared" si="448"/>
        <v/>
      </c>
      <c r="P158" s="176"/>
      <c r="Q158" s="130" t="str">
        <f t="shared" si="449"/>
        <v/>
      </c>
      <c r="R158" s="39" t="str">
        <f t="shared" si="450"/>
        <v/>
      </c>
      <c r="S158" s="39" t="str">
        <f t="shared" si="451"/>
        <v/>
      </c>
      <c r="T158" s="74" t="str">
        <f t="shared" si="452"/>
        <v/>
      </c>
      <c r="V158" s="176"/>
      <c r="W158" s="130" t="str">
        <f t="shared" si="453"/>
        <v/>
      </c>
      <c r="X158" s="39" t="str">
        <f t="shared" si="454"/>
        <v/>
      </c>
      <c r="Y158" s="39" t="str">
        <f t="shared" si="455"/>
        <v/>
      </c>
      <c r="Z158" s="74" t="str">
        <f t="shared" si="456"/>
        <v/>
      </c>
      <c r="AB158" s="176"/>
      <c r="AC158" s="130" t="str">
        <f t="shared" si="457"/>
        <v/>
      </c>
      <c r="AD158" s="39" t="str">
        <f t="shared" si="458"/>
        <v/>
      </c>
      <c r="AE158" s="39" t="str">
        <f t="shared" si="459"/>
        <v/>
      </c>
      <c r="AF158" s="39" t="str">
        <f t="shared" si="460"/>
        <v/>
      </c>
      <c r="AG158" s="74" t="str">
        <f t="shared" si="461"/>
        <v/>
      </c>
      <c r="AI158" s="196"/>
      <c r="AJ15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8" s="136" t="str">
        <f>IF(AJ158&lt;&gt;"",IF(AJ158=0,COUNTIF(AJ$2:AJ157,0)+1,COUNTIF(AJ$2:AJ157,AJ158)+AJ158+COUNTIF(AJ:AJ,0)),"")</f>
        <v/>
      </c>
      <c r="AL158" s="136" t="str">
        <f t="shared" si="462"/>
        <v/>
      </c>
      <c r="AM158" s="155" t="str">
        <f>IF(AND(Include_study?="Yes",Sufficient_data="Yes",Input!Study_name&lt;&gt;""),Input!Study_name,"")</f>
        <v/>
      </c>
      <c r="AN158" s="136" t="str">
        <f t="shared" si="463"/>
        <v/>
      </c>
      <c r="AO158" s="19" t="str">
        <f t="shared" si="464"/>
        <v/>
      </c>
      <c r="AP158" s="158" t="str">
        <f t="shared" si="465"/>
        <v/>
      </c>
      <c r="AQ158" s="158" t="str">
        <f t="shared" si="466"/>
        <v/>
      </c>
      <c r="AR158" s="39" t="str">
        <f t="shared" si="467"/>
        <v/>
      </c>
      <c r="AS158" s="158" t="str">
        <f t="shared" si="468"/>
        <v/>
      </c>
      <c r="AT158" s="39" t="str">
        <f t="shared" si="469"/>
        <v/>
      </c>
      <c r="AU158" s="172" t="str">
        <f t="shared" si="470"/>
        <v/>
      </c>
      <c r="AV158" s="45"/>
      <c r="AW158" s="84" t="e">
        <f t="shared" si="360"/>
        <v>#N/A</v>
      </c>
      <c r="AX158" s="69" t="e">
        <f t="shared" si="471"/>
        <v>#N/A</v>
      </c>
      <c r="AY158" s="74" t="e">
        <f t="shared" si="472"/>
        <v>#N/A</v>
      </c>
      <c r="AZ158" s="45"/>
      <c r="BA158" s="45"/>
      <c r="BB158" s="45"/>
      <c r="BC158" s="45"/>
      <c r="BD158" s="196"/>
      <c r="BE158" s="182"/>
      <c r="BF158" s="69" t="str">
        <f t="shared" si="363"/>
        <v/>
      </c>
      <c r="BG158" s="69" t="str">
        <f t="shared" si="364"/>
        <v/>
      </c>
      <c r="BH158" s="69" t="str">
        <f t="shared" si="365"/>
        <v/>
      </c>
      <c r="BI158" s="39" t="str">
        <f t="shared" si="366"/>
        <v/>
      </c>
      <c r="BJ158" s="95" t="str">
        <f t="shared" si="473"/>
        <v/>
      </c>
      <c r="BO158" s="176"/>
      <c r="BP158" s="158" t="str">
        <f t="shared" si="474"/>
        <v/>
      </c>
      <c r="BQ158" s="158" t="str">
        <f t="shared" si="475"/>
        <v/>
      </c>
      <c r="BR158" s="158" t="str">
        <f t="shared" si="476"/>
        <v/>
      </c>
      <c r="BS158" s="158" t="str">
        <f>IF(AND(Sufficient_data="Yes",Include_study?="Yes"),IF(Add_0_5="Yes",(a_+d_+1)*(ab_+0.5)*(c_+0.5)/(Number_of_subjects+2)^2,(a_+d_)*b_*c_/Number_of_subjects^2),"")</f>
        <v/>
      </c>
      <c r="BT158" s="158" t="str">
        <f t="shared" si="477"/>
        <v/>
      </c>
      <c r="BU158" s="158" t="str">
        <f t="shared" si="478"/>
        <v/>
      </c>
      <c r="BV158" s="158" t="str">
        <f t="shared" si="479"/>
        <v/>
      </c>
      <c r="BW158" s="69" t="str">
        <f t="shared" si="374"/>
        <v/>
      </c>
      <c r="BX158" s="137" t="str">
        <f t="shared" si="375"/>
        <v/>
      </c>
      <c r="BY158" s="95" t="str">
        <f t="shared" si="480"/>
        <v/>
      </c>
      <c r="CD158" s="176"/>
      <c r="CE158" s="130" t="str">
        <f t="shared" si="481"/>
        <v/>
      </c>
      <c r="CF158" s="39" t="str">
        <f t="shared" si="482"/>
        <v/>
      </c>
      <c r="CG158" s="39" t="str">
        <f t="shared" si="483"/>
        <v/>
      </c>
      <c r="CH158" s="39" t="str">
        <f t="shared" si="484"/>
        <v/>
      </c>
      <c r="CI158" s="39" t="str">
        <f t="shared" si="485"/>
        <v/>
      </c>
      <c r="CJ158" s="39" t="str">
        <f t="shared" si="486"/>
        <v/>
      </c>
      <c r="CK158" s="95" t="str">
        <f t="shared" si="487"/>
        <v/>
      </c>
      <c r="CP158" s="176"/>
      <c r="CQ158" s="99" t="str">
        <f t="shared" si="383"/>
        <v/>
      </c>
      <c r="CX158" s="196"/>
      <c r="CY158" s="89" t="e">
        <f t="shared" si="488"/>
        <v>#N/A</v>
      </c>
      <c r="CZ158" s="136" t="str">
        <f t="shared" si="489"/>
        <v/>
      </c>
      <c r="DA158" s="140" t="str">
        <f t="shared" si="490"/>
        <v/>
      </c>
      <c r="DB158" s="39" t="str">
        <f t="shared" si="491"/>
        <v/>
      </c>
      <c r="DC158" s="39" t="str">
        <f t="shared" si="492"/>
        <v/>
      </c>
      <c r="DD158" s="39" t="str">
        <f t="shared" si="493"/>
        <v/>
      </c>
      <c r="DE158" s="39" t="str">
        <f t="shared" si="494"/>
        <v/>
      </c>
      <c r="DF158" s="141" t="str">
        <f t="shared" si="495"/>
        <v/>
      </c>
      <c r="DG158" s="39" t="str">
        <f t="shared" si="496"/>
        <v/>
      </c>
      <c r="DH158" s="39" t="str">
        <f t="shared" si="497"/>
        <v/>
      </c>
      <c r="DI158" s="39" t="str">
        <f t="shared" si="498"/>
        <v/>
      </c>
      <c r="DJ158" s="74" t="str">
        <f t="shared" si="499"/>
        <v/>
      </c>
      <c r="DK158" s="45"/>
      <c r="DL158" s="84" t="e">
        <f t="shared" si="423"/>
        <v>#N/A</v>
      </c>
      <c r="DM158" s="39" t="e">
        <f t="shared" si="500"/>
        <v>#N/A</v>
      </c>
      <c r="DN158" s="74" t="e">
        <f t="shared" si="501"/>
        <v>#N/A</v>
      </c>
      <c r="DO158" s="45"/>
      <c r="DP158" s="89" t="str">
        <f t="shared" si="525"/>
        <v/>
      </c>
      <c r="DQ158" s="26" t="str">
        <f>IF(AND(Sufficient_data="Yes",Subgroup&lt;&gt;""),IF(COUNTIFS(Input!J$2:J157,"="&amp;"Yes",Input!C$2:C157,"="&amp;"Yes",Input!K$2:K157,"="&amp;Subgroup)&gt;0,"",Subgroup),"")</f>
        <v/>
      </c>
      <c r="DR158" s="7" t="str">
        <f t="shared" si="526"/>
        <v/>
      </c>
      <c r="DS158" s="7" t="str">
        <f t="shared" si="502"/>
        <v/>
      </c>
      <c r="DT158" s="19" t="str">
        <f t="shared" si="503"/>
        <v/>
      </c>
      <c r="DU158" s="12" t="str">
        <f t="shared" si="424"/>
        <v/>
      </c>
      <c r="DV158" s="11" t="str">
        <f t="shared" si="425"/>
        <v/>
      </c>
      <c r="DW158" s="12" t="str">
        <f t="shared" si="426"/>
        <v/>
      </c>
      <c r="DX158" s="12" t="str">
        <f t="shared" si="504"/>
        <v/>
      </c>
      <c r="DY158" s="19" t="str">
        <f t="shared" si="427"/>
        <v/>
      </c>
      <c r="DZ158" s="12" t="str">
        <f t="shared" si="428"/>
        <v/>
      </c>
      <c r="EA158" s="19" t="str">
        <f t="shared" si="505"/>
        <v/>
      </c>
      <c r="EB158" s="7" t="str">
        <f t="shared" si="506"/>
        <v/>
      </c>
      <c r="EC158" s="19" t="str">
        <f t="shared" si="507"/>
        <v/>
      </c>
      <c r="ED158" s="19" t="str">
        <f t="shared" si="508"/>
        <v/>
      </c>
      <c r="EE158" s="19" t="str">
        <f t="shared" si="429"/>
        <v/>
      </c>
      <c r="EF158" s="19" t="str">
        <f t="shared" si="430"/>
        <v/>
      </c>
      <c r="EG158" s="19" t="str">
        <f t="shared" si="431"/>
        <v/>
      </c>
      <c r="EH158" s="19" t="str">
        <f t="shared" si="432"/>
        <v/>
      </c>
      <c r="EI158" s="19" t="str">
        <f t="shared" si="433"/>
        <v/>
      </c>
      <c r="EJ158" s="19" t="str">
        <f t="shared" si="509"/>
        <v/>
      </c>
      <c r="EK158" s="19" t="str">
        <f t="shared" si="510"/>
        <v/>
      </c>
      <c r="EL158" s="19" t="str">
        <f t="shared" si="434"/>
        <v/>
      </c>
      <c r="EM158" s="19" t="str">
        <f t="shared" si="435"/>
        <v/>
      </c>
      <c r="EN158" s="19" t="str">
        <f t="shared" si="436"/>
        <v/>
      </c>
      <c r="EO158" s="19" t="str">
        <f t="shared" si="437"/>
        <v/>
      </c>
      <c r="EP158" s="19" t="str">
        <f t="shared" si="438"/>
        <v/>
      </c>
      <c r="EQ158" s="19" t="e">
        <f t="shared" si="439"/>
        <v>#N/A</v>
      </c>
      <c r="ER158" s="11" t="str">
        <f t="shared" si="527"/>
        <v/>
      </c>
      <c r="ES158" s="19" t="str">
        <f t="shared" si="528"/>
        <v/>
      </c>
      <c r="ET158" s="156" t="str">
        <f t="shared" si="511"/>
        <v/>
      </c>
      <c r="EU158" s="39" t="str">
        <f t="shared" si="440"/>
        <v/>
      </c>
      <c r="EV158" s="74" t="str">
        <f t="shared" si="512"/>
        <v/>
      </c>
      <c r="FA158" s="196"/>
      <c r="FB158" s="84" t="e">
        <f>IF(AND(Include_study?="Yes",Sufficient_data="Yes",Moderator&lt;&gt;""),'Moderator Analysis'!E158,NA())</f>
        <v>#N/A</v>
      </c>
      <c r="FC158" s="39" t="e">
        <f>IF(AND(Include_study?="Yes",Sufficient_data="Yes",Moderator&lt;&gt;""),'Moderator Analysis'!F158,NA())</f>
        <v>#N/A</v>
      </c>
      <c r="FD158" s="39" t="str">
        <f t="shared" si="513"/>
        <v/>
      </c>
      <c r="FE158" s="39" t="str">
        <f t="shared" si="514"/>
        <v/>
      </c>
      <c r="FF158" s="39" t="str">
        <f>IF(AND(Include_study?="Yes",Sufficient_data="Yes",Moderator&lt;&gt;""),'Moderator Analysis'!F:F-FP$2,"")</f>
        <v/>
      </c>
      <c r="FG158" s="39" t="str">
        <f>IF(AND(Include_study?="Yes",Sufficient_data="Yes",Moderator&lt;&gt;""),'Moderator Analysis'!E:E-FP$3,"")</f>
        <v/>
      </c>
      <c r="FH158" s="74" t="str">
        <f>IF(AND(Include_study?="Yes",Sufficient_data="Yes",Moderator&lt;&gt;""),FE:FE*('Moderator Analysis'!F:F-FP$5-FP$4*'Moderator Analysis'!E:E)^2,"")</f>
        <v/>
      </c>
      <c r="FI158" s="128"/>
      <c r="FJ158" s="92" t="str">
        <f t="shared" si="515"/>
        <v/>
      </c>
      <c r="FK158" s="137" t="str">
        <f>IF(AND(Include_study?="Yes",Sufficient_data="Yes",Moderator&lt;&gt;""),'Moderator Analysis'!F:F-'Moderator Analysis'!J$37,"")</f>
        <v/>
      </c>
      <c r="FL158" s="137" t="str">
        <f>IF(AND(Include_study?="Yes",Sufficient_data="Yes",Moderator&lt;&gt;""),'Moderator Analysis'!E:E-SUMPRODUCT('Moderator Analysis'!E:E,FJ:FJ)/SUM(FJ:FJ),"")</f>
        <v/>
      </c>
      <c r="FM158" s="95" t="str">
        <f>IF(AND(Include_study?="Yes",Sufficient_data="Yes",Moderator&lt;&gt;""),FJ:FJ*('Moderator Analysis'!F:F-'Moderator Analysis'!J$29-'Moderator Analysis'!J$30*'Moderator Analysis'!E:E)^2,"")</f>
        <v/>
      </c>
      <c r="FR158" s="196"/>
      <c r="FS158" s="182"/>
      <c r="FT15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8" s="39" t="str">
        <f>IF(AND(Include_study?="Yes",Sufficient_data="Yes"),1/('Publication Bias Analysis'!F:F^2+IF(Additional_model="Fixed effect",0,Calculations!GH$12)),"")</f>
        <v/>
      </c>
      <c r="FV158" s="39" t="str">
        <f>IF(AND(Include_study?="Yes",Sufficient_data="Yes"),1/('Publication Bias Analysis'!F:F^2+IF(Additional_model="Fixed effect",0,'Publication Bias Analysis'!L$32)),"")</f>
        <v/>
      </c>
      <c r="FW158" s="39" t="str">
        <f>IF(AND(Include_study?="Yes",Sufficient_data="Yes"),'Publication Bias Analysis'!E:E-'Publication Bias Analysis'!I$37,"")</f>
        <v/>
      </c>
      <c r="FX158" s="39" t="str">
        <f>IF(AND(Include_study?="Yes",Sufficient_data="Yes"),IF(Additional_model="Fixed effect",1/'Publication Bias Analysis'!F:F,1/SQRT('Publication Bias Analysis'!F:F^2+GH$12)),"")</f>
        <v/>
      </c>
      <c r="FY15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8" s="136" t="str">
        <f t="shared" si="516"/>
        <v/>
      </c>
      <c r="GA158" s="144" t="str">
        <f>IF(AND(Include_study?="Yes",Sufficient_data="Yes"),FZ:FZ+IF(GL:GL&lt;0,-1,1)*COUNTIF(FZ$2:FZ157,FZ:FZ),"")</f>
        <v/>
      </c>
      <c r="GB158" s="144" t="str">
        <f>IF(AND(Include_study?="Yes",Sufficient_data="Yes"),RANK(GP:GP,GP:GP,1)*IF(GO:GO&lt;0,-1,1)+IF(GO:GO&lt;0,-1,1)*COUNTIF(FZ$2:FZ157,FZ:FZ),"")</f>
        <v/>
      </c>
      <c r="GC158" s="144" t="str">
        <f>IF(AND(Include_study?="Yes",Sufficient_data="Yes"),RANK(GS:GS,GS:GS,1)*IF(GR:GR&lt;0,-1,1)+IF(GR:GR&lt;0,-1,1)*COUNTIF(FZ$2:FZ157,FZ:FZ),"")</f>
        <v/>
      </c>
      <c r="GD158" s="39" t="e">
        <f>IF(AND(Include_study?="Yes",Sufficient_data="Yes"),'Publication Bias Analysis'!E158,NA())</f>
        <v>#N/A</v>
      </c>
      <c r="GE158" s="74" t="e">
        <f>IF(AND(Include_study?="Yes",Sufficient_data="Yes"),'Publication Bias Analysis'!F158,NA())</f>
        <v>#N/A</v>
      </c>
      <c r="GK158" s="176"/>
      <c r="GL15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8" s="39" t="str">
        <f t="shared" si="517"/>
        <v/>
      </c>
      <c r="GN15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8" s="39" t="str">
        <f>IF(AND(Include_study?="Yes",Sufficient_data="Yes"),IF('Publication Bias Analysis'!L$38="Left",'Publication Bias Analysis'!E:E-GW$3,GW$3-'Publication Bias Analysis'!E:E),"")</f>
        <v/>
      </c>
      <c r="GP158" s="39" t="str">
        <f t="shared" si="529"/>
        <v/>
      </c>
      <c r="GQ15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8" s="39" t="str">
        <f>IF(AND(Include_study?="Yes",Sufficient_data="Yes"),IF('Publication Bias Analysis'!L$38="Left",'Publication Bias Analysis'!E:E-GW$10,GW$10-'Publication Bias Analysis'!E:E),"")</f>
        <v/>
      </c>
      <c r="GS158" s="39" t="str">
        <f t="shared" si="530"/>
        <v/>
      </c>
      <c r="GT15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8" s="176"/>
      <c r="HL158" s="69" t="str">
        <f t="shared" si="518"/>
        <v/>
      </c>
      <c r="HM158" s="74" t="str">
        <f>IF(AND(Include_study?="Yes",Sufficient_data="Yes"),Z_score-('Publication Bias Analysis'!P$3+'Publication Bias Analysis'!P$4*Inverse_standard_error),"")</f>
        <v/>
      </c>
      <c r="HO158" s="176"/>
      <c r="HP158" s="69" t="str">
        <f>IF(AND(Include_study?="Yes",Sufficient_data="Yes"),(GD:GD-SUMPRODUCT(Calculations!FT:FT,'Publication Bias Analysis'!E:E)/SUM(Calculations!FT:FT))/SQRT(Calculations!HQ:HQ),"")</f>
        <v/>
      </c>
      <c r="HQ158" s="69" t="str">
        <f>IF(AND(Include_study?="Yes",Sufficient_data="Yes"),GE:GE^2-1/SUM(Calculations!FT:FT),"")</f>
        <v/>
      </c>
      <c r="HR158" s="7" t="str">
        <f t="shared" si="441"/>
        <v/>
      </c>
      <c r="HS158" s="7" t="str">
        <f t="shared" si="442"/>
        <v/>
      </c>
      <c r="HT158" s="7" t="str">
        <f>IF(AND(Include_study?="Yes",Sufficient_data="Yes"),COUNTIFS(HR$2:HR157,"&lt;"&amp;HR158,HS$2:HS157,"&lt;"&amp;HS158)+COUNTIFS(HR159:HR$201,"&lt;"&amp;HR158,HS159:HS$201,"&lt;"&amp;HS158)+COUNTIFS(HR$2:HR157,"&gt;"&amp;HR158,HS$2:HS157,"&gt;"&amp;HS158)+COUNTIFS(HR159:HR$201,"&gt;"&amp;HR158,HS159:HS$201,"&gt;"&amp;HS158),"")</f>
        <v/>
      </c>
      <c r="HU158" s="104" t="str">
        <f>IF(AND(Include_study?="Yes",Sufficient_data="Yes"),COUNTIFS(HR$2:HR157,"&lt;"&amp;HR158,HS$2:HS157,"&gt;"&amp;HS158)+COUNTIFS(HR159:HR$201,"&lt;"&amp;HR158,HS159:HS$201,"&gt;"&amp;HS158)+COUNTIFS(HR$2:HR157,"&gt;"&amp;HR158,HS$2:HS157,"&lt;"&amp;HS158)+COUNTIFS(HR159:HR$201,"&gt;"&amp;HR158,HS159:HS$201,"&lt;"&amp;HS158),"")</f>
        <v/>
      </c>
      <c r="HW158" s="176"/>
      <c r="IB158" s="176"/>
      <c r="IC158" s="146" t="e">
        <f t="shared" si="519"/>
        <v>#N/A</v>
      </c>
      <c r="ID158" s="137" t="e">
        <f t="shared" si="520"/>
        <v>#N/A</v>
      </c>
      <c r="IE158" s="137" t="str">
        <f t="shared" si="521"/>
        <v/>
      </c>
      <c r="IF158" s="95" t="str">
        <f t="shared" si="522"/>
        <v/>
      </c>
      <c r="IK158" s="176"/>
      <c r="IL158" s="69" t="e">
        <f>IF(AND(Include_study?="Yes",Sufficient_data="Yes"),'Publication Bias Analysis'!AV:AV,NA())</f>
        <v>#N/A</v>
      </c>
      <c r="IM158" s="158" t="e">
        <f>IF(AND(Sufficient_data="Yes",Include_study?="Yes"),'Publication Bias Analysis'!AU:AU,NA())</f>
        <v>#N/A</v>
      </c>
      <c r="IN158" s="69" t="str">
        <f t="shared" si="418"/>
        <v/>
      </c>
      <c r="IO158" s="74" t="str">
        <f>IF(AND(Include_study?="Yes",Sufficient_data="Yes"),Z_score-('Publication Bias Analysis'!AY$30+'Publication Bias Analysis'!AY$31*Inverse_standard_error),"")</f>
        <v/>
      </c>
      <c r="IU158" s="176"/>
      <c r="IV158" s="7" t="str">
        <f>IF('Publication Bias Analysis'!BG:BG&lt;&gt;"",RANK('Publication Bias Analysis'!BG:BG,'Publication Bias Analysis'!BG:BG,1)+COUNTIF('Publication Bias Analysis'!BG$2:BG157,'Publication Bias Analysis'!BG158),"")</f>
        <v/>
      </c>
      <c r="IW158" s="124" t="str">
        <f t="shared" si="523"/>
        <v/>
      </c>
      <c r="IX158" s="125" t="e">
        <f>IF('Publication Bias Analysis'!BF158&lt;&gt;"",'Publication Bias Analysis'!BF158,NA())</f>
        <v>#N/A</v>
      </c>
      <c r="IY158" s="125" t="e">
        <f>IF('Publication Bias Analysis'!BG158&lt;&gt;"",'Publication Bias Analysis'!BG158,NA())</f>
        <v>#N/A</v>
      </c>
      <c r="IZ158" s="69" t="str">
        <f>IF(AND(Include_study?="Yes",Sufficient_data="Yes"),'Publication Bias Analysis'!BF:BF-AVERAGE('Publication Bias Analysis'!BF:BF),"")</f>
        <v/>
      </c>
      <c r="JA158" s="74" t="str">
        <f>IF(AND(Include_study?="Yes",Sufficient_data="Yes"),'Publication Bias Analysis'!BG:BG-('Publication Bias Analysis'!BJ$30+'Publication Bias Analysis'!BJ$31*'Publication Bias Analysis'!BF:BF),"")</f>
        <v/>
      </c>
      <c r="JG158" s="176"/>
      <c r="JH158" s="39" t="str">
        <f t="shared" si="524"/>
        <v/>
      </c>
      <c r="JI158" s="148" t="str">
        <f t="shared" si="531"/>
        <v/>
      </c>
      <c r="JJ158" s="74" t="str">
        <f t="shared" si="532"/>
        <v/>
      </c>
    </row>
    <row r="159" spans="1:270" x14ac:dyDescent="0.2">
      <c r="A159" s="56" t="str">
        <f t="shared" si="334"/>
        <v/>
      </c>
      <c r="B159" s="7" t="str">
        <f>IF(AND(Include_study?="Yes",Sufficient_data="Yes"),IF(Input!a_&lt;&gt;"",Input!a_,Input!n1_-Input!b_),"")</f>
        <v/>
      </c>
      <c r="C159" s="7" t="str">
        <f>IF(AND(Include_study?="Yes",Sufficient_data="Yes"),IF(Input!b_&lt;&gt;"",Input!b_,Input!n1_-Input!a_),"")</f>
        <v/>
      </c>
      <c r="D159" s="7" t="str">
        <f>IF(AND(Include_study?="Yes",Sufficient_data="Yes"),IF(Input!c_&lt;&gt;"",Input!c_,Input!n2_-Input!d_),"")</f>
        <v/>
      </c>
      <c r="E159" s="7" t="str">
        <f>IF(AND(Include_study?="Yes",Sufficient_data="Yes"),IF(Input!d_&lt;&gt;"",Input!d_,Input!n2_-Input!c_),"")</f>
        <v/>
      </c>
      <c r="F159" s="74" t="str">
        <f t="shared" si="443"/>
        <v/>
      </c>
      <c r="H159" s="196"/>
      <c r="I159" s="182"/>
      <c r="J159" s="146" t="str">
        <f t="shared" si="444"/>
        <v/>
      </c>
      <c r="K159" s="39" t="str">
        <f t="shared" si="445"/>
        <v/>
      </c>
      <c r="L159" s="39" t="str">
        <f t="shared" si="446"/>
        <v/>
      </c>
      <c r="M159" s="39" t="str">
        <f t="shared" si="447"/>
        <v/>
      </c>
      <c r="N159" s="74" t="str">
        <f t="shared" si="448"/>
        <v/>
      </c>
      <c r="P159" s="176"/>
      <c r="Q159" s="130" t="str">
        <f t="shared" si="449"/>
        <v/>
      </c>
      <c r="R159" s="39" t="str">
        <f t="shared" si="450"/>
        <v/>
      </c>
      <c r="S159" s="39" t="str">
        <f t="shared" si="451"/>
        <v/>
      </c>
      <c r="T159" s="74" t="str">
        <f t="shared" si="452"/>
        <v/>
      </c>
      <c r="V159" s="176"/>
      <c r="W159" s="130" t="str">
        <f t="shared" si="453"/>
        <v/>
      </c>
      <c r="X159" s="39" t="str">
        <f t="shared" si="454"/>
        <v/>
      </c>
      <c r="Y159" s="39" t="str">
        <f t="shared" si="455"/>
        <v/>
      </c>
      <c r="Z159" s="74" t="str">
        <f t="shared" si="456"/>
        <v/>
      </c>
      <c r="AB159" s="176"/>
      <c r="AC159" s="130" t="str">
        <f t="shared" si="457"/>
        <v/>
      </c>
      <c r="AD159" s="39" t="str">
        <f t="shared" si="458"/>
        <v/>
      </c>
      <c r="AE159" s="39" t="str">
        <f t="shared" si="459"/>
        <v/>
      </c>
      <c r="AF159" s="39" t="str">
        <f t="shared" si="460"/>
        <v/>
      </c>
      <c r="AG159" s="74" t="str">
        <f t="shared" si="461"/>
        <v/>
      </c>
      <c r="AI159" s="196"/>
      <c r="AJ15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59" s="136" t="str">
        <f>IF(AJ159&lt;&gt;"",IF(AJ159=0,COUNTIF(AJ$2:AJ158,0)+1,COUNTIF(AJ$2:AJ158,AJ159)+AJ159+COUNTIF(AJ:AJ,0)),"")</f>
        <v/>
      </c>
      <c r="AL159" s="136" t="str">
        <f t="shared" si="462"/>
        <v/>
      </c>
      <c r="AM159" s="155" t="str">
        <f>IF(AND(Include_study?="Yes",Sufficient_data="Yes",Input!Study_name&lt;&gt;""),Input!Study_name,"")</f>
        <v/>
      </c>
      <c r="AN159" s="136" t="str">
        <f t="shared" si="463"/>
        <v/>
      </c>
      <c r="AO159" s="19" t="str">
        <f t="shared" si="464"/>
        <v/>
      </c>
      <c r="AP159" s="158" t="str">
        <f t="shared" si="465"/>
        <v/>
      </c>
      <c r="AQ159" s="158" t="str">
        <f t="shared" si="466"/>
        <v/>
      </c>
      <c r="AR159" s="39" t="str">
        <f t="shared" si="467"/>
        <v/>
      </c>
      <c r="AS159" s="158" t="str">
        <f t="shared" si="468"/>
        <v/>
      </c>
      <c r="AT159" s="39" t="str">
        <f t="shared" si="469"/>
        <v/>
      </c>
      <c r="AU159" s="172" t="str">
        <f t="shared" si="470"/>
        <v/>
      </c>
      <c r="AV159" s="45"/>
      <c r="AW159" s="84" t="e">
        <f t="shared" si="360"/>
        <v>#N/A</v>
      </c>
      <c r="AX159" s="69" t="e">
        <f t="shared" si="471"/>
        <v>#N/A</v>
      </c>
      <c r="AY159" s="74" t="e">
        <f t="shared" si="472"/>
        <v>#N/A</v>
      </c>
      <c r="AZ159" s="45"/>
      <c r="BA159" s="45"/>
      <c r="BB159" s="45"/>
      <c r="BC159" s="45"/>
      <c r="BD159" s="196"/>
      <c r="BE159" s="182"/>
      <c r="BF159" s="69" t="str">
        <f t="shared" si="363"/>
        <v/>
      </c>
      <c r="BG159" s="69" t="str">
        <f t="shared" si="364"/>
        <v/>
      </c>
      <c r="BH159" s="69" t="str">
        <f t="shared" si="365"/>
        <v/>
      </c>
      <c r="BI159" s="39" t="str">
        <f t="shared" si="366"/>
        <v/>
      </c>
      <c r="BJ159" s="95" t="str">
        <f t="shared" si="473"/>
        <v/>
      </c>
      <c r="BO159" s="176"/>
      <c r="BP159" s="158" t="str">
        <f t="shared" si="474"/>
        <v/>
      </c>
      <c r="BQ159" s="158" t="str">
        <f t="shared" si="475"/>
        <v/>
      </c>
      <c r="BR159" s="158" t="str">
        <f t="shared" si="476"/>
        <v/>
      </c>
      <c r="BS159" s="158" t="str">
        <f>IF(AND(Sufficient_data="Yes",Include_study?="Yes"),IF(Add_0_5="Yes",(a_+d_+1)*(ab_+0.5)*(c_+0.5)/(Number_of_subjects+2)^2,(a_+d_)*b_*c_/Number_of_subjects^2),"")</f>
        <v/>
      </c>
      <c r="BT159" s="158" t="str">
        <f t="shared" si="477"/>
        <v/>
      </c>
      <c r="BU159" s="158" t="str">
        <f t="shared" si="478"/>
        <v/>
      </c>
      <c r="BV159" s="158" t="str">
        <f t="shared" si="479"/>
        <v/>
      </c>
      <c r="BW159" s="69" t="str">
        <f t="shared" si="374"/>
        <v/>
      </c>
      <c r="BX159" s="137" t="str">
        <f t="shared" si="375"/>
        <v/>
      </c>
      <c r="BY159" s="95" t="str">
        <f t="shared" si="480"/>
        <v/>
      </c>
      <c r="CD159" s="176"/>
      <c r="CE159" s="130" t="str">
        <f t="shared" si="481"/>
        <v/>
      </c>
      <c r="CF159" s="39" t="str">
        <f t="shared" si="482"/>
        <v/>
      </c>
      <c r="CG159" s="39" t="str">
        <f t="shared" si="483"/>
        <v/>
      </c>
      <c r="CH159" s="39" t="str">
        <f t="shared" si="484"/>
        <v/>
      </c>
      <c r="CI159" s="39" t="str">
        <f t="shared" si="485"/>
        <v/>
      </c>
      <c r="CJ159" s="39" t="str">
        <f t="shared" si="486"/>
        <v/>
      </c>
      <c r="CK159" s="95" t="str">
        <f t="shared" si="487"/>
        <v/>
      </c>
      <c r="CP159" s="176"/>
      <c r="CQ159" s="99" t="str">
        <f t="shared" si="383"/>
        <v/>
      </c>
      <c r="CX159" s="196"/>
      <c r="CY159" s="89" t="e">
        <f t="shared" si="488"/>
        <v>#N/A</v>
      </c>
      <c r="CZ159" s="136" t="str">
        <f t="shared" si="489"/>
        <v/>
      </c>
      <c r="DA159" s="140" t="str">
        <f t="shared" si="490"/>
        <v/>
      </c>
      <c r="DB159" s="39" t="str">
        <f t="shared" si="491"/>
        <v/>
      </c>
      <c r="DC159" s="39" t="str">
        <f t="shared" si="492"/>
        <v/>
      </c>
      <c r="DD159" s="39" t="str">
        <f t="shared" si="493"/>
        <v/>
      </c>
      <c r="DE159" s="39" t="str">
        <f t="shared" si="494"/>
        <v/>
      </c>
      <c r="DF159" s="141" t="str">
        <f t="shared" si="495"/>
        <v/>
      </c>
      <c r="DG159" s="39" t="str">
        <f t="shared" si="496"/>
        <v/>
      </c>
      <c r="DH159" s="39" t="str">
        <f t="shared" si="497"/>
        <v/>
      </c>
      <c r="DI159" s="39" t="str">
        <f t="shared" si="498"/>
        <v/>
      </c>
      <c r="DJ159" s="74" t="str">
        <f t="shared" si="499"/>
        <v/>
      </c>
      <c r="DK159" s="45"/>
      <c r="DL159" s="84" t="e">
        <f t="shared" si="423"/>
        <v>#N/A</v>
      </c>
      <c r="DM159" s="39" t="e">
        <f t="shared" si="500"/>
        <v>#N/A</v>
      </c>
      <c r="DN159" s="74" t="e">
        <f t="shared" si="501"/>
        <v>#N/A</v>
      </c>
      <c r="DO159" s="45"/>
      <c r="DP159" s="89" t="str">
        <f t="shared" si="525"/>
        <v/>
      </c>
      <c r="DQ159" s="26" t="str">
        <f>IF(AND(Sufficient_data="Yes",Subgroup&lt;&gt;""),IF(COUNTIFS(Input!J$2:J158,"="&amp;"Yes",Input!C$2:C158,"="&amp;"Yes",Input!K$2:K158,"="&amp;Subgroup)&gt;0,"",Subgroup),"")</f>
        <v/>
      </c>
      <c r="DR159" s="7" t="str">
        <f t="shared" si="526"/>
        <v/>
      </c>
      <c r="DS159" s="7" t="str">
        <f t="shared" si="502"/>
        <v/>
      </c>
      <c r="DT159" s="19" t="str">
        <f t="shared" si="503"/>
        <v/>
      </c>
      <c r="DU159" s="12" t="str">
        <f t="shared" si="424"/>
        <v/>
      </c>
      <c r="DV159" s="11" t="str">
        <f t="shared" si="425"/>
        <v/>
      </c>
      <c r="DW159" s="12" t="str">
        <f t="shared" si="426"/>
        <v/>
      </c>
      <c r="DX159" s="12" t="str">
        <f t="shared" si="504"/>
        <v/>
      </c>
      <c r="DY159" s="19" t="str">
        <f t="shared" si="427"/>
        <v/>
      </c>
      <c r="DZ159" s="12" t="str">
        <f t="shared" si="428"/>
        <v/>
      </c>
      <c r="EA159" s="19" t="str">
        <f t="shared" si="505"/>
        <v/>
      </c>
      <c r="EB159" s="7" t="str">
        <f t="shared" si="506"/>
        <v/>
      </c>
      <c r="EC159" s="19" t="str">
        <f t="shared" si="507"/>
        <v/>
      </c>
      <c r="ED159" s="19" t="str">
        <f t="shared" si="508"/>
        <v/>
      </c>
      <c r="EE159" s="19" t="str">
        <f t="shared" si="429"/>
        <v/>
      </c>
      <c r="EF159" s="19" t="str">
        <f t="shared" si="430"/>
        <v/>
      </c>
      <c r="EG159" s="19" t="str">
        <f t="shared" si="431"/>
        <v/>
      </c>
      <c r="EH159" s="19" t="str">
        <f t="shared" si="432"/>
        <v/>
      </c>
      <c r="EI159" s="19" t="str">
        <f t="shared" si="433"/>
        <v/>
      </c>
      <c r="EJ159" s="19" t="str">
        <f t="shared" si="509"/>
        <v/>
      </c>
      <c r="EK159" s="19" t="str">
        <f t="shared" si="510"/>
        <v/>
      </c>
      <c r="EL159" s="19" t="str">
        <f t="shared" si="434"/>
        <v/>
      </c>
      <c r="EM159" s="19" t="str">
        <f t="shared" si="435"/>
        <v/>
      </c>
      <c r="EN159" s="19" t="str">
        <f t="shared" si="436"/>
        <v/>
      </c>
      <c r="EO159" s="19" t="str">
        <f t="shared" si="437"/>
        <v/>
      </c>
      <c r="EP159" s="19" t="str">
        <f t="shared" si="438"/>
        <v/>
      </c>
      <c r="EQ159" s="19" t="e">
        <f t="shared" si="439"/>
        <v>#N/A</v>
      </c>
      <c r="ER159" s="11" t="str">
        <f t="shared" si="527"/>
        <v/>
      </c>
      <c r="ES159" s="19" t="str">
        <f t="shared" si="528"/>
        <v/>
      </c>
      <c r="ET159" s="156" t="str">
        <f t="shared" si="511"/>
        <v/>
      </c>
      <c r="EU159" s="39" t="str">
        <f t="shared" si="440"/>
        <v/>
      </c>
      <c r="EV159" s="74" t="str">
        <f t="shared" si="512"/>
        <v/>
      </c>
      <c r="FA159" s="196"/>
      <c r="FB159" s="84" t="e">
        <f>IF(AND(Include_study?="Yes",Sufficient_data="Yes",Moderator&lt;&gt;""),'Moderator Analysis'!E159,NA())</f>
        <v>#N/A</v>
      </c>
      <c r="FC159" s="39" t="e">
        <f>IF(AND(Include_study?="Yes",Sufficient_data="Yes",Moderator&lt;&gt;""),'Moderator Analysis'!F159,NA())</f>
        <v>#N/A</v>
      </c>
      <c r="FD159" s="39" t="str">
        <f t="shared" si="513"/>
        <v/>
      </c>
      <c r="FE159" s="39" t="str">
        <f t="shared" si="514"/>
        <v/>
      </c>
      <c r="FF159" s="39" t="str">
        <f>IF(AND(Include_study?="Yes",Sufficient_data="Yes",Moderator&lt;&gt;""),'Moderator Analysis'!F:F-FP$2,"")</f>
        <v/>
      </c>
      <c r="FG159" s="39" t="str">
        <f>IF(AND(Include_study?="Yes",Sufficient_data="Yes",Moderator&lt;&gt;""),'Moderator Analysis'!E:E-FP$3,"")</f>
        <v/>
      </c>
      <c r="FH159" s="74" t="str">
        <f>IF(AND(Include_study?="Yes",Sufficient_data="Yes",Moderator&lt;&gt;""),FE:FE*('Moderator Analysis'!F:F-FP$5-FP$4*'Moderator Analysis'!E:E)^2,"")</f>
        <v/>
      </c>
      <c r="FI159" s="128"/>
      <c r="FJ159" s="92" t="str">
        <f t="shared" si="515"/>
        <v/>
      </c>
      <c r="FK159" s="137" t="str">
        <f>IF(AND(Include_study?="Yes",Sufficient_data="Yes",Moderator&lt;&gt;""),'Moderator Analysis'!F:F-'Moderator Analysis'!J$37,"")</f>
        <v/>
      </c>
      <c r="FL159" s="137" t="str">
        <f>IF(AND(Include_study?="Yes",Sufficient_data="Yes",Moderator&lt;&gt;""),'Moderator Analysis'!E:E-SUMPRODUCT('Moderator Analysis'!E:E,FJ:FJ)/SUM(FJ:FJ),"")</f>
        <v/>
      </c>
      <c r="FM159" s="95" t="str">
        <f>IF(AND(Include_study?="Yes",Sufficient_data="Yes",Moderator&lt;&gt;""),FJ:FJ*('Moderator Analysis'!F:F-'Moderator Analysis'!J$29-'Moderator Analysis'!J$30*'Moderator Analysis'!E:E)^2,"")</f>
        <v/>
      </c>
      <c r="FR159" s="196"/>
      <c r="FS159" s="182"/>
      <c r="FT15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59" s="39" t="str">
        <f>IF(AND(Include_study?="Yes",Sufficient_data="Yes"),1/('Publication Bias Analysis'!F:F^2+IF(Additional_model="Fixed effect",0,Calculations!GH$12)),"")</f>
        <v/>
      </c>
      <c r="FV159" s="39" t="str">
        <f>IF(AND(Include_study?="Yes",Sufficient_data="Yes"),1/('Publication Bias Analysis'!F:F^2+IF(Additional_model="Fixed effect",0,'Publication Bias Analysis'!L$32)),"")</f>
        <v/>
      </c>
      <c r="FW159" s="39" t="str">
        <f>IF(AND(Include_study?="Yes",Sufficient_data="Yes"),'Publication Bias Analysis'!E:E-'Publication Bias Analysis'!I$37,"")</f>
        <v/>
      </c>
      <c r="FX159" s="39" t="str">
        <f>IF(AND(Include_study?="Yes",Sufficient_data="Yes"),IF(Additional_model="Fixed effect",1/'Publication Bias Analysis'!F:F,1/SQRT('Publication Bias Analysis'!F:F^2+GH$12)),"")</f>
        <v/>
      </c>
      <c r="FY15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59" s="136" t="str">
        <f t="shared" si="516"/>
        <v/>
      </c>
      <c r="GA159" s="144" t="str">
        <f>IF(AND(Include_study?="Yes",Sufficient_data="Yes"),FZ:FZ+IF(GL:GL&lt;0,-1,1)*COUNTIF(FZ$2:FZ158,FZ:FZ),"")</f>
        <v/>
      </c>
      <c r="GB159" s="144" t="str">
        <f>IF(AND(Include_study?="Yes",Sufficient_data="Yes"),RANK(GP:GP,GP:GP,1)*IF(GO:GO&lt;0,-1,1)+IF(GO:GO&lt;0,-1,1)*COUNTIF(FZ$2:FZ158,FZ:FZ),"")</f>
        <v/>
      </c>
      <c r="GC159" s="144" t="str">
        <f>IF(AND(Include_study?="Yes",Sufficient_data="Yes"),RANK(GS:GS,GS:GS,1)*IF(GR:GR&lt;0,-1,1)+IF(GR:GR&lt;0,-1,1)*COUNTIF(FZ$2:FZ158,FZ:FZ),"")</f>
        <v/>
      </c>
      <c r="GD159" s="39" t="e">
        <f>IF(AND(Include_study?="Yes",Sufficient_data="Yes"),'Publication Bias Analysis'!E159,NA())</f>
        <v>#N/A</v>
      </c>
      <c r="GE159" s="74" t="e">
        <f>IF(AND(Include_study?="Yes",Sufficient_data="Yes"),'Publication Bias Analysis'!F159,NA())</f>
        <v>#N/A</v>
      </c>
      <c r="GK159" s="176"/>
      <c r="GL15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59" s="39" t="str">
        <f t="shared" si="517"/>
        <v/>
      </c>
      <c r="GN15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59" s="39" t="str">
        <f>IF(AND(Include_study?="Yes",Sufficient_data="Yes"),IF('Publication Bias Analysis'!L$38="Left",'Publication Bias Analysis'!E:E-GW$3,GW$3-'Publication Bias Analysis'!E:E),"")</f>
        <v/>
      </c>
      <c r="GP159" s="39" t="str">
        <f t="shared" si="529"/>
        <v/>
      </c>
      <c r="GQ15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59" s="39" t="str">
        <f>IF(AND(Include_study?="Yes",Sufficient_data="Yes"),IF('Publication Bias Analysis'!L$38="Left",'Publication Bias Analysis'!E:E-GW$10,GW$10-'Publication Bias Analysis'!E:E),"")</f>
        <v/>
      </c>
      <c r="GS159" s="39" t="str">
        <f t="shared" si="530"/>
        <v/>
      </c>
      <c r="GT15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59" s="176"/>
      <c r="HL159" s="69" t="str">
        <f t="shared" si="518"/>
        <v/>
      </c>
      <c r="HM159" s="74" t="str">
        <f>IF(AND(Include_study?="Yes",Sufficient_data="Yes"),Z_score-('Publication Bias Analysis'!P$3+'Publication Bias Analysis'!P$4*Inverse_standard_error),"")</f>
        <v/>
      </c>
      <c r="HO159" s="176"/>
      <c r="HP159" s="69" t="str">
        <f>IF(AND(Include_study?="Yes",Sufficient_data="Yes"),(GD:GD-SUMPRODUCT(Calculations!FT:FT,'Publication Bias Analysis'!E:E)/SUM(Calculations!FT:FT))/SQRT(Calculations!HQ:HQ),"")</f>
        <v/>
      </c>
      <c r="HQ159" s="69" t="str">
        <f>IF(AND(Include_study?="Yes",Sufficient_data="Yes"),GE:GE^2-1/SUM(Calculations!FT:FT),"")</f>
        <v/>
      </c>
      <c r="HR159" s="7" t="str">
        <f t="shared" si="441"/>
        <v/>
      </c>
      <c r="HS159" s="7" t="str">
        <f t="shared" si="442"/>
        <v/>
      </c>
      <c r="HT159" s="7" t="str">
        <f>IF(AND(Include_study?="Yes",Sufficient_data="Yes"),COUNTIFS(HR$2:HR158,"&lt;"&amp;HR159,HS$2:HS158,"&lt;"&amp;HS159)+COUNTIFS(HR160:HR$201,"&lt;"&amp;HR159,HS160:HS$201,"&lt;"&amp;HS159)+COUNTIFS(HR$2:HR158,"&gt;"&amp;HR159,HS$2:HS158,"&gt;"&amp;HS159)+COUNTIFS(HR160:HR$201,"&gt;"&amp;HR159,HS160:HS$201,"&gt;"&amp;HS159),"")</f>
        <v/>
      </c>
      <c r="HU159" s="104" t="str">
        <f>IF(AND(Include_study?="Yes",Sufficient_data="Yes"),COUNTIFS(HR$2:HR158,"&lt;"&amp;HR159,HS$2:HS158,"&gt;"&amp;HS159)+COUNTIFS(HR160:HR$201,"&lt;"&amp;HR159,HS160:HS$201,"&gt;"&amp;HS159)+COUNTIFS(HR$2:HR158,"&gt;"&amp;HR159,HS$2:HS158,"&lt;"&amp;HS159)+COUNTIFS(HR160:HR$201,"&gt;"&amp;HR159,HS160:HS$201,"&lt;"&amp;HS159),"")</f>
        <v/>
      </c>
      <c r="HW159" s="176"/>
      <c r="IB159" s="176"/>
      <c r="IC159" s="146" t="e">
        <f t="shared" si="519"/>
        <v>#N/A</v>
      </c>
      <c r="ID159" s="137" t="e">
        <f t="shared" si="520"/>
        <v>#N/A</v>
      </c>
      <c r="IE159" s="137" t="str">
        <f t="shared" si="521"/>
        <v/>
      </c>
      <c r="IF159" s="95" t="str">
        <f t="shared" si="522"/>
        <v/>
      </c>
      <c r="IK159" s="176"/>
      <c r="IL159" s="69" t="e">
        <f>IF(AND(Include_study?="Yes",Sufficient_data="Yes"),'Publication Bias Analysis'!AV:AV,NA())</f>
        <v>#N/A</v>
      </c>
      <c r="IM159" s="158" t="e">
        <f>IF(AND(Sufficient_data="Yes",Include_study?="Yes"),'Publication Bias Analysis'!AU:AU,NA())</f>
        <v>#N/A</v>
      </c>
      <c r="IN159" s="69" t="str">
        <f t="shared" si="418"/>
        <v/>
      </c>
      <c r="IO159" s="74" t="str">
        <f>IF(AND(Include_study?="Yes",Sufficient_data="Yes"),Z_score-('Publication Bias Analysis'!AY$30+'Publication Bias Analysis'!AY$31*Inverse_standard_error),"")</f>
        <v/>
      </c>
      <c r="IU159" s="176"/>
      <c r="IV159" s="7" t="str">
        <f>IF('Publication Bias Analysis'!BG:BG&lt;&gt;"",RANK('Publication Bias Analysis'!BG:BG,'Publication Bias Analysis'!BG:BG,1)+COUNTIF('Publication Bias Analysis'!BG$2:BG158,'Publication Bias Analysis'!BG159),"")</f>
        <v/>
      </c>
      <c r="IW159" s="124" t="str">
        <f t="shared" si="523"/>
        <v/>
      </c>
      <c r="IX159" s="125" t="e">
        <f>IF('Publication Bias Analysis'!BF159&lt;&gt;"",'Publication Bias Analysis'!BF159,NA())</f>
        <v>#N/A</v>
      </c>
      <c r="IY159" s="125" t="e">
        <f>IF('Publication Bias Analysis'!BG159&lt;&gt;"",'Publication Bias Analysis'!BG159,NA())</f>
        <v>#N/A</v>
      </c>
      <c r="IZ159" s="69" t="str">
        <f>IF(AND(Include_study?="Yes",Sufficient_data="Yes"),'Publication Bias Analysis'!BF:BF-AVERAGE('Publication Bias Analysis'!BF:BF),"")</f>
        <v/>
      </c>
      <c r="JA159" s="74" t="str">
        <f>IF(AND(Include_study?="Yes",Sufficient_data="Yes"),'Publication Bias Analysis'!BG:BG-('Publication Bias Analysis'!BJ$30+'Publication Bias Analysis'!BJ$31*'Publication Bias Analysis'!BF:BF),"")</f>
        <v/>
      </c>
      <c r="JG159" s="176"/>
      <c r="JH159" s="39" t="str">
        <f t="shared" si="524"/>
        <v/>
      </c>
      <c r="JI159" s="148" t="str">
        <f t="shared" si="531"/>
        <v/>
      </c>
      <c r="JJ159" s="74" t="str">
        <f t="shared" si="532"/>
        <v/>
      </c>
    </row>
    <row r="160" spans="1:270" x14ac:dyDescent="0.2">
      <c r="A160" s="56" t="str">
        <f t="shared" si="334"/>
        <v/>
      </c>
      <c r="B160" s="7" t="str">
        <f>IF(AND(Include_study?="Yes",Sufficient_data="Yes"),IF(Input!a_&lt;&gt;"",Input!a_,Input!n1_-Input!b_),"")</f>
        <v/>
      </c>
      <c r="C160" s="7" t="str">
        <f>IF(AND(Include_study?="Yes",Sufficient_data="Yes"),IF(Input!b_&lt;&gt;"",Input!b_,Input!n1_-Input!a_),"")</f>
        <v/>
      </c>
      <c r="D160" s="7" t="str">
        <f>IF(AND(Include_study?="Yes",Sufficient_data="Yes"),IF(Input!c_&lt;&gt;"",Input!c_,Input!n2_-Input!d_),"")</f>
        <v/>
      </c>
      <c r="E160" s="7" t="str">
        <f>IF(AND(Include_study?="Yes",Sufficient_data="Yes"),IF(Input!d_&lt;&gt;"",Input!d_,Input!n2_-Input!c_),"")</f>
        <v/>
      </c>
      <c r="F160" s="74" t="str">
        <f t="shared" si="443"/>
        <v/>
      </c>
      <c r="H160" s="196"/>
      <c r="I160" s="182"/>
      <c r="J160" s="146" t="str">
        <f t="shared" si="444"/>
        <v/>
      </c>
      <c r="K160" s="39" t="str">
        <f t="shared" si="445"/>
        <v/>
      </c>
      <c r="L160" s="39" t="str">
        <f t="shared" si="446"/>
        <v/>
      </c>
      <c r="M160" s="39" t="str">
        <f t="shared" si="447"/>
        <v/>
      </c>
      <c r="N160" s="74" t="str">
        <f t="shared" si="448"/>
        <v/>
      </c>
      <c r="P160" s="176"/>
      <c r="Q160" s="130" t="str">
        <f t="shared" si="449"/>
        <v/>
      </c>
      <c r="R160" s="39" t="str">
        <f t="shared" si="450"/>
        <v/>
      </c>
      <c r="S160" s="39" t="str">
        <f t="shared" si="451"/>
        <v/>
      </c>
      <c r="T160" s="74" t="str">
        <f t="shared" si="452"/>
        <v/>
      </c>
      <c r="V160" s="176"/>
      <c r="W160" s="130" t="str">
        <f t="shared" si="453"/>
        <v/>
      </c>
      <c r="X160" s="39" t="str">
        <f t="shared" si="454"/>
        <v/>
      </c>
      <c r="Y160" s="39" t="str">
        <f t="shared" si="455"/>
        <v/>
      </c>
      <c r="Z160" s="74" t="str">
        <f t="shared" si="456"/>
        <v/>
      </c>
      <c r="AB160" s="176"/>
      <c r="AC160" s="130" t="str">
        <f t="shared" si="457"/>
        <v/>
      </c>
      <c r="AD160" s="39" t="str">
        <f t="shared" si="458"/>
        <v/>
      </c>
      <c r="AE160" s="39" t="str">
        <f t="shared" si="459"/>
        <v/>
      </c>
      <c r="AF160" s="39" t="str">
        <f t="shared" si="460"/>
        <v/>
      </c>
      <c r="AG160" s="74" t="str">
        <f t="shared" si="461"/>
        <v/>
      </c>
      <c r="AI160" s="196"/>
      <c r="AJ16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0" s="136" t="str">
        <f>IF(AJ160&lt;&gt;"",IF(AJ160=0,COUNTIF(AJ$2:AJ159,0)+1,COUNTIF(AJ$2:AJ159,AJ160)+AJ160+COUNTIF(AJ:AJ,0)),"")</f>
        <v/>
      </c>
      <c r="AL160" s="136" t="str">
        <f t="shared" si="462"/>
        <v/>
      </c>
      <c r="AM160" s="155" t="str">
        <f>IF(AND(Include_study?="Yes",Sufficient_data="Yes",Input!Study_name&lt;&gt;""),Input!Study_name,"")</f>
        <v/>
      </c>
      <c r="AN160" s="136" t="str">
        <f t="shared" si="463"/>
        <v/>
      </c>
      <c r="AO160" s="19" t="str">
        <f t="shared" si="464"/>
        <v/>
      </c>
      <c r="AP160" s="158" t="str">
        <f t="shared" si="465"/>
        <v/>
      </c>
      <c r="AQ160" s="158" t="str">
        <f t="shared" si="466"/>
        <v/>
      </c>
      <c r="AR160" s="39" t="str">
        <f t="shared" si="467"/>
        <v/>
      </c>
      <c r="AS160" s="158" t="str">
        <f t="shared" si="468"/>
        <v/>
      </c>
      <c r="AT160" s="39" t="str">
        <f t="shared" si="469"/>
        <v/>
      </c>
      <c r="AU160" s="172" t="str">
        <f t="shared" si="470"/>
        <v/>
      </c>
      <c r="AV160" s="45"/>
      <c r="AW160" s="84" t="e">
        <f t="shared" si="360"/>
        <v>#N/A</v>
      </c>
      <c r="AX160" s="69" t="e">
        <f t="shared" si="471"/>
        <v>#N/A</v>
      </c>
      <c r="AY160" s="74" t="e">
        <f t="shared" si="472"/>
        <v>#N/A</v>
      </c>
      <c r="AZ160" s="45"/>
      <c r="BA160" s="45"/>
      <c r="BB160" s="45"/>
      <c r="BC160" s="45"/>
      <c r="BD160" s="196"/>
      <c r="BE160" s="182"/>
      <c r="BF160" s="69" t="str">
        <f t="shared" si="363"/>
        <v/>
      </c>
      <c r="BG160" s="69" t="str">
        <f t="shared" si="364"/>
        <v/>
      </c>
      <c r="BH160" s="69" t="str">
        <f t="shared" si="365"/>
        <v/>
      </c>
      <c r="BI160" s="39" t="str">
        <f t="shared" si="366"/>
        <v/>
      </c>
      <c r="BJ160" s="95" t="str">
        <f t="shared" si="473"/>
        <v/>
      </c>
      <c r="BO160" s="176"/>
      <c r="BP160" s="158" t="str">
        <f t="shared" si="474"/>
        <v/>
      </c>
      <c r="BQ160" s="158" t="str">
        <f t="shared" si="475"/>
        <v/>
      </c>
      <c r="BR160" s="158" t="str">
        <f t="shared" si="476"/>
        <v/>
      </c>
      <c r="BS160" s="158" t="str">
        <f>IF(AND(Sufficient_data="Yes",Include_study?="Yes"),IF(Add_0_5="Yes",(a_+d_+1)*(ab_+0.5)*(c_+0.5)/(Number_of_subjects+2)^2,(a_+d_)*b_*c_/Number_of_subjects^2),"")</f>
        <v/>
      </c>
      <c r="BT160" s="158" t="str">
        <f t="shared" si="477"/>
        <v/>
      </c>
      <c r="BU160" s="158" t="str">
        <f t="shared" si="478"/>
        <v/>
      </c>
      <c r="BV160" s="158" t="str">
        <f t="shared" si="479"/>
        <v/>
      </c>
      <c r="BW160" s="69" t="str">
        <f t="shared" si="374"/>
        <v/>
      </c>
      <c r="BX160" s="137" t="str">
        <f t="shared" si="375"/>
        <v/>
      </c>
      <c r="BY160" s="95" t="str">
        <f t="shared" si="480"/>
        <v/>
      </c>
      <c r="CD160" s="176"/>
      <c r="CE160" s="130" t="str">
        <f t="shared" si="481"/>
        <v/>
      </c>
      <c r="CF160" s="39" t="str">
        <f t="shared" si="482"/>
        <v/>
      </c>
      <c r="CG160" s="39" t="str">
        <f t="shared" si="483"/>
        <v/>
      </c>
      <c r="CH160" s="39" t="str">
        <f t="shared" si="484"/>
        <v/>
      </c>
      <c r="CI160" s="39" t="str">
        <f t="shared" si="485"/>
        <v/>
      </c>
      <c r="CJ160" s="39" t="str">
        <f t="shared" si="486"/>
        <v/>
      </c>
      <c r="CK160" s="95" t="str">
        <f t="shared" si="487"/>
        <v/>
      </c>
      <c r="CP160" s="176"/>
      <c r="CQ160" s="99" t="str">
        <f t="shared" si="383"/>
        <v/>
      </c>
      <c r="CX160" s="196"/>
      <c r="CY160" s="89" t="e">
        <f t="shared" si="488"/>
        <v>#N/A</v>
      </c>
      <c r="CZ160" s="136" t="str">
        <f t="shared" si="489"/>
        <v/>
      </c>
      <c r="DA160" s="140" t="str">
        <f t="shared" si="490"/>
        <v/>
      </c>
      <c r="DB160" s="39" t="str">
        <f t="shared" si="491"/>
        <v/>
      </c>
      <c r="DC160" s="39" t="str">
        <f t="shared" si="492"/>
        <v/>
      </c>
      <c r="DD160" s="39" t="str">
        <f t="shared" si="493"/>
        <v/>
      </c>
      <c r="DE160" s="39" t="str">
        <f t="shared" si="494"/>
        <v/>
      </c>
      <c r="DF160" s="141" t="str">
        <f t="shared" si="495"/>
        <v/>
      </c>
      <c r="DG160" s="39" t="str">
        <f t="shared" si="496"/>
        <v/>
      </c>
      <c r="DH160" s="39" t="str">
        <f t="shared" si="497"/>
        <v/>
      </c>
      <c r="DI160" s="39" t="str">
        <f t="shared" si="498"/>
        <v/>
      </c>
      <c r="DJ160" s="74" t="str">
        <f t="shared" si="499"/>
        <v/>
      </c>
      <c r="DK160" s="45"/>
      <c r="DL160" s="84" t="e">
        <f t="shared" si="423"/>
        <v>#N/A</v>
      </c>
      <c r="DM160" s="39" t="e">
        <f t="shared" si="500"/>
        <v>#N/A</v>
      </c>
      <c r="DN160" s="74" t="e">
        <f t="shared" si="501"/>
        <v>#N/A</v>
      </c>
      <c r="DO160" s="45"/>
      <c r="DP160" s="89" t="str">
        <f t="shared" si="525"/>
        <v/>
      </c>
      <c r="DQ160" s="26" t="str">
        <f>IF(AND(Sufficient_data="Yes",Subgroup&lt;&gt;""),IF(COUNTIFS(Input!J$2:J159,"="&amp;"Yes",Input!C$2:C159,"="&amp;"Yes",Input!K$2:K159,"="&amp;Subgroup)&gt;0,"",Subgroup),"")</f>
        <v/>
      </c>
      <c r="DR160" s="7" t="str">
        <f t="shared" si="526"/>
        <v/>
      </c>
      <c r="DS160" s="7" t="str">
        <f t="shared" si="502"/>
        <v/>
      </c>
      <c r="DT160" s="19" t="str">
        <f t="shared" si="503"/>
        <v/>
      </c>
      <c r="DU160" s="12" t="str">
        <f t="shared" si="424"/>
        <v/>
      </c>
      <c r="DV160" s="11" t="str">
        <f t="shared" si="425"/>
        <v/>
      </c>
      <c r="DW160" s="12" t="str">
        <f t="shared" si="426"/>
        <v/>
      </c>
      <c r="DX160" s="12" t="str">
        <f t="shared" si="504"/>
        <v/>
      </c>
      <c r="DY160" s="19" t="str">
        <f t="shared" si="427"/>
        <v/>
      </c>
      <c r="DZ160" s="12" t="str">
        <f t="shared" si="428"/>
        <v/>
      </c>
      <c r="EA160" s="19" t="str">
        <f t="shared" si="505"/>
        <v/>
      </c>
      <c r="EB160" s="7" t="str">
        <f t="shared" si="506"/>
        <v/>
      </c>
      <c r="EC160" s="19" t="str">
        <f t="shared" si="507"/>
        <v/>
      </c>
      <c r="ED160" s="19" t="str">
        <f t="shared" si="508"/>
        <v/>
      </c>
      <c r="EE160" s="19" t="str">
        <f t="shared" si="429"/>
        <v/>
      </c>
      <c r="EF160" s="19" t="str">
        <f t="shared" si="430"/>
        <v/>
      </c>
      <c r="EG160" s="19" t="str">
        <f t="shared" si="431"/>
        <v/>
      </c>
      <c r="EH160" s="19" t="str">
        <f t="shared" si="432"/>
        <v/>
      </c>
      <c r="EI160" s="19" t="str">
        <f t="shared" si="433"/>
        <v/>
      </c>
      <c r="EJ160" s="19" t="str">
        <f t="shared" si="509"/>
        <v/>
      </c>
      <c r="EK160" s="19" t="str">
        <f t="shared" si="510"/>
        <v/>
      </c>
      <c r="EL160" s="19" t="str">
        <f t="shared" si="434"/>
        <v/>
      </c>
      <c r="EM160" s="19" t="str">
        <f t="shared" si="435"/>
        <v/>
      </c>
      <c r="EN160" s="19" t="str">
        <f t="shared" si="436"/>
        <v/>
      </c>
      <c r="EO160" s="19" t="str">
        <f t="shared" si="437"/>
        <v/>
      </c>
      <c r="EP160" s="19" t="str">
        <f t="shared" si="438"/>
        <v/>
      </c>
      <c r="EQ160" s="19" t="e">
        <f t="shared" si="439"/>
        <v>#N/A</v>
      </c>
      <c r="ER160" s="11" t="str">
        <f t="shared" si="527"/>
        <v/>
      </c>
      <c r="ES160" s="19" t="str">
        <f t="shared" si="528"/>
        <v/>
      </c>
      <c r="ET160" s="156" t="str">
        <f t="shared" si="511"/>
        <v/>
      </c>
      <c r="EU160" s="39" t="str">
        <f t="shared" si="440"/>
        <v/>
      </c>
      <c r="EV160" s="74" t="str">
        <f t="shared" si="512"/>
        <v/>
      </c>
      <c r="FA160" s="196"/>
      <c r="FB160" s="84" t="e">
        <f>IF(AND(Include_study?="Yes",Sufficient_data="Yes",Moderator&lt;&gt;""),'Moderator Analysis'!E160,NA())</f>
        <v>#N/A</v>
      </c>
      <c r="FC160" s="39" t="e">
        <f>IF(AND(Include_study?="Yes",Sufficient_data="Yes",Moderator&lt;&gt;""),'Moderator Analysis'!F160,NA())</f>
        <v>#N/A</v>
      </c>
      <c r="FD160" s="39" t="str">
        <f t="shared" si="513"/>
        <v/>
      </c>
      <c r="FE160" s="39" t="str">
        <f t="shared" si="514"/>
        <v/>
      </c>
      <c r="FF160" s="39" t="str">
        <f>IF(AND(Include_study?="Yes",Sufficient_data="Yes",Moderator&lt;&gt;""),'Moderator Analysis'!F:F-FP$2,"")</f>
        <v/>
      </c>
      <c r="FG160" s="39" t="str">
        <f>IF(AND(Include_study?="Yes",Sufficient_data="Yes",Moderator&lt;&gt;""),'Moderator Analysis'!E:E-FP$3,"")</f>
        <v/>
      </c>
      <c r="FH160" s="74" t="str">
        <f>IF(AND(Include_study?="Yes",Sufficient_data="Yes",Moderator&lt;&gt;""),FE:FE*('Moderator Analysis'!F:F-FP$5-FP$4*'Moderator Analysis'!E:E)^2,"")</f>
        <v/>
      </c>
      <c r="FI160" s="128"/>
      <c r="FJ160" s="92" t="str">
        <f t="shared" si="515"/>
        <v/>
      </c>
      <c r="FK160" s="137" t="str">
        <f>IF(AND(Include_study?="Yes",Sufficient_data="Yes",Moderator&lt;&gt;""),'Moderator Analysis'!F:F-'Moderator Analysis'!J$37,"")</f>
        <v/>
      </c>
      <c r="FL160" s="137" t="str">
        <f>IF(AND(Include_study?="Yes",Sufficient_data="Yes",Moderator&lt;&gt;""),'Moderator Analysis'!E:E-SUMPRODUCT('Moderator Analysis'!E:E,FJ:FJ)/SUM(FJ:FJ),"")</f>
        <v/>
      </c>
      <c r="FM160" s="95" t="str">
        <f>IF(AND(Include_study?="Yes",Sufficient_data="Yes",Moderator&lt;&gt;""),FJ:FJ*('Moderator Analysis'!F:F-'Moderator Analysis'!J$29-'Moderator Analysis'!J$30*'Moderator Analysis'!E:E)^2,"")</f>
        <v/>
      </c>
      <c r="FR160" s="196"/>
      <c r="FS160" s="182"/>
      <c r="FT16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0" s="39" t="str">
        <f>IF(AND(Include_study?="Yes",Sufficient_data="Yes"),1/('Publication Bias Analysis'!F:F^2+IF(Additional_model="Fixed effect",0,Calculations!GH$12)),"")</f>
        <v/>
      </c>
      <c r="FV160" s="39" t="str">
        <f>IF(AND(Include_study?="Yes",Sufficient_data="Yes"),1/('Publication Bias Analysis'!F:F^2+IF(Additional_model="Fixed effect",0,'Publication Bias Analysis'!L$32)),"")</f>
        <v/>
      </c>
      <c r="FW160" s="39" t="str">
        <f>IF(AND(Include_study?="Yes",Sufficient_data="Yes"),'Publication Bias Analysis'!E:E-'Publication Bias Analysis'!I$37,"")</f>
        <v/>
      </c>
      <c r="FX160" s="39" t="str">
        <f>IF(AND(Include_study?="Yes",Sufficient_data="Yes"),IF(Additional_model="Fixed effect",1/'Publication Bias Analysis'!F:F,1/SQRT('Publication Bias Analysis'!F:F^2+GH$12)),"")</f>
        <v/>
      </c>
      <c r="FY16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0" s="136" t="str">
        <f t="shared" si="516"/>
        <v/>
      </c>
      <c r="GA160" s="144" t="str">
        <f>IF(AND(Include_study?="Yes",Sufficient_data="Yes"),FZ:FZ+IF(GL:GL&lt;0,-1,1)*COUNTIF(FZ$2:FZ159,FZ:FZ),"")</f>
        <v/>
      </c>
      <c r="GB160" s="144" t="str">
        <f>IF(AND(Include_study?="Yes",Sufficient_data="Yes"),RANK(GP:GP,GP:GP,1)*IF(GO:GO&lt;0,-1,1)+IF(GO:GO&lt;0,-1,1)*COUNTIF(FZ$2:FZ159,FZ:FZ),"")</f>
        <v/>
      </c>
      <c r="GC160" s="144" t="str">
        <f>IF(AND(Include_study?="Yes",Sufficient_data="Yes"),RANK(GS:GS,GS:GS,1)*IF(GR:GR&lt;0,-1,1)+IF(GR:GR&lt;0,-1,1)*COUNTIF(FZ$2:FZ159,FZ:FZ),"")</f>
        <v/>
      </c>
      <c r="GD160" s="39" t="e">
        <f>IF(AND(Include_study?="Yes",Sufficient_data="Yes"),'Publication Bias Analysis'!E160,NA())</f>
        <v>#N/A</v>
      </c>
      <c r="GE160" s="74" t="e">
        <f>IF(AND(Include_study?="Yes",Sufficient_data="Yes"),'Publication Bias Analysis'!F160,NA())</f>
        <v>#N/A</v>
      </c>
      <c r="GK160" s="176"/>
      <c r="GL16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0" s="39" t="str">
        <f t="shared" si="517"/>
        <v/>
      </c>
      <c r="GN16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0" s="39" t="str">
        <f>IF(AND(Include_study?="Yes",Sufficient_data="Yes"),IF('Publication Bias Analysis'!L$38="Left",'Publication Bias Analysis'!E:E-GW$3,GW$3-'Publication Bias Analysis'!E:E),"")</f>
        <v/>
      </c>
      <c r="GP160" s="39" t="str">
        <f t="shared" si="529"/>
        <v/>
      </c>
      <c r="GQ16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0" s="39" t="str">
        <f>IF(AND(Include_study?="Yes",Sufficient_data="Yes"),IF('Publication Bias Analysis'!L$38="Left",'Publication Bias Analysis'!E:E-GW$10,GW$10-'Publication Bias Analysis'!E:E),"")</f>
        <v/>
      </c>
      <c r="GS160" s="39" t="str">
        <f t="shared" si="530"/>
        <v/>
      </c>
      <c r="GT16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0" s="176"/>
      <c r="HL160" s="69" t="str">
        <f t="shared" si="518"/>
        <v/>
      </c>
      <c r="HM160" s="74" t="str">
        <f>IF(AND(Include_study?="Yes",Sufficient_data="Yes"),Z_score-('Publication Bias Analysis'!P$3+'Publication Bias Analysis'!P$4*Inverse_standard_error),"")</f>
        <v/>
      </c>
      <c r="HO160" s="176"/>
      <c r="HP160" s="69" t="str">
        <f>IF(AND(Include_study?="Yes",Sufficient_data="Yes"),(GD:GD-SUMPRODUCT(Calculations!FT:FT,'Publication Bias Analysis'!E:E)/SUM(Calculations!FT:FT))/SQRT(Calculations!HQ:HQ),"")</f>
        <v/>
      </c>
      <c r="HQ160" s="69" t="str">
        <f>IF(AND(Include_study?="Yes",Sufficient_data="Yes"),GE:GE^2-1/SUM(Calculations!FT:FT),"")</f>
        <v/>
      </c>
      <c r="HR160" s="7" t="str">
        <f t="shared" si="441"/>
        <v/>
      </c>
      <c r="HS160" s="7" t="str">
        <f t="shared" si="442"/>
        <v/>
      </c>
      <c r="HT160" s="7" t="str">
        <f>IF(AND(Include_study?="Yes",Sufficient_data="Yes"),COUNTIFS(HR$2:HR159,"&lt;"&amp;HR160,HS$2:HS159,"&lt;"&amp;HS160)+COUNTIFS(HR161:HR$201,"&lt;"&amp;HR160,HS161:HS$201,"&lt;"&amp;HS160)+COUNTIFS(HR$2:HR159,"&gt;"&amp;HR160,HS$2:HS159,"&gt;"&amp;HS160)+COUNTIFS(HR161:HR$201,"&gt;"&amp;HR160,HS161:HS$201,"&gt;"&amp;HS160),"")</f>
        <v/>
      </c>
      <c r="HU160" s="104" t="str">
        <f>IF(AND(Include_study?="Yes",Sufficient_data="Yes"),COUNTIFS(HR$2:HR159,"&lt;"&amp;HR160,HS$2:HS159,"&gt;"&amp;HS160)+COUNTIFS(HR161:HR$201,"&lt;"&amp;HR160,HS161:HS$201,"&gt;"&amp;HS160)+COUNTIFS(HR$2:HR159,"&gt;"&amp;HR160,HS$2:HS159,"&lt;"&amp;HS160)+COUNTIFS(HR161:HR$201,"&gt;"&amp;HR160,HS161:HS$201,"&lt;"&amp;HS160),"")</f>
        <v/>
      </c>
      <c r="HW160" s="176"/>
      <c r="IB160" s="176"/>
      <c r="IC160" s="146" t="e">
        <f t="shared" si="519"/>
        <v>#N/A</v>
      </c>
      <c r="ID160" s="137" t="e">
        <f t="shared" si="520"/>
        <v>#N/A</v>
      </c>
      <c r="IE160" s="137" t="str">
        <f t="shared" si="521"/>
        <v/>
      </c>
      <c r="IF160" s="95" t="str">
        <f t="shared" si="522"/>
        <v/>
      </c>
      <c r="IK160" s="176"/>
      <c r="IL160" s="69" t="e">
        <f>IF(AND(Include_study?="Yes",Sufficient_data="Yes"),'Publication Bias Analysis'!AV:AV,NA())</f>
        <v>#N/A</v>
      </c>
      <c r="IM160" s="158" t="e">
        <f>IF(AND(Sufficient_data="Yes",Include_study?="Yes"),'Publication Bias Analysis'!AU:AU,NA())</f>
        <v>#N/A</v>
      </c>
      <c r="IN160" s="69" t="str">
        <f t="shared" si="418"/>
        <v/>
      </c>
      <c r="IO160" s="74" t="str">
        <f>IF(AND(Include_study?="Yes",Sufficient_data="Yes"),Z_score-('Publication Bias Analysis'!AY$30+'Publication Bias Analysis'!AY$31*Inverse_standard_error),"")</f>
        <v/>
      </c>
      <c r="IU160" s="176"/>
      <c r="IV160" s="7" t="str">
        <f>IF('Publication Bias Analysis'!BG:BG&lt;&gt;"",RANK('Publication Bias Analysis'!BG:BG,'Publication Bias Analysis'!BG:BG,1)+COUNTIF('Publication Bias Analysis'!BG$2:BG159,'Publication Bias Analysis'!BG160),"")</f>
        <v/>
      </c>
      <c r="IW160" s="124" t="str">
        <f t="shared" si="523"/>
        <v/>
      </c>
      <c r="IX160" s="125" t="e">
        <f>IF('Publication Bias Analysis'!BF160&lt;&gt;"",'Publication Bias Analysis'!BF160,NA())</f>
        <v>#N/A</v>
      </c>
      <c r="IY160" s="125" t="e">
        <f>IF('Publication Bias Analysis'!BG160&lt;&gt;"",'Publication Bias Analysis'!BG160,NA())</f>
        <v>#N/A</v>
      </c>
      <c r="IZ160" s="69" t="str">
        <f>IF(AND(Include_study?="Yes",Sufficient_data="Yes"),'Publication Bias Analysis'!BF:BF-AVERAGE('Publication Bias Analysis'!BF:BF),"")</f>
        <v/>
      </c>
      <c r="JA160" s="74" t="str">
        <f>IF(AND(Include_study?="Yes",Sufficient_data="Yes"),'Publication Bias Analysis'!BG:BG-('Publication Bias Analysis'!BJ$30+'Publication Bias Analysis'!BJ$31*'Publication Bias Analysis'!BF:BF),"")</f>
        <v/>
      </c>
      <c r="JG160" s="176"/>
      <c r="JH160" s="39" t="str">
        <f t="shared" si="524"/>
        <v/>
      </c>
      <c r="JI160" s="148" t="str">
        <f t="shared" si="531"/>
        <v/>
      </c>
      <c r="JJ160" s="74" t="str">
        <f t="shared" si="532"/>
        <v/>
      </c>
    </row>
    <row r="161" spans="1:270" x14ac:dyDescent="0.2">
      <c r="A161" s="56" t="str">
        <f t="shared" si="334"/>
        <v/>
      </c>
      <c r="B161" s="7" t="str">
        <f>IF(AND(Include_study?="Yes",Sufficient_data="Yes"),IF(Input!a_&lt;&gt;"",Input!a_,Input!n1_-Input!b_),"")</f>
        <v/>
      </c>
      <c r="C161" s="7" t="str">
        <f>IF(AND(Include_study?="Yes",Sufficient_data="Yes"),IF(Input!b_&lt;&gt;"",Input!b_,Input!n1_-Input!a_),"")</f>
        <v/>
      </c>
      <c r="D161" s="7" t="str">
        <f>IF(AND(Include_study?="Yes",Sufficient_data="Yes"),IF(Input!c_&lt;&gt;"",Input!c_,Input!n2_-Input!d_),"")</f>
        <v/>
      </c>
      <c r="E161" s="7" t="str">
        <f>IF(AND(Include_study?="Yes",Sufficient_data="Yes"),IF(Input!d_&lt;&gt;"",Input!d_,Input!n2_-Input!c_),"")</f>
        <v/>
      </c>
      <c r="F161" s="74" t="str">
        <f t="shared" si="443"/>
        <v/>
      </c>
      <c r="H161" s="196"/>
      <c r="I161" s="182"/>
      <c r="J161" s="146" t="str">
        <f t="shared" si="444"/>
        <v/>
      </c>
      <c r="K161" s="39" t="str">
        <f t="shared" si="445"/>
        <v/>
      </c>
      <c r="L161" s="39" t="str">
        <f t="shared" si="446"/>
        <v/>
      </c>
      <c r="M161" s="39" t="str">
        <f t="shared" si="447"/>
        <v/>
      </c>
      <c r="N161" s="74" t="str">
        <f t="shared" si="448"/>
        <v/>
      </c>
      <c r="P161" s="176"/>
      <c r="Q161" s="130" t="str">
        <f t="shared" si="449"/>
        <v/>
      </c>
      <c r="R161" s="39" t="str">
        <f t="shared" si="450"/>
        <v/>
      </c>
      <c r="S161" s="39" t="str">
        <f t="shared" si="451"/>
        <v/>
      </c>
      <c r="T161" s="74" t="str">
        <f t="shared" si="452"/>
        <v/>
      </c>
      <c r="V161" s="176"/>
      <c r="W161" s="130" t="str">
        <f t="shared" si="453"/>
        <v/>
      </c>
      <c r="X161" s="39" t="str">
        <f t="shared" si="454"/>
        <v/>
      </c>
      <c r="Y161" s="39" t="str">
        <f t="shared" si="455"/>
        <v/>
      </c>
      <c r="Z161" s="74" t="str">
        <f t="shared" si="456"/>
        <v/>
      </c>
      <c r="AB161" s="176"/>
      <c r="AC161" s="130" t="str">
        <f t="shared" si="457"/>
        <v/>
      </c>
      <c r="AD161" s="39" t="str">
        <f t="shared" si="458"/>
        <v/>
      </c>
      <c r="AE161" s="39" t="str">
        <f t="shared" si="459"/>
        <v/>
      </c>
      <c r="AF161" s="39" t="str">
        <f t="shared" si="460"/>
        <v/>
      </c>
      <c r="AG161" s="74" t="str">
        <f t="shared" si="461"/>
        <v/>
      </c>
      <c r="AI161" s="196"/>
      <c r="AJ16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1" s="136" t="str">
        <f>IF(AJ161&lt;&gt;"",IF(AJ161=0,COUNTIF(AJ$2:AJ160,0)+1,COUNTIF(AJ$2:AJ160,AJ161)+AJ161+COUNTIF(AJ:AJ,0)),"")</f>
        <v/>
      </c>
      <c r="AL161" s="136" t="str">
        <f t="shared" si="462"/>
        <v/>
      </c>
      <c r="AM161" s="155" t="str">
        <f>IF(AND(Include_study?="Yes",Sufficient_data="Yes",Input!Study_name&lt;&gt;""),Input!Study_name,"")</f>
        <v/>
      </c>
      <c r="AN161" s="136" t="str">
        <f t="shared" si="463"/>
        <v/>
      </c>
      <c r="AO161" s="19" t="str">
        <f t="shared" si="464"/>
        <v/>
      </c>
      <c r="AP161" s="158" t="str">
        <f t="shared" si="465"/>
        <v/>
      </c>
      <c r="AQ161" s="158" t="str">
        <f t="shared" si="466"/>
        <v/>
      </c>
      <c r="AR161" s="39" t="str">
        <f t="shared" si="467"/>
        <v/>
      </c>
      <c r="AS161" s="158" t="str">
        <f t="shared" si="468"/>
        <v/>
      </c>
      <c r="AT161" s="39" t="str">
        <f t="shared" si="469"/>
        <v/>
      </c>
      <c r="AU161" s="172" t="str">
        <f t="shared" si="470"/>
        <v/>
      </c>
      <c r="AV161" s="45"/>
      <c r="AW161" s="84" t="e">
        <f t="shared" si="360"/>
        <v>#N/A</v>
      </c>
      <c r="AX161" s="69" t="e">
        <f t="shared" si="471"/>
        <v>#N/A</v>
      </c>
      <c r="AY161" s="74" t="e">
        <f t="shared" si="472"/>
        <v>#N/A</v>
      </c>
      <c r="AZ161" s="45"/>
      <c r="BA161" s="45"/>
      <c r="BB161" s="45"/>
      <c r="BC161" s="45"/>
      <c r="BD161" s="196"/>
      <c r="BE161" s="182"/>
      <c r="BF161" s="69" t="str">
        <f t="shared" si="363"/>
        <v/>
      </c>
      <c r="BG161" s="69" t="str">
        <f t="shared" si="364"/>
        <v/>
      </c>
      <c r="BH161" s="69" t="str">
        <f t="shared" si="365"/>
        <v/>
      </c>
      <c r="BI161" s="39" t="str">
        <f t="shared" si="366"/>
        <v/>
      </c>
      <c r="BJ161" s="95" t="str">
        <f t="shared" si="473"/>
        <v/>
      </c>
      <c r="BO161" s="176"/>
      <c r="BP161" s="158" t="str">
        <f t="shared" si="474"/>
        <v/>
      </c>
      <c r="BQ161" s="158" t="str">
        <f t="shared" si="475"/>
        <v/>
      </c>
      <c r="BR161" s="158" t="str">
        <f t="shared" si="476"/>
        <v/>
      </c>
      <c r="BS161" s="158" t="str">
        <f>IF(AND(Sufficient_data="Yes",Include_study?="Yes"),IF(Add_0_5="Yes",(a_+d_+1)*(ab_+0.5)*(c_+0.5)/(Number_of_subjects+2)^2,(a_+d_)*b_*c_/Number_of_subjects^2),"")</f>
        <v/>
      </c>
      <c r="BT161" s="158" t="str">
        <f t="shared" si="477"/>
        <v/>
      </c>
      <c r="BU161" s="158" t="str">
        <f t="shared" si="478"/>
        <v/>
      </c>
      <c r="BV161" s="158" t="str">
        <f t="shared" si="479"/>
        <v/>
      </c>
      <c r="BW161" s="69" t="str">
        <f t="shared" si="374"/>
        <v/>
      </c>
      <c r="BX161" s="137" t="str">
        <f t="shared" si="375"/>
        <v/>
      </c>
      <c r="BY161" s="95" t="str">
        <f t="shared" si="480"/>
        <v/>
      </c>
      <c r="CD161" s="176"/>
      <c r="CE161" s="130" t="str">
        <f t="shared" si="481"/>
        <v/>
      </c>
      <c r="CF161" s="39" t="str">
        <f t="shared" si="482"/>
        <v/>
      </c>
      <c r="CG161" s="39" t="str">
        <f t="shared" si="483"/>
        <v/>
      </c>
      <c r="CH161" s="39" t="str">
        <f t="shared" si="484"/>
        <v/>
      </c>
      <c r="CI161" s="39" t="str">
        <f t="shared" si="485"/>
        <v/>
      </c>
      <c r="CJ161" s="39" t="str">
        <f t="shared" si="486"/>
        <v/>
      </c>
      <c r="CK161" s="95" t="str">
        <f t="shared" si="487"/>
        <v/>
      </c>
      <c r="CP161" s="176"/>
      <c r="CQ161" s="99" t="str">
        <f t="shared" si="383"/>
        <v/>
      </c>
      <c r="CX161" s="196"/>
      <c r="CY161" s="89" t="e">
        <f t="shared" si="488"/>
        <v>#N/A</v>
      </c>
      <c r="CZ161" s="136" t="str">
        <f t="shared" si="489"/>
        <v/>
      </c>
      <c r="DA161" s="140" t="str">
        <f t="shared" si="490"/>
        <v/>
      </c>
      <c r="DB161" s="39" t="str">
        <f t="shared" si="491"/>
        <v/>
      </c>
      <c r="DC161" s="39" t="str">
        <f t="shared" si="492"/>
        <v/>
      </c>
      <c r="DD161" s="39" t="str">
        <f t="shared" si="493"/>
        <v/>
      </c>
      <c r="DE161" s="39" t="str">
        <f t="shared" si="494"/>
        <v/>
      </c>
      <c r="DF161" s="141" t="str">
        <f t="shared" si="495"/>
        <v/>
      </c>
      <c r="DG161" s="39" t="str">
        <f t="shared" si="496"/>
        <v/>
      </c>
      <c r="DH161" s="39" t="str">
        <f t="shared" si="497"/>
        <v/>
      </c>
      <c r="DI161" s="39" t="str">
        <f t="shared" si="498"/>
        <v/>
      </c>
      <c r="DJ161" s="74" t="str">
        <f t="shared" si="499"/>
        <v/>
      </c>
      <c r="DK161" s="45"/>
      <c r="DL161" s="84" t="e">
        <f t="shared" si="423"/>
        <v>#N/A</v>
      </c>
      <c r="DM161" s="39" t="e">
        <f t="shared" si="500"/>
        <v>#N/A</v>
      </c>
      <c r="DN161" s="74" t="e">
        <f t="shared" si="501"/>
        <v>#N/A</v>
      </c>
      <c r="DO161" s="45"/>
      <c r="DP161" s="89" t="str">
        <f t="shared" si="525"/>
        <v/>
      </c>
      <c r="DQ161" s="26" t="str">
        <f>IF(AND(Sufficient_data="Yes",Subgroup&lt;&gt;""),IF(COUNTIFS(Input!J$2:J160,"="&amp;"Yes",Input!C$2:C160,"="&amp;"Yes",Input!K$2:K160,"="&amp;Subgroup)&gt;0,"",Subgroup),"")</f>
        <v/>
      </c>
      <c r="DR161" s="7" t="str">
        <f t="shared" si="526"/>
        <v/>
      </c>
      <c r="DS161" s="7" t="str">
        <f t="shared" si="502"/>
        <v/>
      </c>
      <c r="DT161" s="19" t="str">
        <f t="shared" si="503"/>
        <v/>
      </c>
      <c r="DU161" s="12" t="str">
        <f t="shared" si="424"/>
        <v/>
      </c>
      <c r="DV161" s="11" t="str">
        <f t="shared" si="425"/>
        <v/>
      </c>
      <c r="DW161" s="12" t="str">
        <f t="shared" si="426"/>
        <v/>
      </c>
      <c r="DX161" s="12" t="str">
        <f t="shared" si="504"/>
        <v/>
      </c>
      <c r="DY161" s="19" t="str">
        <f t="shared" si="427"/>
        <v/>
      </c>
      <c r="DZ161" s="12" t="str">
        <f t="shared" si="428"/>
        <v/>
      </c>
      <c r="EA161" s="19" t="str">
        <f t="shared" si="505"/>
        <v/>
      </c>
      <c r="EB161" s="7" t="str">
        <f t="shared" si="506"/>
        <v/>
      </c>
      <c r="EC161" s="19" t="str">
        <f t="shared" si="507"/>
        <v/>
      </c>
      <c r="ED161" s="19" t="str">
        <f t="shared" si="508"/>
        <v/>
      </c>
      <c r="EE161" s="19" t="str">
        <f t="shared" si="429"/>
        <v/>
      </c>
      <c r="EF161" s="19" t="str">
        <f t="shared" si="430"/>
        <v/>
      </c>
      <c r="EG161" s="19" t="str">
        <f t="shared" si="431"/>
        <v/>
      </c>
      <c r="EH161" s="19" t="str">
        <f t="shared" si="432"/>
        <v/>
      </c>
      <c r="EI161" s="19" t="str">
        <f t="shared" si="433"/>
        <v/>
      </c>
      <c r="EJ161" s="19" t="str">
        <f t="shared" si="509"/>
        <v/>
      </c>
      <c r="EK161" s="19" t="str">
        <f t="shared" si="510"/>
        <v/>
      </c>
      <c r="EL161" s="19" t="str">
        <f t="shared" si="434"/>
        <v/>
      </c>
      <c r="EM161" s="19" t="str">
        <f t="shared" si="435"/>
        <v/>
      </c>
      <c r="EN161" s="19" t="str">
        <f t="shared" si="436"/>
        <v/>
      </c>
      <c r="EO161" s="19" t="str">
        <f t="shared" si="437"/>
        <v/>
      </c>
      <c r="EP161" s="19" t="str">
        <f t="shared" si="438"/>
        <v/>
      </c>
      <c r="EQ161" s="19" t="e">
        <f t="shared" si="439"/>
        <v>#N/A</v>
      </c>
      <c r="ER161" s="11" t="str">
        <f t="shared" si="527"/>
        <v/>
      </c>
      <c r="ES161" s="19" t="str">
        <f t="shared" si="528"/>
        <v/>
      </c>
      <c r="ET161" s="156" t="str">
        <f t="shared" si="511"/>
        <v/>
      </c>
      <c r="EU161" s="39" t="str">
        <f t="shared" si="440"/>
        <v/>
      </c>
      <c r="EV161" s="74" t="str">
        <f t="shared" si="512"/>
        <v/>
      </c>
      <c r="FA161" s="196"/>
      <c r="FB161" s="84" t="e">
        <f>IF(AND(Include_study?="Yes",Sufficient_data="Yes",Moderator&lt;&gt;""),'Moderator Analysis'!E161,NA())</f>
        <v>#N/A</v>
      </c>
      <c r="FC161" s="39" t="e">
        <f>IF(AND(Include_study?="Yes",Sufficient_data="Yes",Moderator&lt;&gt;""),'Moderator Analysis'!F161,NA())</f>
        <v>#N/A</v>
      </c>
      <c r="FD161" s="39" t="str">
        <f t="shared" si="513"/>
        <v/>
      </c>
      <c r="FE161" s="39" t="str">
        <f t="shared" si="514"/>
        <v/>
      </c>
      <c r="FF161" s="39" t="str">
        <f>IF(AND(Include_study?="Yes",Sufficient_data="Yes",Moderator&lt;&gt;""),'Moderator Analysis'!F:F-FP$2,"")</f>
        <v/>
      </c>
      <c r="FG161" s="39" t="str">
        <f>IF(AND(Include_study?="Yes",Sufficient_data="Yes",Moderator&lt;&gt;""),'Moderator Analysis'!E:E-FP$3,"")</f>
        <v/>
      </c>
      <c r="FH161" s="74" t="str">
        <f>IF(AND(Include_study?="Yes",Sufficient_data="Yes",Moderator&lt;&gt;""),FE:FE*('Moderator Analysis'!F:F-FP$5-FP$4*'Moderator Analysis'!E:E)^2,"")</f>
        <v/>
      </c>
      <c r="FI161" s="128"/>
      <c r="FJ161" s="92" t="str">
        <f t="shared" si="515"/>
        <v/>
      </c>
      <c r="FK161" s="137" t="str">
        <f>IF(AND(Include_study?="Yes",Sufficient_data="Yes",Moderator&lt;&gt;""),'Moderator Analysis'!F:F-'Moderator Analysis'!J$37,"")</f>
        <v/>
      </c>
      <c r="FL161" s="137" t="str">
        <f>IF(AND(Include_study?="Yes",Sufficient_data="Yes",Moderator&lt;&gt;""),'Moderator Analysis'!E:E-SUMPRODUCT('Moderator Analysis'!E:E,FJ:FJ)/SUM(FJ:FJ),"")</f>
        <v/>
      </c>
      <c r="FM161" s="95" t="str">
        <f>IF(AND(Include_study?="Yes",Sufficient_data="Yes",Moderator&lt;&gt;""),FJ:FJ*('Moderator Analysis'!F:F-'Moderator Analysis'!J$29-'Moderator Analysis'!J$30*'Moderator Analysis'!E:E)^2,"")</f>
        <v/>
      </c>
      <c r="FR161" s="196"/>
      <c r="FS161" s="182"/>
      <c r="FT16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1" s="39" t="str">
        <f>IF(AND(Include_study?="Yes",Sufficient_data="Yes"),1/('Publication Bias Analysis'!F:F^2+IF(Additional_model="Fixed effect",0,Calculations!GH$12)),"")</f>
        <v/>
      </c>
      <c r="FV161" s="39" t="str">
        <f>IF(AND(Include_study?="Yes",Sufficient_data="Yes"),1/('Publication Bias Analysis'!F:F^2+IF(Additional_model="Fixed effect",0,'Publication Bias Analysis'!L$32)),"")</f>
        <v/>
      </c>
      <c r="FW161" s="39" t="str">
        <f>IF(AND(Include_study?="Yes",Sufficient_data="Yes"),'Publication Bias Analysis'!E:E-'Publication Bias Analysis'!I$37,"")</f>
        <v/>
      </c>
      <c r="FX161" s="39" t="str">
        <f>IF(AND(Include_study?="Yes",Sufficient_data="Yes"),IF(Additional_model="Fixed effect",1/'Publication Bias Analysis'!F:F,1/SQRT('Publication Bias Analysis'!F:F^2+GH$12)),"")</f>
        <v/>
      </c>
      <c r="FY16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1" s="136" t="str">
        <f t="shared" si="516"/>
        <v/>
      </c>
      <c r="GA161" s="144" t="str">
        <f>IF(AND(Include_study?="Yes",Sufficient_data="Yes"),FZ:FZ+IF(GL:GL&lt;0,-1,1)*COUNTIF(FZ$2:FZ160,FZ:FZ),"")</f>
        <v/>
      </c>
      <c r="GB161" s="144" t="str">
        <f>IF(AND(Include_study?="Yes",Sufficient_data="Yes"),RANK(GP:GP,GP:GP,1)*IF(GO:GO&lt;0,-1,1)+IF(GO:GO&lt;0,-1,1)*COUNTIF(FZ$2:FZ160,FZ:FZ),"")</f>
        <v/>
      </c>
      <c r="GC161" s="144" t="str">
        <f>IF(AND(Include_study?="Yes",Sufficient_data="Yes"),RANK(GS:GS,GS:GS,1)*IF(GR:GR&lt;0,-1,1)+IF(GR:GR&lt;0,-1,1)*COUNTIF(FZ$2:FZ160,FZ:FZ),"")</f>
        <v/>
      </c>
      <c r="GD161" s="39" t="e">
        <f>IF(AND(Include_study?="Yes",Sufficient_data="Yes"),'Publication Bias Analysis'!E161,NA())</f>
        <v>#N/A</v>
      </c>
      <c r="GE161" s="74" t="e">
        <f>IF(AND(Include_study?="Yes",Sufficient_data="Yes"),'Publication Bias Analysis'!F161,NA())</f>
        <v>#N/A</v>
      </c>
      <c r="GK161" s="176"/>
      <c r="GL16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1" s="39" t="str">
        <f t="shared" si="517"/>
        <v/>
      </c>
      <c r="GN16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1" s="39" t="str">
        <f>IF(AND(Include_study?="Yes",Sufficient_data="Yes"),IF('Publication Bias Analysis'!L$38="Left",'Publication Bias Analysis'!E:E-GW$3,GW$3-'Publication Bias Analysis'!E:E),"")</f>
        <v/>
      </c>
      <c r="GP161" s="39" t="str">
        <f t="shared" si="529"/>
        <v/>
      </c>
      <c r="GQ16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1" s="39" t="str">
        <f>IF(AND(Include_study?="Yes",Sufficient_data="Yes"),IF('Publication Bias Analysis'!L$38="Left",'Publication Bias Analysis'!E:E-GW$10,GW$10-'Publication Bias Analysis'!E:E),"")</f>
        <v/>
      </c>
      <c r="GS161" s="39" t="str">
        <f t="shared" si="530"/>
        <v/>
      </c>
      <c r="GT16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1" s="176"/>
      <c r="HL161" s="69" t="str">
        <f t="shared" si="518"/>
        <v/>
      </c>
      <c r="HM161" s="74" t="str">
        <f>IF(AND(Include_study?="Yes",Sufficient_data="Yes"),Z_score-('Publication Bias Analysis'!P$3+'Publication Bias Analysis'!P$4*Inverse_standard_error),"")</f>
        <v/>
      </c>
      <c r="HO161" s="176"/>
      <c r="HP161" s="69" t="str">
        <f>IF(AND(Include_study?="Yes",Sufficient_data="Yes"),(GD:GD-SUMPRODUCT(Calculations!FT:FT,'Publication Bias Analysis'!E:E)/SUM(Calculations!FT:FT))/SQRT(Calculations!HQ:HQ),"")</f>
        <v/>
      </c>
      <c r="HQ161" s="69" t="str">
        <f>IF(AND(Include_study?="Yes",Sufficient_data="Yes"),GE:GE^2-1/SUM(Calculations!FT:FT),"")</f>
        <v/>
      </c>
      <c r="HR161" s="7" t="str">
        <f t="shared" si="441"/>
        <v/>
      </c>
      <c r="HS161" s="7" t="str">
        <f t="shared" si="442"/>
        <v/>
      </c>
      <c r="HT161" s="7" t="str">
        <f>IF(AND(Include_study?="Yes",Sufficient_data="Yes"),COUNTIFS(HR$2:HR160,"&lt;"&amp;HR161,HS$2:HS160,"&lt;"&amp;HS161)+COUNTIFS(HR162:HR$201,"&lt;"&amp;HR161,HS162:HS$201,"&lt;"&amp;HS161)+COUNTIFS(HR$2:HR160,"&gt;"&amp;HR161,HS$2:HS160,"&gt;"&amp;HS161)+COUNTIFS(HR162:HR$201,"&gt;"&amp;HR161,HS162:HS$201,"&gt;"&amp;HS161),"")</f>
        <v/>
      </c>
      <c r="HU161" s="104" t="str">
        <f>IF(AND(Include_study?="Yes",Sufficient_data="Yes"),COUNTIFS(HR$2:HR160,"&lt;"&amp;HR161,HS$2:HS160,"&gt;"&amp;HS161)+COUNTIFS(HR162:HR$201,"&lt;"&amp;HR161,HS162:HS$201,"&gt;"&amp;HS161)+COUNTIFS(HR$2:HR160,"&gt;"&amp;HR161,HS$2:HS160,"&lt;"&amp;HS161)+COUNTIFS(HR162:HR$201,"&gt;"&amp;HR161,HS162:HS$201,"&lt;"&amp;HS161),"")</f>
        <v/>
      </c>
      <c r="HW161" s="176"/>
      <c r="IB161" s="176"/>
      <c r="IC161" s="146" t="e">
        <f t="shared" si="519"/>
        <v>#N/A</v>
      </c>
      <c r="ID161" s="137" t="e">
        <f t="shared" si="520"/>
        <v>#N/A</v>
      </c>
      <c r="IE161" s="137" t="str">
        <f t="shared" si="521"/>
        <v/>
      </c>
      <c r="IF161" s="95" t="str">
        <f t="shared" si="522"/>
        <v/>
      </c>
      <c r="IK161" s="176"/>
      <c r="IL161" s="69" t="e">
        <f>IF(AND(Include_study?="Yes",Sufficient_data="Yes"),'Publication Bias Analysis'!AV:AV,NA())</f>
        <v>#N/A</v>
      </c>
      <c r="IM161" s="158" t="e">
        <f>IF(AND(Sufficient_data="Yes",Include_study?="Yes"),'Publication Bias Analysis'!AU:AU,NA())</f>
        <v>#N/A</v>
      </c>
      <c r="IN161" s="69" t="str">
        <f t="shared" si="418"/>
        <v/>
      </c>
      <c r="IO161" s="74" t="str">
        <f>IF(AND(Include_study?="Yes",Sufficient_data="Yes"),Z_score-('Publication Bias Analysis'!AY$30+'Publication Bias Analysis'!AY$31*Inverse_standard_error),"")</f>
        <v/>
      </c>
      <c r="IU161" s="176"/>
      <c r="IV161" s="7" t="str">
        <f>IF('Publication Bias Analysis'!BG:BG&lt;&gt;"",RANK('Publication Bias Analysis'!BG:BG,'Publication Bias Analysis'!BG:BG,1)+COUNTIF('Publication Bias Analysis'!BG$2:BG160,'Publication Bias Analysis'!BG161),"")</f>
        <v/>
      </c>
      <c r="IW161" s="124" t="str">
        <f t="shared" si="523"/>
        <v/>
      </c>
      <c r="IX161" s="125" t="e">
        <f>IF('Publication Bias Analysis'!BF161&lt;&gt;"",'Publication Bias Analysis'!BF161,NA())</f>
        <v>#N/A</v>
      </c>
      <c r="IY161" s="125" t="e">
        <f>IF('Publication Bias Analysis'!BG161&lt;&gt;"",'Publication Bias Analysis'!BG161,NA())</f>
        <v>#N/A</v>
      </c>
      <c r="IZ161" s="69" t="str">
        <f>IF(AND(Include_study?="Yes",Sufficient_data="Yes"),'Publication Bias Analysis'!BF:BF-AVERAGE('Publication Bias Analysis'!BF:BF),"")</f>
        <v/>
      </c>
      <c r="JA161" s="74" t="str">
        <f>IF(AND(Include_study?="Yes",Sufficient_data="Yes"),'Publication Bias Analysis'!BG:BG-('Publication Bias Analysis'!BJ$30+'Publication Bias Analysis'!BJ$31*'Publication Bias Analysis'!BF:BF),"")</f>
        <v/>
      </c>
      <c r="JG161" s="176"/>
      <c r="JH161" s="39" t="str">
        <f t="shared" si="524"/>
        <v/>
      </c>
      <c r="JI161" s="148" t="str">
        <f t="shared" si="531"/>
        <v/>
      </c>
      <c r="JJ161" s="74" t="str">
        <f t="shared" si="532"/>
        <v/>
      </c>
    </row>
    <row r="162" spans="1:270" x14ac:dyDescent="0.2">
      <c r="A162" s="56" t="str">
        <f t="shared" ref="A162:A201" si="533">Entry_number</f>
        <v/>
      </c>
      <c r="B162" s="7" t="str">
        <f>IF(AND(Include_study?="Yes",Sufficient_data="Yes"),IF(Input!a_&lt;&gt;"",Input!a_,Input!n1_-Input!b_),"")</f>
        <v/>
      </c>
      <c r="C162" s="7" t="str">
        <f>IF(AND(Include_study?="Yes",Sufficient_data="Yes"),IF(Input!b_&lt;&gt;"",Input!b_,Input!n1_-Input!a_),"")</f>
        <v/>
      </c>
      <c r="D162" s="7" t="str">
        <f>IF(AND(Include_study?="Yes",Sufficient_data="Yes"),IF(Input!c_&lt;&gt;"",Input!c_,Input!n2_-Input!d_),"")</f>
        <v/>
      </c>
      <c r="E162" s="7" t="str">
        <f>IF(AND(Include_study?="Yes",Sufficient_data="Yes"),IF(Input!d_&lt;&gt;"",Input!d_,Input!n2_-Input!c_),"")</f>
        <v/>
      </c>
      <c r="F162" s="74" t="str">
        <f t="shared" ref="F162:F193" si="534">IF(AND(Include_study?="Yes",Sufficient_data="Yes"),IF(OR(a_=0,b_=0,c_=0,d_=0),"Yes","No"),"")</f>
        <v/>
      </c>
      <c r="H162" s="196"/>
      <c r="I162" s="182"/>
      <c r="J162" s="146" t="str">
        <f t="shared" si="444"/>
        <v/>
      </c>
      <c r="K162" s="39" t="str">
        <f t="shared" ref="K162:K193" si="535">IF(AND(Include_study?="Yes",Sufficient_data="Yes"),LN(OddsRatio),"")</f>
        <v/>
      </c>
      <c r="L162" s="39" t="str">
        <f t="shared" ref="L162:L193" si="536">IF(AND(Include_study?="Yes",Sufficient_data="Yes"),SQRT(IF(Add_0_5="Yes",1/(a_+0.5)+1/(b_+0.5)+1/(c_+0.5)+1/(d_+0.5),1/a_+1/b_+1/c_+1/d_)),"")</f>
        <v/>
      </c>
      <c r="M162" s="39" t="str">
        <f t="shared" ref="M162:M193" si="537">IF(AND(Include_study?="Yes",Sufficient_data="Yes"),EXP(LogOddsRatio-ABS(TINV((1-Confidence_level),Number_of_subjects-2))*SELogOddsRatio),"")</f>
        <v/>
      </c>
      <c r="N162" s="74" t="str">
        <f t="shared" ref="N162:N193" si="538">IF(AND(Include_study?="Yes",Sufficient_data="Yes"),EXP(LogOddsRatio+ABS(TINV((1-Confidence_level),Number_of_subjects-2))*SELogOddsRatio),"")</f>
        <v/>
      </c>
      <c r="P162" s="176"/>
      <c r="Q162" s="130" t="str">
        <f t="shared" ref="Q162:Q193" si="539">IF(AND(Include_study?="Yes",Sufficient_data="Yes"),EXP(LogPetoOddsRatio),"")</f>
        <v/>
      </c>
      <c r="R162" s="39" t="str">
        <f t="shared" ref="R162:R193" si="540">IF(AND(Include_study?="Yes",Sufficient_data="Yes"),SQRT(VarLogPetoOddsRatio),"")</f>
        <v/>
      </c>
      <c r="S162" s="39" t="str">
        <f t="shared" ref="S162:S193" si="541">IF(AND(Include_study?="Yes",Sufficient_data="Yes"),EXP(LogPetoOddsRatio-ABS(TINV((1-Confidence_level),Number_of_subjects-2))*SELogPetoOddsRatio),"")</f>
        <v/>
      </c>
      <c r="T162" s="74" t="str">
        <f t="shared" ref="T162:T193" si="542">IF(AND(Include_study?="Yes",Sufficient_data="Yes"),EXP(LogPetoOddsRatio+ABS(TINV((1-Confidence_level),Number_of_subjects-2))*SELogPetoOddsRatio),"")</f>
        <v/>
      </c>
      <c r="V162" s="176"/>
      <c r="W162" s="130" t="str">
        <f t="shared" ref="W162:W193" si="543">IF(AND(Include_study?="Yes",Sufficient_data="Yes"),a_/(a_+b_)-c_/(c_+d_),"")</f>
        <v/>
      </c>
      <c r="X162" s="39" t="str">
        <f t="shared" ref="X162:X193" si="544">IF(AND(Include_study?="Yes",Sufficient_data="Yes"),SQRT(a_*b_/(a_+b_)^3+c_*d_/(c_+d_)^3),"")</f>
        <v/>
      </c>
      <c r="Y162" s="39" t="str">
        <f t="shared" ref="Y162:Y193" si="545">IF(AND(Include_study?="Yes",Sufficient_data="Yes"),Risk_Difference-SERiskDifference*ABS(TINV((1-Confidence_level),Number_of_subjects-2)),"")</f>
        <v/>
      </c>
      <c r="Z162" s="74" t="str">
        <f t="shared" ref="Z162:Z193" si="546">IF(AND(Include_study?="Yes",Sufficient_data="Yes"),Risk_Difference+SERiskDifference*ABS(TINV((1-Confidence_level),Number_of_subjects-2)),"")</f>
        <v/>
      </c>
      <c r="AB162" s="176"/>
      <c r="AC162" s="130" t="str">
        <f t="shared" ref="AC162:AC193" si="547">IF(AND(Include_study?="Yes",Sufficient_data="Yes"),IF(Add_0_5="Yes",((a_+0.5)/(a_+0.5+b_+0.5))/((c_+0.5)/(c_+0.5+d_+0.5)),(a_/(a_+b_))/(c_/(c_+d_))),"")</f>
        <v/>
      </c>
      <c r="AD162" s="39" t="str">
        <f t="shared" ref="AD162:AD193" si="548">IF(AND(Include_study?="Yes",Sufficient_data="Yes"),LN(Risk_Ratio),"")</f>
        <v/>
      </c>
      <c r="AE162" s="39" t="str">
        <f t="shared" ref="AE162:AE193" si="549">IF(AND(Include_study?="Yes",Sufficient_data="Yes"),IF(Add_0_5="Yes",SQRT(1/(a_+0.5)-1/(a_+0.5+b_+0.5)+1/(c_+0.5)-1/(c_+0.5+d_+0.5)),SQRT(1/a_-1/(a_+b_)+1/c_-1/(c_+d_))),"")</f>
        <v/>
      </c>
      <c r="AF162" s="39" t="str">
        <f t="shared" ref="AF162:AF193" si="550">IF(AND(Include_study?="Yes",Sufficient_data="Yes"),EXP(LN(Risk_Ratio)-ABS(TINV((1-Confidence_level),Number_of_subjects-2))*SELogRiskRatio),"")</f>
        <v/>
      </c>
      <c r="AG162" s="74" t="str">
        <f t="shared" ref="AG162:AG193" si="551">IF(AND(Include_study?="Yes",Sufficient_data="Yes"),EXP(LN(Risk_Ratio)+ABS(TINV((1-Confidence_level),Number_of_subjects-2))*SELogRiskRatio),"")</f>
        <v/>
      </c>
      <c r="AI162" s="196"/>
      <c r="AJ16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2" s="136" t="str">
        <f>IF(AJ162&lt;&gt;"",IF(AJ162=0,COUNTIF(AJ$2:AJ161,0)+1,COUNTIF(AJ$2:AJ161,AJ162)+AJ162+COUNTIF(AJ:AJ,0)),"")</f>
        <v/>
      </c>
      <c r="AL162" s="136" t="str">
        <f t="shared" si="462"/>
        <v/>
      </c>
      <c r="AM162" s="155" t="str">
        <f>IF(AND(Include_study?="Yes",Sufficient_data="Yes",Input!Study_name&lt;&gt;""),Input!Study_name,"")</f>
        <v/>
      </c>
      <c r="AN162" s="136" t="str">
        <f t="shared" si="463"/>
        <v/>
      </c>
      <c r="AO162" s="19" t="str">
        <f t="shared" ref="AO162:AO193" si="552">IF(AND(Include_study?="Yes",Sufficient_data="Yes"),IF(Present_Effect_size_measure="Risk difference",Risk_Difference,IF(Present_Effect_size_measure="Risk ratio",Risk_Ratio,IF(Present_Effect_size_measure="Odds Ratio",OddsRatio,IF(Present_Effect_size_measure="Peto Odds Ratio",PetoOddsRatio,"")))),"")</f>
        <v/>
      </c>
      <c r="AP162" s="158" t="str">
        <f t="shared" ref="AP162:AP193" si="553">IF(AND(Include_study?="Yes",Sufficient_data="Yes"),IF(Weighting_method="Inverse variance",Weightf,IF(Weighting_method="Mantel-Haenszel",Weightf_MH,Weightf_Peto)),"")</f>
        <v/>
      </c>
      <c r="AQ162" s="158" t="str">
        <f t="shared" ref="AQ162:AQ193" si="554">IF(AND(Include_study?="Yes",Sufficient_data="Yes"),IF(Weighting_method="Inverse variance",Weight,IF(Weighting_method="Mantel-Haenszel",Weight_MH,Weight_Peto)),"")</f>
        <v/>
      </c>
      <c r="AR162" s="39" t="str">
        <f t="shared" ref="AR162:AR193" si="555">IF(AND(Include_study?="Yes",Sufficient_data="Yes"),IF(Present_Effect_size_measure="Risk difference",SERiskDifference,IF(Present_Effect_size_measure="Risk ratio",SELogRiskRatio,IF(Present_Effect_size_measure="Odds Ratio",SELogOddsRatio,IF(Present_Effect_size_measure="Peto Odds Ratio",SELogPetoOddsRatio)))),"")</f>
        <v/>
      </c>
      <c r="AS162" s="158" t="str">
        <f t="shared" ref="AS162:AS193" si="556">IF(AND(Include_study?="Yes",Sufficient_data="Yes"),IF(Present_Effect_size_measure="Risk difference",CI_LLRiskDifference,IF(Present_Effect_size_measure="Risk ratio",CI_LLRiskRatio,CI_LLOddsRatio)),"")</f>
        <v/>
      </c>
      <c r="AT162" s="39" t="str">
        <f t="shared" ref="AT162:AT193" si="557">IF(AND(Include_study?="Yes",Sufficient_data="Yes"),IF(Present_Effect_size_measure="Risk difference",CI_ULRiskDifference,IF(Present_Effect_size_measure="Risk ratio",CI_ULRiskRatio,CI_ULOddsRatio)),"")</f>
        <v/>
      </c>
      <c r="AU162" s="172" t="str">
        <f t="shared" ref="AU162:AU193" si="558">IF(AND(Include_study?="Yes",Sufficient_data="Yes",Valid_options="Yes"),IF(Meta_analysis_model="Fixed effect model",Weightf_lookup/SUM(Weightf_lookup),Weightr_lookup/SUM(Weightr_lookup)),"")</f>
        <v/>
      </c>
      <c r="AV162" s="45"/>
      <c r="AW162" s="84" t="e">
        <f t="shared" ref="AW162:AW201" si="559">IF(Effect_size_lookup&lt;&gt;"",Effect_size_lookup,NA())</f>
        <v>#N/A</v>
      </c>
      <c r="AX162" s="69" t="e">
        <f t="shared" ref="AX162:AX193" si="560">IF(Effect_size_lookup&lt;&gt;"",Effect_size_lookup-AS162,NA())</f>
        <v>#N/A</v>
      </c>
      <c r="AY162" s="74" t="e">
        <f t="shared" ref="AY162:AY193" si="561">IF(Effect_size_lookup&lt;&gt;"",AT162-Effect_size_lookup,NA())</f>
        <v>#N/A</v>
      </c>
      <c r="AZ162" s="45"/>
      <c r="BA162" s="45"/>
      <c r="BB162" s="45"/>
      <c r="BC162" s="45"/>
      <c r="BD162" s="196"/>
      <c r="BE162" s="182"/>
      <c r="BF162" s="69" t="str">
        <f t="shared" ref="BF162:BF201" si="562">IF(AND(Sufficient_data="Yes",Include_study?="Yes"),IF(Model_effect_size_measure="Odds Ratio",LogOddsRatio,IF(Model_effect_size_measure="Risk Ratio",LogRiskRatio,Risk_Difference)),"")</f>
        <v/>
      </c>
      <c r="BG162" s="69" t="str">
        <f t="shared" ref="BG162:BG201" si="563">IF(AND(Sufficient_data="Yes",Include_study?="Yes"),IF(Model_effect_size_measure="Odds Ratio",SELogOddsRatio,IF(Model_effect_size_measure="Risk Ratio",SELogRiskRatio,SERiskDifference)),"")</f>
        <v/>
      </c>
      <c r="BH162" s="69" t="str">
        <f t="shared" ref="BH162:BH201" si="564">IF(AND(Sufficient_data="Yes",Include_study?="Yes"),IF(Model_effect_size_measure="Odds Ratio",1/(SELogOddsRatio^2),IF(Model_effect_size_measure="Risk Ratio",1/(SELogRiskRatio^2),1/(SERiskDifference^2))),"")</f>
        <v/>
      </c>
      <c r="BI162" s="39" t="str">
        <f t="shared" ref="BI162:BI201" si="565">IF(Weightf&lt;&gt;"",1/(IF(Model_effect_size_measure="Odds Ratio",SELogOddsRatio,IF(Model_effect_size_measure="Risk Ratio",SELogRiskRatio,SERiskDifference))^2+T2_),"")</f>
        <v/>
      </c>
      <c r="BJ162" s="95" t="str">
        <f t="shared" ref="BJ162:BJ193" si="566">IF(Weightf&lt;&gt;"",Model_Effect_size-IF(OR(Model_effect_size_measure="Odds Ratio",Model_effect_size_measure="Risk Ratio",Model_effect_size_measure="Peto Odds Ratio"),lnCES_IV,CES_IV),"")</f>
        <v/>
      </c>
      <c r="BO162" s="176"/>
      <c r="BP162" s="158" t="str">
        <f t="shared" ref="BP162:BP193" si="567">IF(AND(Sufficient_data="Yes",Include_study?="Yes"),IF(Add_0_5="Yes",(a_+0.5)*(d_+0.5)/(Number_of_subjects+2),a_*d_/Number_of_subjects),"")</f>
        <v/>
      </c>
      <c r="BQ162" s="158" t="str">
        <f t="shared" ref="BQ162:BQ193" si="568">IF(AND(Sufficient_data="Yes",Include_study?="Yes"),IF(Add_0_5="Yes",(b_+0.5)*(c_+0.5)/(Number_of_subjects+2),b_*c_/Number_of_subjects),"")</f>
        <v/>
      </c>
      <c r="BR162" s="158" t="str">
        <f t="shared" ref="BR162:BR193" si="569">IF(AND(Sufficient_data="Yes",Include_study?="Yes"),IF(Add_0_5="Yes",(a_+d_+1)*(a_+0.5)*(d_+0.5)/(Number_of_subjects+2)^2,(a_+d_)*a_*d_/Number_of_subjects^2),"")</f>
        <v/>
      </c>
      <c r="BS162" s="158" t="str">
        <f>IF(AND(Sufficient_data="Yes",Include_study?="Yes"),IF(Add_0_5="Yes",(a_+d_+1)*(ab_+0.5)*(c_+0.5)/(Number_of_subjects+2)^2,(a_+d_)*b_*c_/Number_of_subjects^2),"")</f>
        <v/>
      </c>
      <c r="BT162" s="158" t="str">
        <f t="shared" ref="BT162:BT193" si="570">IF(AND(Sufficient_data="Yes",Include_study?="Yes"),IF(Add_0_5="Yes",(b_+c_+1)*(a_+0.5)*(d_+0.5)/(Number_of_subjects+2)^2,(b_+c_)*a_*d_/Number_of_subjects^2),"")</f>
        <v/>
      </c>
      <c r="BU162" s="158" t="str">
        <f t="shared" ref="BU162:BU193" si="571">IF(AND(Sufficient_data="Yes",Include_study?="Yes"),IF(Add_0_5="Yes",(b_+c_+1)*(b_+0.5)*(c_+0.5)/(Number_of_subjects+2)^2,(b_+c_)*b_*c_/Number_of_subjects^2),"")</f>
        <v/>
      </c>
      <c r="BV162" s="158" t="str">
        <f t="shared" ref="BV162:BV193" si="572">IF(AND(Sufficient_data="Yes",Include_study?="Yes"),IF(Add_0_5="Yes",(b_+0.5)*(c_+0.5)/(Number_of_subjects+2),b_*c_/Number_of_subjects),"")</f>
        <v/>
      </c>
      <c r="BW162" s="69" t="str">
        <f t="shared" ref="BW162:BW201" si="573">IF(AND(Sufficient_data="Yes",Include_study?="Yes"),1/(SELogOddsRatio^2)*(LogOddsRatio-LN(SUMPRODUCT(Weightf_MH,OddsRatio)/SUM(Weightf_MH)))^2,"")</f>
        <v/>
      </c>
      <c r="BX162" s="137" t="str">
        <f t="shared" ref="BX162:BX201" si="574">IF(Weithf_MH&lt;&gt;"",1/(SELogOddsRatio^2+T2_MH),"")</f>
        <v/>
      </c>
      <c r="BY162" s="95" t="str">
        <f t="shared" ref="BY162:BY193" si="575">IF(Weithf_MH&lt;&gt;"",LogOddsRatio-lnCES_OddsRatio_MH,"")</f>
        <v/>
      </c>
      <c r="CD162" s="176"/>
      <c r="CE162" s="130" t="str">
        <f t="shared" ref="CE162:CE193" si="576">IF(AND(Include_study?="Yes",Sufficient_data="Yes"),((a_+b_)*(a_+c_))/(Number_of_subjects),"")</f>
        <v/>
      </c>
      <c r="CF162" s="39" t="str">
        <f t="shared" ref="CF162:CF193" si="577">IF(AND(Include_study?="Yes",Sufficient_data="Yes"),((a_+b_)*(c_+d_)*(a_+c_)*(b_+d_))/((Number_of_subjects)^2*(Number_of_subjects-1)),"")</f>
        <v/>
      </c>
      <c r="CG162" s="39" t="str">
        <f t="shared" ref="CG162:CG193" si="578">IF(AND(Include_study?="Yes",Sufficient_data="Yes"),(a_-Expected)/VarExpected,"")</f>
        <v/>
      </c>
      <c r="CH162" s="39" t="str">
        <f t="shared" ref="CH162:CH193" si="579">IF(AND(Include_study?="Yes",Sufficient_data="Yes"),1/VarExpected,"")</f>
        <v/>
      </c>
      <c r="CI162" s="39" t="str">
        <f t="shared" ref="CI162:CI193" si="580">IF(AND(Sufficient_data="Yes",Include_study?="Yes"),VarExpected,"")</f>
        <v/>
      </c>
      <c r="CJ162" s="39" t="str">
        <f t="shared" si="486"/>
        <v/>
      </c>
      <c r="CK162" s="95" t="str">
        <f t="shared" ref="CK162:CK193" si="581">IF(Weightf_Peto&lt;&gt;"",LogPetoOddsRatio-lnCES_PetoOddsRatio,"")</f>
        <v/>
      </c>
      <c r="CP162" s="176"/>
      <c r="CQ162" s="99" t="str">
        <f t="shared" ref="CQ162:CQ201" si="582">IF(AND(Sufficient_data="Yes",Include_study?="Yes"),c_/(c_+d_),"")</f>
        <v/>
      </c>
      <c r="CX162" s="196"/>
      <c r="CY162" s="89" t="e">
        <f t="shared" ref="CY162:CY193" si="583">IF(AND(Include_study?="Yes",Sufficient_data="Yes",Subgroup&lt;&gt;""),COUNTIFS(Include_study?,"Yes",Sufficient_data,"Yes",DA:DA,"&lt;"&amp;Subgroup,Subgroup,"*")+COUNTIFS(Entry_number,"&lt;"&amp;Entry_number,DA:DA,Subgroup)+COUNTIFS(DS:DS,"&gt;="&amp;0,DQ:DQ,"&lt;"&amp;Subgroup)+1,NA())</f>
        <v>#N/A</v>
      </c>
      <c r="CZ162" s="136" t="str">
        <f t="shared" ref="CZ162:CZ193" si="584">IF(AND(Include_study?="Yes",Sufficient_data="Yes",Subgroup&lt;&gt;""),Study_name,"")</f>
        <v/>
      </c>
      <c r="DA162" s="140" t="str">
        <f t="shared" ref="DA162:DA193" si="585">IF(AND(Include_study?="Yes",Sufficient_data="Yes",Subgroup&lt;&gt;""),Subgroup,"")</f>
        <v/>
      </c>
      <c r="DB162" s="39" t="str">
        <f t="shared" ref="DB162:DB193" si="586">IF(AND(Include_study?="Yes",Sufficient_data="Yes",Subgroup&lt;&gt;""),IF(Subgroup_effect_size_measure="Odds Ratio",LogOddsRatio,IF(Subgroup_effect_size_measure="Risk Ratio",LogRiskRatio,IF(Subgroup_effect_size_measure="Risk Difference",Risk_Difference,IF(Subgroup_effect_size_measure="Peto Odds Ratio",LogPetoOddsRatio,"")))),"")</f>
        <v/>
      </c>
      <c r="DC162" s="39" t="str">
        <f t="shared" ref="DC162:DC193" si="587">IF(AND(Include_study?="Yes",Sufficient_data="Yes",Subgroup&lt;&gt;""),IF(Subgroup_effect_size_measure="Odds Ratio",SELogOddsRatio,IF(Subgroup_effect_size_measure="Risk Ratio",SELogRiskRatio,IF(Subgroup_effect_size_measure="Risk Difference",SERiskDifference,IF(Subgroup_effect_size_measure="Peto Odds Ratio",SELogPetoOddsRatio,"")))),"")</f>
        <v/>
      </c>
      <c r="DD162" s="39" t="str">
        <f t="shared" ref="DD162:DD193" si="588">IF(AND(Include_study?="Yes",Sufficient_data="Yes",Subgroup&lt;&gt;""),IF(Subgroup_weighting_method="Inverse variance",1/DC162^2,IF(Subgroup_weighting_method="Mantel-Haenszel",Weightf_MH,Weightf_Peto)),"")</f>
        <v/>
      </c>
      <c r="DE162" s="39" t="str">
        <f t="shared" ref="DE162:DE193" si="589">IF(AND(Include_study?="Yes",Sufficient_data="Yes",Subgroup&lt;&gt;""),1/(DC162^2+IF(Within_subgroup_weighting=EX$42,0,INDEX(DQ:DX,MATCH(Subgroup,DQ:DQ,0),8))),"")</f>
        <v/>
      </c>
      <c r="DF162" s="141" t="str">
        <f t="shared" ref="DF162:DF193" si="590">IF(AND(Include_study?="Yes",Sufficient_data="Yes",Subgroup_valid_options="Yes",Subgroup&lt;&gt;""),DE162/SUMIF(Subgroup,Subgroup,DE:DE),"")</f>
        <v/>
      </c>
      <c r="DG162" s="39" t="str">
        <f t="shared" ref="DG162:DG193" si="591">IF(AND(Include_study?="Yes",Sufficient_data="Yes",Subgroup&lt;&gt;"",DG$1&lt;&gt;""),IF(Subgroup_effect_size_measure="Risk Ratio",Risk_Ratio,IF(Subgroup_effect_size_measure="Odds Ratio",OddsRatio,IF(Subgroup_effect_size_measure="Peto Odds Ratio",PetoOddsRatio,""))),"")</f>
        <v/>
      </c>
      <c r="DH162" s="39" t="str">
        <f t="shared" ref="DH162:DH193" si="592">IF(AND(Include_study?="Yes",Sufficient_data="Yes",Subgroup&lt;&gt;""),IF(Subgroup_effect_size_measure="Risk Difference",Subgroup_effect_size-ABS(TINV((1-Subgroup_confidence_level),Number_of_subjects-1))*DC:DC,EXP(Subgroup_effect_size-ABS(TINV((1-Subgroup_confidence_level),Number_of_subjects-1))*DC:DC)),"")</f>
        <v/>
      </c>
      <c r="DI162" s="39" t="str">
        <f t="shared" ref="DI162:DI193" si="593">IF(AND(Include_study?="Yes",Sufficient_data="Yes",Subgroup&lt;&gt;""),IF(Subgroup_effect_size_measure="Risk Difference",Subgroup_effect_size+ABS(TINV((1-Subgroup_confidence_level),Number_of_subjects-1))*DC:DC,EXP(Subgroup_effect_size+ABS(TINV((1-Subgroup_confidence_level),Number_of_subjects-1))*DC:DC)),"")</f>
        <v/>
      </c>
      <c r="DJ162" s="74" t="str">
        <f t="shared" ref="DJ162:DJ193" si="594">IF(AND(Include_study?="Yes",Sufficient_data="Yes",Subgroup&lt;&gt;""),Subgroup_effect_size-VLOOKUP(DA:DA,DQ:DZ,10,FALSE),"")</f>
        <v/>
      </c>
      <c r="DK162" s="45"/>
      <c r="DL162" s="84" t="e">
        <f t="shared" si="423"/>
        <v>#N/A</v>
      </c>
      <c r="DM162" s="39" t="e">
        <f t="shared" ref="DM162:DM193" si="595">IF(AND(Include_study?="Yes",Sufficient_data="Yes",Subgroup&lt;&gt;""),IF(Subgroup_effect_size_measure="Risk Difference",DB162-DH162,DG162-DH162),NA())</f>
        <v>#N/A</v>
      </c>
      <c r="DN162" s="74" t="e">
        <f t="shared" ref="DN162:DN193" si="596">IF(AND(Include_study?="Yes",Sufficient_data="Yes",Subgroup&lt;&gt;""),IF(Subgroup_effect_size_measure="Risk Difference",DI162-DB162,DI162-DG162),NA())</f>
        <v>#N/A</v>
      </c>
      <c r="DO162" s="45"/>
      <c r="DP162" s="89" t="str">
        <f t="shared" si="525"/>
        <v/>
      </c>
      <c r="DQ162" s="26" t="str">
        <f>IF(AND(Sufficient_data="Yes",Subgroup&lt;&gt;""),IF(COUNTIFS(Input!J$2:J161,"="&amp;"Yes",Input!C$2:C161,"="&amp;"Yes",Input!K$2:K161,"="&amp;Subgroup)&gt;0,"",Subgroup),"")</f>
        <v/>
      </c>
      <c r="DR162" s="7" t="str">
        <f t="shared" si="526"/>
        <v/>
      </c>
      <c r="DS162" s="7" t="str">
        <f t="shared" ref="DS162:DS193" si="597">IF(DQ162&lt;&gt;"",COUNTIFS(Sufficient_data,"Yes",Include_study?,"Yes",Subgroup,DQ162),"")</f>
        <v/>
      </c>
      <c r="DT162" s="19" t="str">
        <f t="shared" ref="DT162:DT193" si="598">IF(AND(DQ162&lt;&gt;"",Subgroup_valid_options="Yes",SUMIF(Subgroup,DQ162,Subgroup_weightf)&gt;0),MAX(0,SUMPRODUCT(--(Subgroup=DQ162),Subgroup_weightf,Subgroup_effect_size,Subgroup_effect_size)-(SUMPRODUCT(--(Subgroup=DQ162),Subgroup_weightf,Subgroup_effect_size)^2/SUMIF(Subgroup,DQ162,Subgroup_weightf))),"")</f>
        <v/>
      </c>
      <c r="DU162" s="12" t="str">
        <f t="shared" si="424"/>
        <v/>
      </c>
      <c r="DV162" s="11" t="str">
        <f t="shared" si="425"/>
        <v/>
      </c>
      <c r="DW162" s="12" t="str">
        <f t="shared" si="426"/>
        <v/>
      </c>
      <c r="DX162" s="12" t="str">
        <f t="shared" ref="DX162:DX193" si="599">IF(DT162&lt;&gt;"",IF(Within_subgroup_weighting=EX$44,MAX(0,(SUM(DT:DT)-(Subgroup_k-COUNT(DT:DT)))/SUM(DW:DW)),MAX(0,(DT162-(DS162-1))/DW162)),"")</f>
        <v/>
      </c>
      <c r="DY162" s="19" t="str">
        <f t="shared" si="427"/>
        <v/>
      </c>
      <c r="DZ162" s="12" t="str">
        <f t="shared" si="428"/>
        <v/>
      </c>
      <c r="EA162" s="19" t="str">
        <f t="shared" ref="EA162:EA193" si="600">IF(DT162&lt;&gt;"",IF(Within_subgroup_weighting=EX$42,1/SQRT(SUMIF(Subgroup,DQ162,DD:DD)),SQRT(SUMPRODUCT(--(Subgroup=DQ162),DE:DE,DJ:DJ,DJ:DJ)/((DS162-1)*SUMIF(Subgroup,DQ162,DE:DE)))),"")</f>
        <v/>
      </c>
      <c r="EB162" s="7" t="str">
        <f t="shared" ref="EB162:EB193" si="601">IF(DT162&lt;&gt;"",SUMIFS(Number_of_subjects,Subgroup,DQ162,Include_study?,"Yes",Sufficient_data,"Yes"),"")</f>
        <v/>
      </c>
      <c r="EC162" s="19" t="str">
        <f t="shared" ref="EC162:EC193" si="602">IF(DT162&lt;&gt;"",DZ162-ABS(TINV((1-Subgroup_confidence_level),DS162-1))*EA162,"")</f>
        <v/>
      </c>
      <c r="ED162" s="19" t="str">
        <f t="shared" ref="ED162:ED193" si="603">IF(DT162&lt;&gt;"",DZ162+ABS(TINV((1-Subgroup_confidence_level),DS162-1))*EA162,"")</f>
        <v/>
      </c>
      <c r="EE162" s="19" t="str">
        <f t="shared" si="429"/>
        <v/>
      </c>
      <c r="EF162" s="19" t="str">
        <f t="shared" si="430"/>
        <v/>
      </c>
      <c r="EG162" s="19" t="str">
        <f t="shared" si="431"/>
        <v/>
      </c>
      <c r="EH162" s="19" t="str">
        <f t="shared" si="432"/>
        <v/>
      </c>
      <c r="EI162" s="19" t="str">
        <f t="shared" si="433"/>
        <v/>
      </c>
      <c r="EJ162" s="19" t="str">
        <f t="shared" ref="EJ162:EJ193" si="604">IF(DT162&lt;&gt;"",DZ162-ABS(TINV((1-Subgroup_confidence_level),DS162-1))*SQRT(DX162+EA162^2),"")</f>
        <v/>
      </c>
      <c r="EK162" s="19" t="str">
        <f t="shared" ref="EK162:EK193" si="605">IF(DT162&lt;&gt;"",DZ162+ABS(TINV((1-Subgroup_confidence_level),DS162-1))*SQRT(DX162+EA162^2),"")</f>
        <v/>
      </c>
      <c r="EL162" s="19" t="str">
        <f t="shared" si="434"/>
        <v/>
      </c>
      <c r="EM162" s="19" t="str">
        <f t="shared" si="435"/>
        <v/>
      </c>
      <c r="EN162" s="19" t="str">
        <f t="shared" si="436"/>
        <v/>
      </c>
      <c r="EO162" s="19" t="str">
        <f t="shared" si="437"/>
        <v/>
      </c>
      <c r="EP162" s="19" t="str">
        <f t="shared" si="438"/>
        <v/>
      </c>
      <c r="EQ162" s="19" t="e">
        <f t="shared" si="439"/>
        <v>#N/A</v>
      </c>
      <c r="ER162" s="11" t="str">
        <f t="shared" si="527"/>
        <v/>
      </c>
      <c r="ES162" s="19" t="str">
        <f t="shared" si="528"/>
        <v/>
      </c>
      <c r="ET162" s="156" t="str">
        <f t="shared" ref="ET162:ET193" si="606">IF(EA162&lt;&gt;"",1/(EA162^2+IF(Between_subgroup_weighting=EX$38,0,EY$35)),"")</f>
        <v/>
      </c>
      <c r="EU162" s="39" t="str">
        <f t="shared" si="440"/>
        <v/>
      </c>
      <c r="EV162" s="74" t="str">
        <f t="shared" ref="EV162:EV193" si="607">IF(DT162&lt;&gt;"",IF(Subgroup_effect_size_measure="Risk Difference",EE:EE-EY$9,DZ:DZ-EY$2),"")</f>
        <v/>
      </c>
      <c r="FA162" s="196"/>
      <c r="FB162" s="84" t="e">
        <f>IF(AND(Include_study?="Yes",Sufficient_data="Yes",Moderator&lt;&gt;""),'Moderator Analysis'!E162,NA())</f>
        <v>#N/A</v>
      </c>
      <c r="FC162" s="39" t="e">
        <f>IF(AND(Include_study?="Yes",Sufficient_data="Yes",Moderator&lt;&gt;""),'Moderator Analysis'!F162,NA())</f>
        <v>#N/A</v>
      </c>
      <c r="FD162" s="39" t="str">
        <f t="shared" ref="FD162:FD193" si="608">IF(AND(Include_study?="Yes",Sufficient_data="Yes",Moderator&lt;&gt;""),IF(Moderator_effect_size_measure="Log Odds Ratio",SELogOddsRatio,IF(Moderator_effect_size_measure="Log Risk Ratio",SELogRiskRatio,IF(Moderator_effect_size_measure="Risk Difference",SERiskDifference,SELogPetoOddsRatio))),"")</f>
        <v/>
      </c>
      <c r="FE162" s="39" t="str">
        <f t="shared" ref="FE162:FE193" si="609">IF(AND(Include_study?="Yes",Sufficient_data="Yes",Moderator&lt;&gt;""),IF(Moderator_weighting_method="Inverse Variance",1/FD:FD^2,IF(Moderator_weighting_method="Mantel-Haenszel",Weightf_MH,Weightf_Peto)),"")</f>
        <v/>
      </c>
      <c r="FF162" s="39" t="str">
        <f>IF(AND(Include_study?="Yes",Sufficient_data="Yes",Moderator&lt;&gt;""),'Moderator Analysis'!F:F-FP$2,"")</f>
        <v/>
      </c>
      <c r="FG162" s="39" t="str">
        <f>IF(AND(Include_study?="Yes",Sufficient_data="Yes",Moderator&lt;&gt;""),'Moderator Analysis'!E:E-FP$3,"")</f>
        <v/>
      </c>
      <c r="FH162" s="74" t="str">
        <f>IF(AND(Include_study?="Yes",Sufficient_data="Yes",Moderator&lt;&gt;""),FE:FE*('Moderator Analysis'!F:F-FP$5-FP$4*'Moderator Analysis'!E:E)^2,"")</f>
        <v/>
      </c>
      <c r="FI162" s="128"/>
      <c r="FJ162" s="92" t="str">
        <f t="shared" ref="FJ162:FJ193" si="610">IF(AND(Include_study?="Yes",Sufficient_data="Yes",Moderator&lt;&gt;""),1/(FD:FD^2+FP$7),"")</f>
        <v/>
      </c>
      <c r="FK162" s="137" t="str">
        <f>IF(AND(Include_study?="Yes",Sufficient_data="Yes",Moderator&lt;&gt;""),'Moderator Analysis'!F:F-'Moderator Analysis'!J$37,"")</f>
        <v/>
      </c>
      <c r="FL162" s="137" t="str">
        <f>IF(AND(Include_study?="Yes",Sufficient_data="Yes",Moderator&lt;&gt;""),'Moderator Analysis'!E:E-SUMPRODUCT('Moderator Analysis'!E:E,FJ:FJ)/SUM(FJ:FJ),"")</f>
        <v/>
      </c>
      <c r="FM162" s="95" t="str">
        <f>IF(AND(Include_study?="Yes",Sufficient_data="Yes",Moderator&lt;&gt;""),FJ:FJ*('Moderator Analysis'!F:F-'Moderator Analysis'!J$29-'Moderator Analysis'!J$30*'Moderator Analysis'!E:E)^2,"")</f>
        <v/>
      </c>
      <c r="FR162" s="196"/>
      <c r="FS162" s="182"/>
      <c r="FT16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2" s="39" t="str">
        <f>IF(AND(Include_study?="Yes",Sufficient_data="Yes"),1/('Publication Bias Analysis'!F:F^2+IF(Additional_model="Fixed effect",0,Calculations!GH$12)),"")</f>
        <v/>
      </c>
      <c r="FV162" s="39" t="str">
        <f>IF(AND(Include_study?="Yes",Sufficient_data="Yes"),1/('Publication Bias Analysis'!F:F^2+IF(Additional_model="Fixed effect",0,'Publication Bias Analysis'!L$32)),"")</f>
        <v/>
      </c>
      <c r="FW162" s="39" t="str">
        <f>IF(AND(Include_study?="Yes",Sufficient_data="Yes"),'Publication Bias Analysis'!E:E-'Publication Bias Analysis'!I$37,"")</f>
        <v/>
      </c>
      <c r="FX162" s="39" t="str">
        <f>IF(AND(Include_study?="Yes",Sufficient_data="Yes"),IF(Additional_model="Fixed effect",1/'Publication Bias Analysis'!F:F,1/SQRT('Publication Bias Analysis'!F:F^2+GH$12)),"")</f>
        <v/>
      </c>
      <c r="FY16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2" s="136" t="str">
        <f t="shared" ref="FZ162:FZ193" si="611">IF(AND(Include_study?="Yes",Sufficient_data="Yes"),RANK(GM:GM,GM:GM,1)*IF(GL:GL&gt;0,1,-1),"")</f>
        <v/>
      </c>
      <c r="GA162" s="144" t="str">
        <f>IF(AND(Include_study?="Yes",Sufficient_data="Yes"),FZ:FZ+IF(GL:GL&lt;0,-1,1)*COUNTIF(FZ$2:FZ161,FZ:FZ),"")</f>
        <v/>
      </c>
      <c r="GB162" s="144" t="str">
        <f>IF(AND(Include_study?="Yes",Sufficient_data="Yes"),RANK(GP:GP,GP:GP,1)*IF(GO:GO&lt;0,-1,1)+IF(GO:GO&lt;0,-1,1)*COUNTIF(FZ$2:FZ161,FZ:FZ),"")</f>
        <v/>
      </c>
      <c r="GC162" s="144" t="str">
        <f>IF(AND(Include_study?="Yes",Sufficient_data="Yes"),RANK(GS:GS,GS:GS,1)*IF(GR:GR&lt;0,-1,1)+IF(GR:GR&lt;0,-1,1)*COUNTIF(FZ$2:FZ161,FZ:FZ),"")</f>
        <v/>
      </c>
      <c r="GD162" s="39" t="e">
        <f>IF(AND(Include_study?="Yes",Sufficient_data="Yes"),'Publication Bias Analysis'!E162,NA())</f>
        <v>#N/A</v>
      </c>
      <c r="GE162" s="74" t="e">
        <f>IF(AND(Include_study?="Yes",Sufficient_data="Yes"),'Publication Bias Analysis'!F162,NA())</f>
        <v>#N/A</v>
      </c>
      <c r="GK162" s="176"/>
      <c r="GL16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2" s="39" t="str">
        <f t="shared" ref="GM162:GM193" si="612">IF(AND(Include_study?="Yes",Sufficient_data="Yes"),ABS(GL162),"")</f>
        <v/>
      </c>
      <c r="GN16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2" s="39" t="str">
        <f>IF(AND(Include_study?="Yes",Sufficient_data="Yes"),IF('Publication Bias Analysis'!L$38="Left",'Publication Bias Analysis'!E:E-GW$3,GW$3-'Publication Bias Analysis'!E:E),"")</f>
        <v/>
      </c>
      <c r="GP162" s="39" t="str">
        <f t="shared" si="529"/>
        <v/>
      </c>
      <c r="GQ16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2" s="39" t="str">
        <f>IF(AND(Include_study?="Yes",Sufficient_data="Yes"),IF('Publication Bias Analysis'!L$38="Left",'Publication Bias Analysis'!E:E-GW$10,GW$10-'Publication Bias Analysis'!E:E),"")</f>
        <v/>
      </c>
      <c r="GS162" s="39" t="str">
        <f t="shared" si="530"/>
        <v/>
      </c>
      <c r="GT16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2" s="176"/>
      <c r="HL162" s="69" t="str">
        <f t="shared" si="518"/>
        <v/>
      </c>
      <c r="HM162" s="74" t="str">
        <f>IF(AND(Include_study?="Yes",Sufficient_data="Yes"),Z_score-('Publication Bias Analysis'!P$3+'Publication Bias Analysis'!P$4*Inverse_standard_error),"")</f>
        <v/>
      </c>
      <c r="HO162" s="176"/>
      <c r="HP162" s="69" t="str">
        <f>IF(AND(Include_study?="Yes",Sufficient_data="Yes"),(GD:GD-SUMPRODUCT(Calculations!FT:FT,'Publication Bias Analysis'!E:E)/SUM(Calculations!FT:FT))/SQRT(Calculations!HQ:HQ),"")</f>
        <v/>
      </c>
      <c r="HQ162" s="69" t="str">
        <f>IF(AND(Include_study?="Yes",Sufficient_data="Yes"),GE:GE^2-1/SUM(Calculations!FT:FT),"")</f>
        <v/>
      </c>
      <c r="HR162" s="7" t="str">
        <f t="shared" si="441"/>
        <v/>
      </c>
      <c r="HS162" s="7" t="str">
        <f t="shared" si="442"/>
        <v/>
      </c>
      <c r="HT162" s="7" t="str">
        <f>IF(AND(Include_study?="Yes",Sufficient_data="Yes"),COUNTIFS(HR$2:HR161,"&lt;"&amp;HR162,HS$2:HS161,"&lt;"&amp;HS162)+COUNTIFS(HR163:HR$201,"&lt;"&amp;HR162,HS163:HS$201,"&lt;"&amp;HS162)+COUNTIFS(HR$2:HR161,"&gt;"&amp;HR162,HS$2:HS161,"&gt;"&amp;HS162)+COUNTIFS(HR163:HR$201,"&gt;"&amp;HR162,HS163:HS$201,"&gt;"&amp;HS162),"")</f>
        <v/>
      </c>
      <c r="HU162" s="104" t="str">
        <f>IF(AND(Include_study?="Yes",Sufficient_data="Yes"),COUNTIFS(HR$2:HR161,"&lt;"&amp;HR162,HS$2:HS161,"&gt;"&amp;HS162)+COUNTIFS(HR163:HR$201,"&lt;"&amp;HR162,HS163:HS$201,"&gt;"&amp;HS162)+COUNTIFS(HR$2:HR161,"&gt;"&amp;HR162,HS$2:HS161,"&lt;"&amp;HS162)+COUNTIFS(HR163:HR$201,"&gt;"&amp;HR162,HS163:HS$201,"&lt;"&amp;HS162),"")</f>
        <v/>
      </c>
      <c r="HW162" s="176"/>
      <c r="IB162" s="176"/>
      <c r="IC162" s="146" t="e">
        <f t="shared" ref="IC162:IC193" si="613">IF(AND(Include_study?="Yes",Sufficient_data="Yes"),a_/(a_+b_),NA())</f>
        <v>#N/A</v>
      </c>
      <c r="ID162" s="137" t="e">
        <f t="shared" ref="ID162:ID193" si="614">IF(AND(Include_study?="Yes",Sufficient_data="Yes"),c_/(c_+d_),NA())</f>
        <v>#N/A</v>
      </c>
      <c r="IE162" s="137" t="str">
        <f t="shared" ref="IE162:IE193" si="615">IF(AND(Include_study?="Yes",Sufficient_data="Yes"),1/SELogRiskRatio^2,"")</f>
        <v/>
      </c>
      <c r="IF162" s="95" t="str">
        <f t="shared" ref="IF162:IF193" si="616">IF(AND(Include_study?="Yes",Sufficient_data="Yes"),IF(Additional_model="Fixed effect",Weightf,Weightr),"")</f>
        <v/>
      </c>
      <c r="IK162" s="176"/>
      <c r="IL162" s="69" t="e">
        <f>IF(AND(Include_study?="Yes",Sufficient_data="Yes"),'Publication Bias Analysis'!AV:AV,NA())</f>
        <v>#N/A</v>
      </c>
      <c r="IM162" s="158" t="e">
        <f>IF(AND(Sufficient_data="Yes",Include_study?="Yes"),'Publication Bias Analysis'!AU:AU,NA())</f>
        <v>#N/A</v>
      </c>
      <c r="IN162" s="69" t="str">
        <f t="shared" ref="IN162:IN201" si="617">IF(AND(Include_study?="Yes",Sufficient_data="Yes"),Inverse_standard_error-AVERAGE(Inverse_standard_error),"")</f>
        <v/>
      </c>
      <c r="IO162" s="74" t="str">
        <f>IF(AND(Include_study?="Yes",Sufficient_data="Yes"),Z_score-('Publication Bias Analysis'!AY$30+'Publication Bias Analysis'!AY$31*Inverse_standard_error),"")</f>
        <v/>
      </c>
      <c r="IU162" s="176"/>
      <c r="IV162" s="7" t="str">
        <f>IF('Publication Bias Analysis'!BG:BG&lt;&gt;"",RANK('Publication Bias Analysis'!BG:BG,'Publication Bias Analysis'!BG:BG,1)+COUNTIF('Publication Bias Analysis'!BG$2:BG161,'Publication Bias Analysis'!BG162),"")</f>
        <v/>
      </c>
      <c r="IW162" s="124" t="str">
        <f t="shared" ref="IW162:IW193" si="618">IF(IV:IV&lt;&gt;"",(IV:IV-1/3)/(k_+1/3),"")</f>
        <v/>
      </c>
      <c r="IX162" s="125" t="e">
        <f>IF('Publication Bias Analysis'!BF162&lt;&gt;"",'Publication Bias Analysis'!BF162,NA())</f>
        <v>#N/A</v>
      </c>
      <c r="IY162" s="125" t="e">
        <f>IF('Publication Bias Analysis'!BG162&lt;&gt;"",'Publication Bias Analysis'!BG162,NA())</f>
        <v>#N/A</v>
      </c>
      <c r="IZ162" s="69" t="str">
        <f>IF(AND(Include_study?="Yes",Sufficient_data="Yes"),'Publication Bias Analysis'!BF:BF-AVERAGE('Publication Bias Analysis'!BF:BF),"")</f>
        <v/>
      </c>
      <c r="JA162" s="74" t="str">
        <f>IF(AND(Include_study?="Yes",Sufficient_data="Yes"),'Publication Bias Analysis'!BG:BG-('Publication Bias Analysis'!BJ$30+'Publication Bias Analysis'!BJ$31*'Publication Bias Analysis'!BF:BF),"")</f>
        <v/>
      </c>
      <c r="JG162" s="176"/>
      <c r="JH162" s="39" t="str">
        <f t="shared" ref="JH162:JH193" si="619">IF(AND(Include_study?="Yes",Sufficient_data="Yes"),IF(AND(Additional_valid_options="No",Additional_model="Random effects"),NA(),Z_score),"")</f>
        <v/>
      </c>
      <c r="JI162" s="148" t="str">
        <f t="shared" si="531"/>
        <v/>
      </c>
      <c r="JJ162" s="74" t="str">
        <f t="shared" si="532"/>
        <v/>
      </c>
    </row>
    <row r="163" spans="1:270" x14ac:dyDescent="0.2">
      <c r="A163" s="56" t="str">
        <f t="shared" si="533"/>
        <v/>
      </c>
      <c r="B163" s="7" t="str">
        <f>IF(AND(Include_study?="Yes",Sufficient_data="Yes"),IF(Input!a_&lt;&gt;"",Input!a_,Input!n1_-Input!b_),"")</f>
        <v/>
      </c>
      <c r="C163" s="7" t="str">
        <f>IF(AND(Include_study?="Yes",Sufficient_data="Yes"),IF(Input!b_&lt;&gt;"",Input!b_,Input!n1_-Input!a_),"")</f>
        <v/>
      </c>
      <c r="D163" s="7" t="str">
        <f>IF(AND(Include_study?="Yes",Sufficient_data="Yes"),IF(Input!c_&lt;&gt;"",Input!c_,Input!n2_-Input!d_),"")</f>
        <v/>
      </c>
      <c r="E163" s="7" t="str">
        <f>IF(AND(Include_study?="Yes",Sufficient_data="Yes"),IF(Input!d_&lt;&gt;"",Input!d_,Input!n2_-Input!c_),"")</f>
        <v/>
      </c>
      <c r="F163" s="74" t="str">
        <f t="shared" si="534"/>
        <v/>
      </c>
      <c r="H163" s="196"/>
      <c r="I163" s="182"/>
      <c r="J163" s="146" t="str">
        <f t="shared" si="444"/>
        <v/>
      </c>
      <c r="K163" s="39" t="str">
        <f t="shared" si="535"/>
        <v/>
      </c>
      <c r="L163" s="39" t="str">
        <f t="shared" si="536"/>
        <v/>
      </c>
      <c r="M163" s="39" t="str">
        <f t="shared" si="537"/>
        <v/>
      </c>
      <c r="N163" s="74" t="str">
        <f t="shared" si="538"/>
        <v/>
      </c>
      <c r="P163" s="176"/>
      <c r="Q163" s="130" t="str">
        <f t="shared" si="539"/>
        <v/>
      </c>
      <c r="R163" s="39" t="str">
        <f t="shared" si="540"/>
        <v/>
      </c>
      <c r="S163" s="39" t="str">
        <f t="shared" si="541"/>
        <v/>
      </c>
      <c r="T163" s="74" t="str">
        <f t="shared" si="542"/>
        <v/>
      </c>
      <c r="V163" s="176"/>
      <c r="W163" s="130" t="str">
        <f t="shared" si="543"/>
        <v/>
      </c>
      <c r="X163" s="39" t="str">
        <f t="shared" si="544"/>
        <v/>
      </c>
      <c r="Y163" s="39" t="str">
        <f t="shared" si="545"/>
        <v/>
      </c>
      <c r="Z163" s="74" t="str">
        <f t="shared" si="546"/>
        <v/>
      </c>
      <c r="AB163" s="176"/>
      <c r="AC163" s="130" t="str">
        <f t="shared" si="547"/>
        <v/>
      </c>
      <c r="AD163" s="39" t="str">
        <f t="shared" si="548"/>
        <v/>
      </c>
      <c r="AE163" s="39" t="str">
        <f t="shared" si="549"/>
        <v/>
      </c>
      <c r="AF163" s="39" t="str">
        <f t="shared" si="550"/>
        <v/>
      </c>
      <c r="AG163" s="74" t="str">
        <f t="shared" si="551"/>
        <v/>
      </c>
      <c r="AI163" s="196"/>
      <c r="AJ16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3" s="136" t="str">
        <f>IF(AJ163&lt;&gt;"",IF(AJ163=0,COUNTIF(AJ$2:AJ162,0)+1,COUNTIF(AJ$2:AJ162,AJ163)+AJ163+COUNTIF(AJ:AJ,0)),"")</f>
        <v/>
      </c>
      <c r="AL163" s="136" t="str">
        <f t="shared" si="462"/>
        <v/>
      </c>
      <c r="AM163" s="155" t="str">
        <f>IF(AND(Include_study?="Yes",Sufficient_data="Yes",Input!Study_name&lt;&gt;""),Input!Study_name,"")</f>
        <v/>
      </c>
      <c r="AN163" s="136" t="str">
        <f t="shared" si="463"/>
        <v/>
      </c>
      <c r="AO163" s="19" t="str">
        <f t="shared" si="552"/>
        <v/>
      </c>
      <c r="AP163" s="158" t="str">
        <f t="shared" si="553"/>
        <v/>
      </c>
      <c r="AQ163" s="158" t="str">
        <f t="shared" si="554"/>
        <v/>
      </c>
      <c r="AR163" s="39" t="str">
        <f t="shared" si="555"/>
        <v/>
      </c>
      <c r="AS163" s="158" t="str">
        <f t="shared" si="556"/>
        <v/>
      </c>
      <c r="AT163" s="39" t="str">
        <f t="shared" si="557"/>
        <v/>
      </c>
      <c r="AU163" s="172" t="str">
        <f t="shared" si="558"/>
        <v/>
      </c>
      <c r="AV163" s="45"/>
      <c r="AW163" s="84" t="e">
        <f t="shared" si="559"/>
        <v>#N/A</v>
      </c>
      <c r="AX163" s="69" t="e">
        <f t="shared" si="560"/>
        <v>#N/A</v>
      </c>
      <c r="AY163" s="74" t="e">
        <f t="shared" si="561"/>
        <v>#N/A</v>
      </c>
      <c r="AZ163" s="45"/>
      <c r="BA163" s="45"/>
      <c r="BB163" s="45"/>
      <c r="BC163" s="45"/>
      <c r="BD163" s="196"/>
      <c r="BE163" s="182"/>
      <c r="BF163" s="69" t="str">
        <f t="shared" si="562"/>
        <v/>
      </c>
      <c r="BG163" s="69" t="str">
        <f t="shared" si="563"/>
        <v/>
      </c>
      <c r="BH163" s="69" t="str">
        <f t="shared" si="564"/>
        <v/>
      </c>
      <c r="BI163" s="39" t="str">
        <f t="shared" si="565"/>
        <v/>
      </c>
      <c r="BJ163" s="95" t="str">
        <f t="shared" si="566"/>
        <v/>
      </c>
      <c r="BO163" s="176"/>
      <c r="BP163" s="158" t="str">
        <f t="shared" si="567"/>
        <v/>
      </c>
      <c r="BQ163" s="158" t="str">
        <f t="shared" si="568"/>
        <v/>
      </c>
      <c r="BR163" s="158" t="str">
        <f t="shared" si="569"/>
        <v/>
      </c>
      <c r="BS163" s="158" t="str">
        <f>IF(AND(Sufficient_data="Yes",Include_study?="Yes"),IF(Add_0_5="Yes",(a_+d_+1)*(ab_+0.5)*(c_+0.5)/(Number_of_subjects+2)^2,(a_+d_)*b_*c_/Number_of_subjects^2),"")</f>
        <v/>
      </c>
      <c r="BT163" s="158" t="str">
        <f t="shared" si="570"/>
        <v/>
      </c>
      <c r="BU163" s="158" t="str">
        <f t="shared" si="571"/>
        <v/>
      </c>
      <c r="BV163" s="158" t="str">
        <f t="shared" si="572"/>
        <v/>
      </c>
      <c r="BW163" s="69" t="str">
        <f t="shared" si="573"/>
        <v/>
      </c>
      <c r="BX163" s="137" t="str">
        <f t="shared" si="574"/>
        <v/>
      </c>
      <c r="BY163" s="95" t="str">
        <f t="shared" si="575"/>
        <v/>
      </c>
      <c r="CD163" s="176"/>
      <c r="CE163" s="130" t="str">
        <f t="shared" si="576"/>
        <v/>
      </c>
      <c r="CF163" s="39" t="str">
        <f t="shared" si="577"/>
        <v/>
      </c>
      <c r="CG163" s="39" t="str">
        <f t="shared" si="578"/>
        <v/>
      </c>
      <c r="CH163" s="39" t="str">
        <f t="shared" si="579"/>
        <v/>
      </c>
      <c r="CI163" s="39" t="str">
        <f t="shared" si="580"/>
        <v/>
      </c>
      <c r="CJ163" s="39" t="str">
        <f t="shared" si="486"/>
        <v/>
      </c>
      <c r="CK163" s="95" t="str">
        <f t="shared" si="581"/>
        <v/>
      </c>
      <c r="CP163" s="176"/>
      <c r="CQ163" s="99" t="str">
        <f t="shared" si="582"/>
        <v/>
      </c>
      <c r="CX163" s="196"/>
      <c r="CY163" s="89" t="e">
        <f t="shared" si="583"/>
        <v>#N/A</v>
      </c>
      <c r="CZ163" s="136" t="str">
        <f t="shared" si="584"/>
        <v/>
      </c>
      <c r="DA163" s="140" t="str">
        <f t="shared" si="585"/>
        <v/>
      </c>
      <c r="DB163" s="39" t="str">
        <f t="shared" si="586"/>
        <v/>
      </c>
      <c r="DC163" s="39" t="str">
        <f t="shared" si="587"/>
        <v/>
      </c>
      <c r="DD163" s="39" t="str">
        <f t="shared" si="588"/>
        <v/>
      </c>
      <c r="DE163" s="39" t="str">
        <f t="shared" si="589"/>
        <v/>
      </c>
      <c r="DF163" s="141" t="str">
        <f t="shared" si="590"/>
        <v/>
      </c>
      <c r="DG163" s="39" t="str">
        <f t="shared" si="591"/>
        <v/>
      </c>
      <c r="DH163" s="39" t="str">
        <f t="shared" si="592"/>
        <v/>
      </c>
      <c r="DI163" s="39" t="str">
        <f t="shared" si="593"/>
        <v/>
      </c>
      <c r="DJ163" s="74" t="str">
        <f t="shared" si="594"/>
        <v/>
      </c>
      <c r="DK163" s="45"/>
      <c r="DL163" s="84" t="e">
        <f t="shared" si="423"/>
        <v>#N/A</v>
      </c>
      <c r="DM163" s="39" t="e">
        <f t="shared" si="595"/>
        <v>#N/A</v>
      </c>
      <c r="DN163" s="74" t="e">
        <f t="shared" si="596"/>
        <v>#N/A</v>
      </c>
      <c r="DO163" s="45"/>
      <c r="DP163" s="89" t="str">
        <f t="shared" si="525"/>
        <v/>
      </c>
      <c r="DQ163" s="26" t="str">
        <f>IF(AND(Sufficient_data="Yes",Subgroup&lt;&gt;""),IF(COUNTIFS(Input!J$2:J162,"="&amp;"Yes",Input!C$2:C162,"="&amp;"Yes",Input!K$2:K162,"="&amp;Subgroup)&gt;0,"",Subgroup),"")</f>
        <v/>
      </c>
      <c r="DR163" s="7" t="str">
        <f t="shared" si="526"/>
        <v/>
      </c>
      <c r="DS163" s="7" t="str">
        <f t="shared" si="597"/>
        <v/>
      </c>
      <c r="DT163" s="19" t="str">
        <f t="shared" si="598"/>
        <v/>
      </c>
      <c r="DU163" s="12" t="str">
        <f t="shared" si="424"/>
        <v/>
      </c>
      <c r="DV163" s="11" t="str">
        <f t="shared" si="425"/>
        <v/>
      </c>
      <c r="DW163" s="12" t="str">
        <f t="shared" si="426"/>
        <v/>
      </c>
      <c r="DX163" s="12" t="str">
        <f t="shared" si="599"/>
        <v/>
      </c>
      <c r="DY163" s="19" t="str">
        <f t="shared" si="427"/>
        <v/>
      </c>
      <c r="DZ163" s="12" t="str">
        <f t="shared" si="428"/>
        <v/>
      </c>
      <c r="EA163" s="19" t="str">
        <f t="shared" si="600"/>
        <v/>
      </c>
      <c r="EB163" s="7" t="str">
        <f t="shared" si="601"/>
        <v/>
      </c>
      <c r="EC163" s="19" t="str">
        <f t="shared" si="602"/>
        <v/>
      </c>
      <c r="ED163" s="19" t="str">
        <f t="shared" si="603"/>
        <v/>
      </c>
      <c r="EE163" s="19" t="str">
        <f t="shared" si="429"/>
        <v/>
      </c>
      <c r="EF163" s="19" t="str">
        <f t="shared" si="430"/>
        <v/>
      </c>
      <c r="EG163" s="19" t="str">
        <f t="shared" si="431"/>
        <v/>
      </c>
      <c r="EH163" s="19" t="str">
        <f t="shared" si="432"/>
        <v/>
      </c>
      <c r="EI163" s="19" t="str">
        <f t="shared" si="433"/>
        <v/>
      </c>
      <c r="EJ163" s="19" t="str">
        <f t="shared" si="604"/>
        <v/>
      </c>
      <c r="EK163" s="19" t="str">
        <f t="shared" si="605"/>
        <v/>
      </c>
      <c r="EL163" s="19" t="str">
        <f t="shared" si="434"/>
        <v/>
      </c>
      <c r="EM163" s="19" t="str">
        <f t="shared" si="435"/>
        <v/>
      </c>
      <c r="EN163" s="19" t="str">
        <f t="shared" si="436"/>
        <v/>
      </c>
      <c r="EO163" s="19" t="str">
        <f t="shared" si="437"/>
        <v/>
      </c>
      <c r="EP163" s="19" t="str">
        <f t="shared" si="438"/>
        <v/>
      </c>
      <c r="EQ163" s="19" t="e">
        <f t="shared" si="439"/>
        <v>#N/A</v>
      </c>
      <c r="ER163" s="11" t="str">
        <f t="shared" si="527"/>
        <v/>
      </c>
      <c r="ES163" s="19" t="str">
        <f t="shared" si="528"/>
        <v/>
      </c>
      <c r="ET163" s="156" t="str">
        <f t="shared" si="606"/>
        <v/>
      </c>
      <c r="EU163" s="39" t="str">
        <f t="shared" si="440"/>
        <v/>
      </c>
      <c r="EV163" s="74" t="str">
        <f t="shared" si="607"/>
        <v/>
      </c>
      <c r="FA163" s="196"/>
      <c r="FB163" s="84" t="e">
        <f>IF(AND(Include_study?="Yes",Sufficient_data="Yes",Moderator&lt;&gt;""),'Moderator Analysis'!E163,NA())</f>
        <v>#N/A</v>
      </c>
      <c r="FC163" s="39" t="e">
        <f>IF(AND(Include_study?="Yes",Sufficient_data="Yes",Moderator&lt;&gt;""),'Moderator Analysis'!F163,NA())</f>
        <v>#N/A</v>
      </c>
      <c r="FD163" s="39" t="str">
        <f t="shared" si="608"/>
        <v/>
      </c>
      <c r="FE163" s="39" t="str">
        <f t="shared" si="609"/>
        <v/>
      </c>
      <c r="FF163" s="39" t="str">
        <f>IF(AND(Include_study?="Yes",Sufficient_data="Yes",Moderator&lt;&gt;""),'Moderator Analysis'!F:F-FP$2,"")</f>
        <v/>
      </c>
      <c r="FG163" s="39" t="str">
        <f>IF(AND(Include_study?="Yes",Sufficient_data="Yes",Moderator&lt;&gt;""),'Moderator Analysis'!E:E-FP$3,"")</f>
        <v/>
      </c>
      <c r="FH163" s="74" t="str">
        <f>IF(AND(Include_study?="Yes",Sufficient_data="Yes",Moderator&lt;&gt;""),FE:FE*('Moderator Analysis'!F:F-FP$5-FP$4*'Moderator Analysis'!E:E)^2,"")</f>
        <v/>
      </c>
      <c r="FI163" s="128"/>
      <c r="FJ163" s="92" t="str">
        <f t="shared" si="610"/>
        <v/>
      </c>
      <c r="FK163" s="137" t="str">
        <f>IF(AND(Include_study?="Yes",Sufficient_data="Yes",Moderator&lt;&gt;""),'Moderator Analysis'!F:F-'Moderator Analysis'!J$37,"")</f>
        <v/>
      </c>
      <c r="FL163" s="137" t="str">
        <f>IF(AND(Include_study?="Yes",Sufficient_data="Yes",Moderator&lt;&gt;""),'Moderator Analysis'!E:E-SUMPRODUCT('Moderator Analysis'!E:E,FJ:FJ)/SUM(FJ:FJ),"")</f>
        <v/>
      </c>
      <c r="FM163" s="95" t="str">
        <f>IF(AND(Include_study?="Yes",Sufficient_data="Yes",Moderator&lt;&gt;""),FJ:FJ*('Moderator Analysis'!F:F-'Moderator Analysis'!J$29-'Moderator Analysis'!J$30*'Moderator Analysis'!E:E)^2,"")</f>
        <v/>
      </c>
      <c r="FR163" s="196"/>
      <c r="FS163" s="182"/>
      <c r="FT16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3" s="39" t="str">
        <f>IF(AND(Include_study?="Yes",Sufficient_data="Yes"),1/('Publication Bias Analysis'!F:F^2+IF(Additional_model="Fixed effect",0,Calculations!GH$12)),"")</f>
        <v/>
      </c>
      <c r="FV163" s="39" t="str">
        <f>IF(AND(Include_study?="Yes",Sufficient_data="Yes"),1/('Publication Bias Analysis'!F:F^2+IF(Additional_model="Fixed effect",0,'Publication Bias Analysis'!L$32)),"")</f>
        <v/>
      </c>
      <c r="FW163" s="39" t="str">
        <f>IF(AND(Include_study?="Yes",Sufficient_data="Yes"),'Publication Bias Analysis'!E:E-'Publication Bias Analysis'!I$37,"")</f>
        <v/>
      </c>
      <c r="FX163" s="39" t="str">
        <f>IF(AND(Include_study?="Yes",Sufficient_data="Yes"),IF(Additional_model="Fixed effect",1/'Publication Bias Analysis'!F:F,1/SQRT('Publication Bias Analysis'!F:F^2+GH$12)),"")</f>
        <v/>
      </c>
      <c r="FY16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3" s="136" t="str">
        <f t="shared" si="611"/>
        <v/>
      </c>
      <c r="GA163" s="144" t="str">
        <f>IF(AND(Include_study?="Yes",Sufficient_data="Yes"),FZ:FZ+IF(GL:GL&lt;0,-1,1)*COUNTIF(FZ$2:FZ162,FZ:FZ),"")</f>
        <v/>
      </c>
      <c r="GB163" s="144" t="str">
        <f>IF(AND(Include_study?="Yes",Sufficient_data="Yes"),RANK(GP:GP,GP:GP,1)*IF(GO:GO&lt;0,-1,1)+IF(GO:GO&lt;0,-1,1)*COUNTIF(FZ$2:FZ162,FZ:FZ),"")</f>
        <v/>
      </c>
      <c r="GC163" s="144" t="str">
        <f>IF(AND(Include_study?="Yes",Sufficient_data="Yes"),RANK(GS:GS,GS:GS,1)*IF(GR:GR&lt;0,-1,1)+IF(GR:GR&lt;0,-1,1)*COUNTIF(FZ$2:FZ162,FZ:FZ),"")</f>
        <v/>
      </c>
      <c r="GD163" s="39" t="e">
        <f>IF(AND(Include_study?="Yes",Sufficient_data="Yes"),'Publication Bias Analysis'!E163,NA())</f>
        <v>#N/A</v>
      </c>
      <c r="GE163" s="74" t="e">
        <f>IF(AND(Include_study?="Yes",Sufficient_data="Yes"),'Publication Bias Analysis'!F163,NA())</f>
        <v>#N/A</v>
      </c>
      <c r="GK163" s="176"/>
      <c r="GL16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3" s="39" t="str">
        <f t="shared" si="612"/>
        <v/>
      </c>
      <c r="GN16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3" s="39" t="str">
        <f>IF(AND(Include_study?="Yes",Sufficient_data="Yes"),IF('Publication Bias Analysis'!L$38="Left",'Publication Bias Analysis'!E:E-GW$3,GW$3-'Publication Bias Analysis'!E:E),"")</f>
        <v/>
      </c>
      <c r="GP163" s="39" t="str">
        <f t="shared" si="529"/>
        <v/>
      </c>
      <c r="GQ16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3" s="39" t="str">
        <f>IF(AND(Include_study?="Yes",Sufficient_data="Yes"),IF('Publication Bias Analysis'!L$38="Left",'Publication Bias Analysis'!E:E-GW$10,GW$10-'Publication Bias Analysis'!E:E),"")</f>
        <v/>
      </c>
      <c r="GS163" s="39" t="str">
        <f t="shared" si="530"/>
        <v/>
      </c>
      <c r="GT16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3" s="176"/>
      <c r="HL163" s="69" t="str">
        <f t="shared" si="518"/>
        <v/>
      </c>
      <c r="HM163" s="74" t="str">
        <f>IF(AND(Include_study?="Yes",Sufficient_data="Yes"),Z_score-('Publication Bias Analysis'!P$3+'Publication Bias Analysis'!P$4*Inverse_standard_error),"")</f>
        <v/>
      </c>
      <c r="HO163" s="176"/>
      <c r="HP163" s="69" t="str">
        <f>IF(AND(Include_study?="Yes",Sufficient_data="Yes"),(GD:GD-SUMPRODUCT(Calculations!FT:FT,'Publication Bias Analysis'!E:E)/SUM(Calculations!FT:FT))/SQRT(Calculations!HQ:HQ),"")</f>
        <v/>
      </c>
      <c r="HQ163" s="69" t="str">
        <f>IF(AND(Include_study?="Yes",Sufficient_data="Yes"),GE:GE^2-1/SUM(Calculations!FT:FT),"")</f>
        <v/>
      </c>
      <c r="HR163" s="7" t="str">
        <f t="shared" si="441"/>
        <v/>
      </c>
      <c r="HS163" s="7" t="str">
        <f t="shared" si="442"/>
        <v/>
      </c>
      <c r="HT163" s="7" t="str">
        <f>IF(AND(Include_study?="Yes",Sufficient_data="Yes"),COUNTIFS(HR$2:HR162,"&lt;"&amp;HR163,HS$2:HS162,"&lt;"&amp;HS163)+COUNTIFS(HR164:HR$201,"&lt;"&amp;HR163,HS164:HS$201,"&lt;"&amp;HS163)+COUNTIFS(HR$2:HR162,"&gt;"&amp;HR163,HS$2:HS162,"&gt;"&amp;HS163)+COUNTIFS(HR164:HR$201,"&gt;"&amp;HR163,HS164:HS$201,"&gt;"&amp;HS163),"")</f>
        <v/>
      </c>
      <c r="HU163" s="104" t="str">
        <f>IF(AND(Include_study?="Yes",Sufficient_data="Yes"),COUNTIFS(HR$2:HR162,"&lt;"&amp;HR163,HS$2:HS162,"&gt;"&amp;HS163)+COUNTIFS(HR164:HR$201,"&lt;"&amp;HR163,HS164:HS$201,"&gt;"&amp;HS163)+COUNTIFS(HR$2:HR162,"&gt;"&amp;HR163,HS$2:HS162,"&lt;"&amp;HS163)+COUNTIFS(HR164:HR$201,"&gt;"&amp;HR163,HS164:HS$201,"&lt;"&amp;HS163),"")</f>
        <v/>
      </c>
      <c r="HW163" s="176"/>
      <c r="IB163" s="176"/>
      <c r="IC163" s="146" t="e">
        <f t="shared" si="613"/>
        <v>#N/A</v>
      </c>
      <c r="ID163" s="137" t="e">
        <f t="shared" si="614"/>
        <v>#N/A</v>
      </c>
      <c r="IE163" s="137" t="str">
        <f t="shared" si="615"/>
        <v/>
      </c>
      <c r="IF163" s="95" t="str">
        <f t="shared" si="616"/>
        <v/>
      </c>
      <c r="IK163" s="176"/>
      <c r="IL163" s="69" t="e">
        <f>IF(AND(Include_study?="Yes",Sufficient_data="Yes"),'Publication Bias Analysis'!AV:AV,NA())</f>
        <v>#N/A</v>
      </c>
      <c r="IM163" s="158" t="e">
        <f>IF(AND(Sufficient_data="Yes",Include_study?="Yes"),'Publication Bias Analysis'!AU:AU,NA())</f>
        <v>#N/A</v>
      </c>
      <c r="IN163" s="69" t="str">
        <f t="shared" si="617"/>
        <v/>
      </c>
      <c r="IO163" s="74" t="str">
        <f>IF(AND(Include_study?="Yes",Sufficient_data="Yes"),Z_score-('Publication Bias Analysis'!AY$30+'Publication Bias Analysis'!AY$31*Inverse_standard_error),"")</f>
        <v/>
      </c>
      <c r="IU163" s="176"/>
      <c r="IV163" s="7" t="str">
        <f>IF('Publication Bias Analysis'!BG:BG&lt;&gt;"",RANK('Publication Bias Analysis'!BG:BG,'Publication Bias Analysis'!BG:BG,1)+COUNTIF('Publication Bias Analysis'!BG$2:BG162,'Publication Bias Analysis'!BG163),"")</f>
        <v/>
      </c>
      <c r="IW163" s="124" t="str">
        <f t="shared" si="618"/>
        <v/>
      </c>
      <c r="IX163" s="125" t="e">
        <f>IF('Publication Bias Analysis'!BF163&lt;&gt;"",'Publication Bias Analysis'!BF163,NA())</f>
        <v>#N/A</v>
      </c>
      <c r="IY163" s="125" t="e">
        <f>IF('Publication Bias Analysis'!BG163&lt;&gt;"",'Publication Bias Analysis'!BG163,NA())</f>
        <v>#N/A</v>
      </c>
      <c r="IZ163" s="69" t="str">
        <f>IF(AND(Include_study?="Yes",Sufficient_data="Yes"),'Publication Bias Analysis'!BF:BF-AVERAGE('Publication Bias Analysis'!BF:BF),"")</f>
        <v/>
      </c>
      <c r="JA163" s="74" t="str">
        <f>IF(AND(Include_study?="Yes",Sufficient_data="Yes"),'Publication Bias Analysis'!BG:BG-('Publication Bias Analysis'!BJ$30+'Publication Bias Analysis'!BJ$31*'Publication Bias Analysis'!BF:BF),"")</f>
        <v/>
      </c>
      <c r="JG163" s="176"/>
      <c r="JH163" s="39" t="str">
        <f t="shared" si="619"/>
        <v/>
      </c>
      <c r="JI163" s="148" t="str">
        <f t="shared" si="531"/>
        <v/>
      </c>
      <c r="JJ163" s="74" t="str">
        <f t="shared" si="532"/>
        <v/>
      </c>
    </row>
    <row r="164" spans="1:270" x14ac:dyDescent="0.2">
      <c r="A164" s="56" t="str">
        <f t="shared" si="533"/>
        <v/>
      </c>
      <c r="B164" s="7" t="str">
        <f>IF(AND(Include_study?="Yes",Sufficient_data="Yes"),IF(Input!a_&lt;&gt;"",Input!a_,Input!n1_-Input!b_),"")</f>
        <v/>
      </c>
      <c r="C164" s="7" t="str">
        <f>IF(AND(Include_study?="Yes",Sufficient_data="Yes"),IF(Input!b_&lt;&gt;"",Input!b_,Input!n1_-Input!a_),"")</f>
        <v/>
      </c>
      <c r="D164" s="7" t="str">
        <f>IF(AND(Include_study?="Yes",Sufficient_data="Yes"),IF(Input!c_&lt;&gt;"",Input!c_,Input!n2_-Input!d_),"")</f>
        <v/>
      </c>
      <c r="E164" s="7" t="str">
        <f>IF(AND(Include_study?="Yes",Sufficient_data="Yes"),IF(Input!d_&lt;&gt;"",Input!d_,Input!n2_-Input!c_),"")</f>
        <v/>
      </c>
      <c r="F164" s="74" t="str">
        <f t="shared" si="534"/>
        <v/>
      </c>
      <c r="H164" s="196"/>
      <c r="I164" s="182"/>
      <c r="J164" s="146" t="str">
        <f t="shared" si="444"/>
        <v/>
      </c>
      <c r="K164" s="39" t="str">
        <f t="shared" si="535"/>
        <v/>
      </c>
      <c r="L164" s="39" t="str">
        <f t="shared" si="536"/>
        <v/>
      </c>
      <c r="M164" s="39" t="str">
        <f t="shared" si="537"/>
        <v/>
      </c>
      <c r="N164" s="74" t="str">
        <f t="shared" si="538"/>
        <v/>
      </c>
      <c r="P164" s="176"/>
      <c r="Q164" s="130" t="str">
        <f t="shared" si="539"/>
        <v/>
      </c>
      <c r="R164" s="39" t="str">
        <f t="shared" si="540"/>
        <v/>
      </c>
      <c r="S164" s="39" t="str">
        <f t="shared" si="541"/>
        <v/>
      </c>
      <c r="T164" s="74" t="str">
        <f t="shared" si="542"/>
        <v/>
      </c>
      <c r="V164" s="176"/>
      <c r="W164" s="130" t="str">
        <f t="shared" si="543"/>
        <v/>
      </c>
      <c r="X164" s="39" t="str">
        <f t="shared" si="544"/>
        <v/>
      </c>
      <c r="Y164" s="39" t="str">
        <f t="shared" si="545"/>
        <v/>
      </c>
      <c r="Z164" s="74" t="str">
        <f t="shared" si="546"/>
        <v/>
      </c>
      <c r="AB164" s="176"/>
      <c r="AC164" s="130" t="str">
        <f t="shared" si="547"/>
        <v/>
      </c>
      <c r="AD164" s="39" t="str">
        <f t="shared" si="548"/>
        <v/>
      </c>
      <c r="AE164" s="39" t="str">
        <f t="shared" si="549"/>
        <v/>
      </c>
      <c r="AF164" s="39" t="str">
        <f t="shared" si="550"/>
        <v/>
      </c>
      <c r="AG164" s="74" t="str">
        <f t="shared" si="551"/>
        <v/>
      </c>
      <c r="AI164" s="196"/>
      <c r="AJ16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4" s="136" t="str">
        <f>IF(AJ164&lt;&gt;"",IF(AJ164=0,COUNTIF(AJ$2:AJ163,0)+1,COUNTIF(AJ$2:AJ163,AJ164)+AJ164+COUNTIF(AJ:AJ,0)),"")</f>
        <v/>
      </c>
      <c r="AL164" s="136" t="str">
        <f t="shared" si="462"/>
        <v/>
      </c>
      <c r="AM164" s="155" t="str">
        <f>IF(AND(Include_study?="Yes",Sufficient_data="Yes",Input!Study_name&lt;&gt;""),Input!Study_name,"")</f>
        <v/>
      </c>
      <c r="AN164" s="136" t="str">
        <f t="shared" si="463"/>
        <v/>
      </c>
      <c r="AO164" s="19" t="str">
        <f t="shared" si="552"/>
        <v/>
      </c>
      <c r="AP164" s="158" t="str">
        <f t="shared" si="553"/>
        <v/>
      </c>
      <c r="AQ164" s="158" t="str">
        <f t="shared" si="554"/>
        <v/>
      </c>
      <c r="AR164" s="39" t="str">
        <f t="shared" si="555"/>
        <v/>
      </c>
      <c r="AS164" s="158" t="str">
        <f t="shared" si="556"/>
        <v/>
      </c>
      <c r="AT164" s="39" t="str">
        <f t="shared" si="557"/>
        <v/>
      </c>
      <c r="AU164" s="172" t="str">
        <f t="shared" si="558"/>
        <v/>
      </c>
      <c r="AV164" s="45"/>
      <c r="AW164" s="84" t="e">
        <f t="shared" si="559"/>
        <v>#N/A</v>
      </c>
      <c r="AX164" s="69" t="e">
        <f t="shared" si="560"/>
        <v>#N/A</v>
      </c>
      <c r="AY164" s="74" t="e">
        <f t="shared" si="561"/>
        <v>#N/A</v>
      </c>
      <c r="AZ164" s="45"/>
      <c r="BA164" s="45"/>
      <c r="BB164" s="45"/>
      <c r="BC164" s="45"/>
      <c r="BD164" s="196"/>
      <c r="BE164" s="182"/>
      <c r="BF164" s="69" t="str">
        <f t="shared" si="562"/>
        <v/>
      </c>
      <c r="BG164" s="69" t="str">
        <f t="shared" si="563"/>
        <v/>
      </c>
      <c r="BH164" s="69" t="str">
        <f t="shared" si="564"/>
        <v/>
      </c>
      <c r="BI164" s="39" t="str">
        <f t="shared" si="565"/>
        <v/>
      </c>
      <c r="BJ164" s="95" t="str">
        <f t="shared" si="566"/>
        <v/>
      </c>
      <c r="BO164" s="176"/>
      <c r="BP164" s="158" t="str">
        <f t="shared" si="567"/>
        <v/>
      </c>
      <c r="BQ164" s="158" t="str">
        <f t="shared" si="568"/>
        <v/>
      </c>
      <c r="BR164" s="158" t="str">
        <f t="shared" si="569"/>
        <v/>
      </c>
      <c r="BS164" s="158" t="str">
        <f>IF(AND(Sufficient_data="Yes",Include_study?="Yes"),IF(Add_0_5="Yes",(a_+d_+1)*(ab_+0.5)*(c_+0.5)/(Number_of_subjects+2)^2,(a_+d_)*b_*c_/Number_of_subjects^2),"")</f>
        <v/>
      </c>
      <c r="BT164" s="158" t="str">
        <f t="shared" si="570"/>
        <v/>
      </c>
      <c r="BU164" s="158" t="str">
        <f t="shared" si="571"/>
        <v/>
      </c>
      <c r="BV164" s="158" t="str">
        <f t="shared" si="572"/>
        <v/>
      </c>
      <c r="BW164" s="69" t="str">
        <f t="shared" si="573"/>
        <v/>
      </c>
      <c r="BX164" s="137" t="str">
        <f t="shared" si="574"/>
        <v/>
      </c>
      <c r="BY164" s="95" t="str">
        <f t="shared" si="575"/>
        <v/>
      </c>
      <c r="CD164" s="176"/>
      <c r="CE164" s="130" t="str">
        <f t="shared" si="576"/>
        <v/>
      </c>
      <c r="CF164" s="39" t="str">
        <f t="shared" si="577"/>
        <v/>
      </c>
      <c r="CG164" s="39" t="str">
        <f t="shared" si="578"/>
        <v/>
      </c>
      <c r="CH164" s="39" t="str">
        <f t="shared" si="579"/>
        <v/>
      </c>
      <c r="CI164" s="39" t="str">
        <f t="shared" si="580"/>
        <v/>
      </c>
      <c r="CJ164" s="39" t="str">
        <f t="shared" si="486"/>
        <v/>
      </c>
      <c r="CK164" s="95" t="str">
        <f t="shared" si="581"/>
        <v/>
      </c>
      <c r="CP164" s="176"/>
      <c r="CQ164" s="99" t="str">
        <f t="shared" si="582"/>
        <v/>
      </c>
      <c r="CX164" s="196"/>
      <c r="CY164" s="89" t="e">
        <f t="shared" si="583"/>
        <v>#N/A</v>
      </c>
      <c r="CZ164" s="136" t="str">
        <f t="shared" si="584"/>
        <v/>
      </c>
      <c r="DA164" s="140" t="str">
        <f t="shared" si="585"/>
        <v/>
      </c>
      <c r="DB164" s="39" t="str">
        <f t="shared" si="586"/>
        <v/>
      </c>
      <c r="DC164" s="39" t="str">
        <f t="shared" si="587"/>
        <v/>
      </c>
      <c r="DD164" s="39" t="str">
        <f t="shared" si="588"/>
        <v/>
      </c>
      <c r="DE164" s="39" t="str">
        <f t="shared" si="589"/>
        <v/>
      </c>
      <c r="DF164" s="141" t="str">
        <f t="shared" si="590"/>
        <v/>
      </c>
      <c r="DG164" s="39" t="str">
        <f t="shared" si="591"/>
        <v/>
      </c>
      <c r="DH164" s="39" t="str">
        <f t="shared" si="592"/>
        <v/>
      </c>
      <c r="DI164" s="39" t="str">
        <f t="shared" si="593"/>
        <v/>
      </c>
      <c r="DJ164" s="74" t="str">
        <f t="shared" si="594"/>
        <v/>
      </c>
      <c r="DK164" s="45"/>
      <c r="DL164" s="84" t="e">
        <f t="shared" si="423"/>
        <v>#N/A</v>
      </c>
      <c r="DM164" s="39" t="e">
        <f t="shared" si="595"/>
        <v>#N/A</v>
      </c>
      <c r="DN164" s="74" t="e">
        <f t="shared" si="596"/>
        <v>#N/A</v>
      </c>
      <c r="DO164" s="45"/>
      <c r="DP164" s="89" t="str">
        <f t="shared" si="525"/>
        <v/>
      </c>
      <c r="DQ164" s="26" t="str">
        <f>IF(AND(Sufficient_data="Yes",Subgroup&lt;&gt;""),IF(COUNTIFS(Input!J$2:J163,"="&amp;"Yes",Input!C$2:C163,"="&amp;"Yes",Input!K$2:K163,"="&amp;Subgroup)&gt;0,"",Subgroup),"")</f>
        <v/>
      </c>
      <c r="DR164" s="7" t="str">
        <f t="shared" si="526"/>
        <v/>
      </c>
      <c r="DS164" s="7" t="str">
        <f t="shared" si="597"/>
        <v/>
      </c>
      <c r="DT164" s="19" t="str">
        <f t="shared" si="598"/>
        <v/>
      </c>
      <c r="DU164" s="12" t="str">
        <f t="shared" si="424"/>
        <v/>
      </c>
      <c r="DV164" s="11" t="str">
        <f t="shared" si="425"/>
        <v/>
      </c>
      <c r="DW164" s="12" t="str">
        <f t="shared" si="426"/>
        <v/>
      </c>
      <c r="DX164" s="12" t="str">
        <f t="shared" si="599"/>
        <v/>
      </c>
      <c r="DY164" s="19" t="str">
        <f t="shared" si="427"/>
        <v/>
      </c>
      <c r="DZ164" s="12" t="str">
        <f t="shared" si="428"/>
        <v/>
      </c>
      <c r="EA164" s="19" t="str">
        <f t="shared" si="600"/>
        <v/>
      </c>
      <c r="EB164" s="7" t="str">
        <f t="shared" si="601"/>
        <v/>
      </c>
      <c r="EC164" s="19" t="str">
        <f t="shared" si="602"/>
        <v/>
      </c>
      <c r="ED164" s="19" t="str">
        <f t="shared" si="603"/>
        <v/>
      </c>
      <c r="EE164" s="19" t="str">
        <f t="shared" si="429"/>
        <v/>
      </c>
      <c r="EF164" s="19" t="str">
        <f t="shared" si="430"/>
        <v/>
      </c>
      <c r="EG164" s="19" t="str">
        <f t="shared" si="431"/>
        <v/>
      </c>
      <c r="EH164" s="19" t="str">
        <f t="shared" si="432"/>
        <v/>
      </c>
      <c r="EI164" s="19" t="str">
        <f t="shared" si="433"/>
        <v/>
      </c>
      <c r="EJ164" s="19" t="str">
        <f t="shared" si="604"/>
        <v/>
      </c>
      <c r="EK164" s="19" t="str">
        <f t="shared" si="605"/>
        <v/>
      </c>
      <c r="EL164" s="19" t="str">
        <f t="shared" si="434"/>
        <v/>
      </c>
      <c r="EM164" s="19" t="str">
        <f t="shared" si="435"/>
        <v/>
      </c>
      <c r="EN164" s="19" t="str">
        <f t="shared" si="436"/>
        <v/>
      </c>
      <c r="EO164" s="19" t="str">
        <f t="shared" si="437"/>
        <v/>
      </c>
      <c r="EP164" s="19" t="str">
        <f t="shared" si="438"/>
        <v/>
      </c>
      <c r="EQ164" s="19" t="e">
        <f t="shared" si="439"/>
        <v>#N/A</v>
      </c>
      <c r="ER164" s="11" t="str">
        <f t="shared" si="527"/>
        <v/>
      </c>
      <c r="ES164" s="19" t="str">
        <f t="shared" si="528"/>
        <v/>
      </c>
      <c r="ET164" s="156" t="str">
        <f t="shared" si="606"/>
        <v/>
      </c>
      <c r="EU164" s="39" t="str">
        <f t="shared" si="440"/>
        <v/>
      </c>
      <c r="EV164" s="74" t="str">
        <f t="shared" si="607"/>
        <v/>
      </c>
      <c r="FA164" s="196"/>
      <c r="FB164" s="84" t="e">
        <f>IF(AND(Include_study?="Yes",Sufficient_data="Yes",Moderator&lt;&gt;""),'Moderator Analysis'!E164,NA())</f>
        <v>#N/A</v>
      </c>
      <c r="FC164" s="39" t="e">
        <f>IF(AND(Include_study?="Yes",Sufficient_data="Yes",Moderator&lt;&gt;""),'Moderator Analysis'!F164,NA())</f>
        <v>#N/A</v>
      </c>
      <c r="FD164" s="39" t="str">
        <f t="shared" si="608"/>
        <v/>
      </c>
      <c r="FE164" s="39" t="str">
        <f t="shared" si="609"/>
        <v/>
      </c>
      <c r="FF164" s="39" t="str">
        <f>IF(AND(Include_study?="Yes",Sufficient_data="Yes",Moderator&lt;&gt;""),'Moderator Analysis'!F:F-FP$2,"")</f>
        <v/>
      </c>
      <c r="FG164" s="39" t="str">
        <f>IF(AND(Include_study?="Yes",Sufficient_data="Yes",Moderator&lt;&gt;""),'Moderator Analysis'!E:E-FP$3,"")</f>
        <v/>
      </c>
      <c r="FH164" s="74" t="str">
        <f>IF(AND(Include_study?="Yes",Sufficient_data="Yes",Moderator&lt;&gt;""),FE:FE*('Moderator Analysis'!F:F-FP$5-FP$4*'Moderator Analysis'!E:E)^2,"")</f>
        <v/>
      </c>
      <c r="FI164" s="128"/>
      <c r="FJ164" s="92" t="str">
        <f t="shared" si="610"/>
        <v/>
      </c>
      <c r="FK164" s="137" t="str">
        <f>IF(AND(Include_study?="Yes",Sufficient_data="Yes",Moderator&lt;&gt;""),'Moderator Analysis'!F:F-'Moderator Analysis'!J$37,"")</f>
        <v/>
      </c>
      <c r="FL164" s="137" t="str">
        <f>IF(AND(Include_study?="Yes",Sufficient_data="Yes",Moderator&lt;&gt;""),'Moderator Analysis'!E:E-SUMPRODUCT('Moderator Analysis'!E:E,FJ:FJ)/SUM(FJ:FJ),"")</f>
        <v/>
      </c>
      <c r="FM164" s="95" t="str">
        <f>IF(AND(Include_study?="Yes",Sufficient_data="Yes",Moderator&lt;&gt;""),FJ:FJ*('Moderator Analysis'!F:F-'Moderator Analysis'!J$29-'Moderator Analysis'!J$30*'Moderator Analysis'!E:E)^2,"")</f>
        <v/>
      </c>
      <c r="FR164" s="196"/>
      <c r="FS164" s="182"/>
      <c r="FT16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4" s="39" t="str">
        <f>IF(AND(Include_study?="Yes",Sufficient_data="Yes"),1/('Publication Bias Analysis'!F:F^2+IF(Additional_model="Fixed effect",0,Calculations!GH$12)),"")</f>
        <v/>
      </c>
      <c r="FV164" s="39" t="str">
        <f>IF(AND(Include_study?="Yes",Sufficient_data="Yes"),1/('Publication Bias Analysis'!F:F^2+IF(Additional_model="Fixed effect",0,'Publication Bias Analysis'!L$32)),"")</f>
        <v/>
      </c>
      <c r="FW164" s="39" t="str">
        <f>IF(AND(Include_study?="Yes",Sufficient_data="Yes"),'Publication Bias Analysis'!E:E-'Publication Bias Analysis'!I$37,"")</f>
        <v/>
      </c>
      <c r="FX164" s="39" t="str">
        <f>IF(AND(Include_study?="Yes",Sufficient_data="Yes"),IF(Additional_model="Fixed effect",1/'Publication Bias Analysis'!F:F,1/SQRT('Publication Bias Analysis'!F:F^2+GH$12)),"")</f>
        <v/>
      </c>
      <c r="FY16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4" s="136" t="str">
        <f t="shared" si="611"/>
        <v/>
      </c>
      <c r="GA164" s="144" t="str">
        <f>IF(AND(Include_study?="Yes",Sufficient_data="Yes"),FZ:FZ+IF(GL:GL&lt;0,-1,1)*COUNTIF(FZ$2:FZ163,FZ:FZ),"")</f>
        <v/>
      </c>
      <c r="GB164" s="144" t="str">
        <f>IF(AND(Include_study?="Yes",Sufficient_data="Yes"),RANK(GP:GP,GP:GP,1)*IF(GO:GO&lt;0,-1,1)+IF(GO:GO&lt;0,-1,1)*COUNTIF(FZ$2:FZ163,FZ:FZ),"")</f>
        <v/>
      </c>
      <c r="GC164" s="144" t="str">
        <f>IF(AND(Include_study?="Yes",Sufficient_data="Yes"),RANK(GS:GS,GS:GS,1)*IF(GR:GR&lt;0,-1,1)+IF(GR:GR&lt;0,-1,1)*COUNTIF(FZ$2:FZ163,FZ:FZ),"")</f>
        <v/>
      </c>
      <c r="GD164" s="39" t="e">
        <f>IF(AND(Include_study?="Yes",Sufficient_data="Yes"),'Publication Bias Analysis'!E164,NA())</f>
        <v>#N/A</v>
      </c>
      <c r="GE164" s="74" t="e">
        <f>IF(AND(Include_study?="Yes",Sufficient_data="Yes"),'Publication Bias Analysis'!F164,NA())</f>
        <v>#N/A</v>
      </c>
      <c r="GK164" s="176"/>
      <c r="GL16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4" s="39" t="str">
        <f t="shared" si="612"/>
        <v/>
      </c>
      <c r="GN16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4" s="39" t="str">
        <f>IF(AND(Include_study?="Yes",Sufficient_data="Yes"),IF('Publication Bias Analysis'!L$38="Left",'Publication Bias Analysis'!E:E-GW$3,GW$3-'Publication Bias Analysis'!E:E),"")</f>
        <v/>
      </c>
      <c r="GP164" s="39" t="str">
        <f t="shared" si="529"/>
        <v/>
      </c>
      <c r="GQ16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4" s="39" t="str">
        <f>IF(AND(Include_study?="Yes",Sufficient_data="Yes"),IF('Publication Bias Analysis'!L$38="Left",'Publication Bias Analysis'!E:E-GW$10,GW$10-'Publication Bias Analysis'!E:E),"")</f>
        <v/>
      </c>
      <c r="GS164" s="39" t="str">
        <f t="shared" si="530"/>
        <v/>
      </c>
      <c r="GT16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4" s="176"/>
      <c r="HL164" s="69" t="str">
        <f t="shared" si="518"/>
        <v/>
      </c>
      <c r="HM164" s="74" t="str">
        <f>IF(AND(Include_study?="Yes",Sufficient_data="Yes"),Z_score-('Publication Bias Analysis'!P$3+'Publication Bias Analysis'!P$4*Inverse_standard_error),"")</f>
        <v/>
      </c>
      <c r="HO164" s="176"/>
      <c r="HP164" s="69" t="str">
        <f>IF(AND(Include_study?="Yes",Sufficient_data="Yes"),(GD:GD-SUMPRODUCT(Calculations!FT:FT,'Publication Bias Analysis'!E:E)/SUM(Calculations!FT:FT))/SQRT(Calculations!HQ:HQ),"")</f>
        <v/>
      </c>
      <c r="HQ164" s="69" t="str">
        <f>IF(AND(Include_study?="Yes",Sufficient_data="Yes"),GE:GE^2-1/SUM(Calculations!FT:FT),"")</f>
        <v/>
      </c>
      <c r="HR164" s="7" t="str">
        <f t="shared" si="441"/>
        <v/>
      </c>
      <c r="HS164" s="7" t="str">
        <f t="shared" si="442"/>
        <v/>
      </c>
      <c r="HT164" s="7" t="str">
        <f>IF(AND(Include_study?="Yes",Sufficient_data="Yes"),COUNTIFS(HR$2:HR163,"&lt;"&amp;HR164,HS$2:HS163,"&lt;"&amp;HS164)+COUNTIFS(HR165:HR$201,"&lt;"&amp;HR164,HS165:HS$201,"&lt;"&amp;HS164)+COUNTIFS(HR$2:HR163,"&gt;"&amp;HR164,HS$2:HS163,"&gt;"&amp;HS164)+COUNTIFS(HR165:HR$201,"&gt;"&amp;HR164,HS165:HS$201,"&gt;"&amp;HS164),"")</f>
        <v/>
      </c>
      <c r="HU164" s="104" t="str">
        <f>IF(AND(Include_study?="Yes",Sufficient_data="Yes"),COUNTIFS(HR$2:HR163,"&lt;"&amp;HR164,HS$2:HS163,"&gt;"&amp;HS164)+COUNTIFS(HR165:HR$201,"&lt;"&amp;HR164,HS165:HS$201,"&gt;"&amp;HS164)+COUNTIFS(HR$2:HR163,"&gt;"&amp;HR164,HS$2:HS163,"&lt;"&amp;HS164)+COUNTIFS(HR165:HR$201,"&gt;"&amp;HR164,HS165:HS$201,"&lt;"&amp;HS164),"")</f>
        <v/>
      </c>
      <c r="HW164" s="176"/>
      <c r="IB164" s="176"/>
      <c r="IC164" s="146" t="e">
        <f t="shared" si="613"/>
        <v>#N/A</v>
      </c>
      <c r="ID164" s="137" t="e">
        <f t="shared" si="614"/>
        <v>#N/A</v>
      </c>
      <c r="IE164" s="137" t="str">
        <f t="shared" si="615"/>
        <v/>
      </c>
      <c r="IF164" s="95" t="str">
        <f t="shared" si="616"/>
        <v/>
      </c>
      <c r="IK164" s="176"/>
      <c r="IL164" s="69" t="e">
        <f>IF(AND(Include_study?="Yes",Sufficient_data="Yes"),'Publication Bias Analysis'!AV:AV,NA())</f>
        <v>#N/A</v>
      </c>
      <c r="IM164" s="158" t="e">
        <f>IF(AND(Sufficient_data="Yes",Include_study?="Yes"),'Publication Bias Analysis'!AU:AU,NA())</f>
        <v>#N/A</v>
      </c>
      <c r="IN164" s="69" t="str">
        <f t="shared" si="617"/>
        <v/>
      </c>
      <c r="IO164" s="74" t="str">
        <f>IF(AND(Include_study?="Yes",Sufficient_data="Yes"),Z_score-('Publication Bias Analysis'!AY$30+'Publication Bias Analysis'!AY$31*Inverse_standard_error),"")</f>
        <v/>
      </c>
      <c r="IU164" s="176"/>
      <c r="IV164" s="7" t="str">
        <f>IF('Publication Bias Analysis'!BG:BG&lt;&gt;"",RANK('Publication Bias Analysis'!BG:BG,'Publication Bias Analysis'!BG:BG,1)+COUNTIF('Publication Bias Analysis'!BG$2:BG163,'Publication Bias Analysis'!BG164),"")</f>
        <v/>
      </c>
      <c r="IW164" s="124" t="str">
        <f t="shared" si="618"/>
        <v/>
      </c>
      <c r="IX164" s="125" t="e">
        <f>IF('Publication Bias Analysis'!BF164&lt;&gt;"",'Publication Bias Analysis'!BF164,NA())</f>
        <v>#N/A</v>
      </c>
      <c r="IY164" s="125" t="e">
        <f>IF('Publication Bias Analysis'!BG164&lt;&gt;"",'Publication Bias Analysis'!BG164,NA())</f>
        <v>#N/A</v>
      </c>
      <c r="IZ164" s="69" t="str">
        <f>IF(AND(Include_study?="Yes",Sufficient_data="Yes"),'Publication Bias Analysis'!BF:BF-AVERAGE('Publication Bias Analysis'!BF:BF),"")</f>
        <v/>
      </c>
      <c r="JA164" s="74" t="str">
        <f>IF(AND(Include_study?="Yes",Sufficient_data="Yes"),'Publication Bias Analysis'!BG:BG-('Publication Bias Analysis'!BJ$30+'Publication Bias Analysis'!BJ$31*'Publication Bias Analysis'!BF:BF),"")</f>
        <v/>
      </c>
      <c r="JG164" s="176"/>
      <c r="JH164" s="39" t="str">
        <f t="shared" si="619"/>
        <v/>
      </c>
      <c r="JI164" s="148" t="str">
        <f t="shared" si="531"/>
        <v/>
      </c>
      <c r="JJ164" s="74" t="str">
        <f t="shared" si="532"/>
        <v/>
      </c>
    </row>
    <row r="165" spans="1:270" x14ac:dyDescent="0.2">
      <c r="A165" s="56" t="str">
        <f t="shared" si="533"/>
        <v/>
      </c>
      <c r="B165" s="7" t="str">
        <f>IF(AND(Include_study?="Yes",Sufficient_data="Yes"),IF(Input!a_&lt;&gt;"",Input!a_,Input!n1_-Input!b_),"")</f>
        <v/>
      </c>
      <c r="C165" s="7" t="str">
        <f>IF(AND(Include_study?="Yes",Sufficient_data="Yes"),IF(Input!b_&lt;&gt;"",Input!b_,Input!n1_-Input!a_),"")</f>
        <v/>
      </c>
      <c r="D165" s="7" t="str">
        <f>IF(AND(Include_study?="Yes",Sufficient_data="Yes"),IF(Input!c_&lt;&gt;"",Input!c_,Input!n2_-Input!d_),"")</f>
        <v/>
      </c>
      <c r="E165" s="7" t="str">
        <f>IF(AND(Include_study?="Yes",Sufficient_data="Yes"),IF(Input!d_&lt;&gt;"",Input!d_,Input!n2_-Input!c_),"")</f>
        <v/>
      </c>
      <c r="F165" s="74" t="str">
        <f t="shared" si="534"/>
        <v/>
      </c>
      <c r="H165" s="196"/>
      <c r="I165" s="182"/>
      <c r="J165" s="146" t="str">
        <f t="shared" si="444"/>
        <v/>
      </c>
      <c r="K165" s="39" t="str">
        <f t="shared" si="535"/>
        <v/>
      </c>
      <c r="L165" s="39" t="str">
        <f t="shared" si="536"/>
        <v/>
      </c>
      <c r="M165" s="39" t="str">
        <f t="shared" si="537"/>
        <v/>
      </c>
      <c r="N165" s="74" t="str">
        <f t="shared" si="538"/>
        <v/>
      </c>
      <c r="P165" s="176"/>
      <c r="Q165" s="130" t="str">
        <f t="shared" si="539"/>
        <v/>
      </c>
      <c r="R165" s="39" t="str">
        <f t="shared" si="540"/>
        <v/>
      </c>
      <c r="S165" s="39" t="str">
        <f t="shared" si="541"/>
        <v/>
      </c>
      <c r="T165" s="74" t="str">
        <f t="shared" si="542"/>
        <v/>
      </c>
      <c r="V165" s="176"/>
      <c r="W165" s="130" t="str">
        <f t="shared" si="543"/>
        <v/>
      </c>
      <c r="X165" s="39" t="str">
        <f t="shared" si="544"/>
        <v/>
      </c>
      <c r="Y165" s="39" t="str">
        <f t="shared" si="545"/>
        <v/>
      </c>
      <c r="Z165" s="74" t="str">
        <f t="shared" si="546"/>
        <v/>
      </c>
      <c r="AB165" s="176"/>
      <c r="AC165" s="130" t="str">
        <f t="shared" si="547"/>
        <v/>
      </c>
      <c r="AD165" s="39" t="str">
        <f t="shared" si="548"/>
        <v/>
      </c>
      <c r="AE165" s="39" t="str">
        <f t="shared" si="549"/>
        <v/>
      </c>
      <c r="AF165" s="39" t="str">
        <f t="shared" si="550"/>
        <v/>
      </c>
      <c r="AG165" s="74" t="str">
        <f t="shared" si="551"/>
        <v/>
      </c>
      <c r="AI165" s="196"/>
      <c r="AJ16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5" s="136" t="str">
        <f>IF(AJ165&lt;&gt;"",IF(AJ165=0,COUNTIF(AJ$2:AJ164,0)+1,COUNTIF(AJ$2:AJ164,AJ165)+AJ165+COUNTIF(AJ:AJ,0)),"")</f>
        <v/>
      </c>
      <c r="AL165" s="136" t="str">
        <f t="shared" si="462"/>
        <v/>
      </c>
      <c r="AM165" s="155" t="str">
        <f>IF(AND(Include_study?="Yes",Sufficient_data="Yes",Input!Study_name&lt;&gt;""),Input!Study_name,"")</f>
        <v/>
      </c>
      <c r="AN165" s="136" t="str">
        <f t="shared" si="463"/>
        <v/>
      </c>
      <c r="AO165" s="19" t="str">
        <f t="shared" si="552"/>
        <v/>
      </c>
      <c r="AP165" s="158" t="str">
        <f t="shared" si="553"/>
        <v/>
      </c>
      <c r="AQ165" s="158" t="str">
        <f t="shared" si="554"/>
        <v/>
      </c>
      <c r="AR165" s="39" t="str">
        <f t="shared" si="555"/>
        <v/>
      </c>
      <c r="AS165" s="158" t="str">
        <f t="shared" si="556"/>
        <v/>
      </c>
      <c r="AT165" s="39" t="str">
        <f t="shared" si="557"/>
        <v/>
      </c>
      <c r="AU165" s="172" t="str">
        <f t="shared" si="558"/>
        <v/>
      </c>
      <c r="AV165" s="45"/>
      <c r="AW165" s="84" t="e">
        <f t="shared" si="559"/>
        <v>#N/A</v>
      </c>
      <c r="AX165" s="69" t="e">
        <f t="shared" si="560"/>
        <v>#N/A</v>
      </c>
      <c r="AY165" s="74" t="e">
        <f t="shared" si="561"/>
        <v>#N/A</v>
      </c>
      <c r="AZ165" s="45"/>
      <c r="BA165" s="45"/>
      <c r="BB165" s="45"/>
      <c r="BC165" s="45"/>
      <c r="BD165" s="196"/>
      <c r="BE165" s="182"/>
      <c r="BF165" s="69" t="str">
        <f t="shared" si="562"/>
        <v/>
      </c>
      <c r="BG165" s="69" t="str">
        <f t="shared" si="563"/>
        <v/>
      </c>
      <c r="BH165" s="69" t="str">
        <f t="shared" si="564"/>
        <v/>
      </c>
      <c r="BI165" s="39" t="str">
        <f t="shared" si="565"/>
        <v/>
      </c>
      <c r="BJ165" s="95" t="str">
        <f t="shared" si="566"/>
        <v/>
      </c>
      <c r="BO165" s="176"/>
      <c r="BP165" s="158" t="str">
        <f t="shared" si="567"/>
        <v/>
      </c>
      <c r="BQ165" s="158" t="str">
        <f t="shared" si="568"/>
        <v/>
      </c>
      <c r="BR165" s="158" t="str">
        <f t="shared" si="569"/>
        <v/>
      </c>
      <c r="BS165" s="158" t="str">
        <f>IF(AND(Sufficient_data="Yes",Include_study?="Yes"),IF(Add_0_5="Yes",(a_+d_+1)*(ab_+0.5)*(c_+0.5)/(Number_of_subjects+2)^2,(a_+d_)*b_*c_/Number_of_subjects^2),"")</f>
        <v/>
      </c>
      <c r="BT165" s="158" t="str">
        <f t="shared" si="570"/>
        <v/>
      </c>
      <c r="BU165" s="158" t="str">
        <f t="shared" si="571"/>
        <v/>
      </c>
      <c r="BV165" s="158" t="str">
        <f t="shared" si="572"/>
        <v/>
      </c>
      <c r="BW165" s="69" t="str">
        <f t="shared" si="573"/>
        <v/>
      </c>
      <c r="BX165" s="137" t="str">
        <f t="shared" si="574"/>
        <v/>
      </c>
      <c r="BY165" s="95" t="str">
        <f t="shared" si="575"/>
        <v/>
      </c>
      <c r="CD165" s="176"/>
      <c r="CE165" s="130" t="str">
        <f t="shared" si="576"/>
        <v/>
      </c>
      <c r="CF165" s="39" t="str">
        <f t="shared" si="577"/>
        <v/>
      </c>
      <c r="CG165" s="39" t="str">
        <f t="shared" si="578"/>
        <v/>
      </c>
      <c r="CH165" s="39" t="str">
        <f t="shared" si="579"/>
        <v/>
      </c>
      <c r="CI165" s="39" t="str">
        <f t="shared" si="580"/>
        <v/>
      </c>
      <c r="CJ165" s="39" t="str">
        <f t="shared" si="486"/>
        <v/>
      </c>
      <c r="CK165" s="95" t="str">
        <f t="shared" si="581"/>
        <v/>
      </c>
      <c r="CP165" s="176"/>
      <c r="CQ165" s="99" t="str">
        <f t="shared" si="582"/>
        <v/>
      </c>
      <c r="CX165" s="196"/>
      <c r="CY165" s="89" t="e">
        <f t="shared" si="583"/>
        <v>#N/A</v>
      </c>
      <c r="CZ165" s="136" t="str">
        <f t="shared" si="584"/>
        <v/>
      </c>
      <c r="DA165" s="140" t="str">
        <f t="shared" si="585"/>
        <v/>
      </c>
      <c r="DB165" s="39" t="str">
        <f t="shared" si="586"/>
        <v/>
      </c>
      <c r="DC165" s="39" t="str">
        <f t="shared" si="587"/>
        <v/>
      </c>
      <c r="DD165" s="39" t="str">
        <f t="shared" si="588"/>
        <v/>
      </c>
      <c r="DE165" s="39" t="str">
        <f t="shared" si="589"/>
        <v/>
      </c>
      <c r="DF165" s="141" t="str">
        <f t="shared" si="590"/>
        <v/>
      </c>
      <c r="DG165" s="39" t="str">
        <f t="shared" si="591"/>
        <v/>
      </c>
      <c r="DH165" s="39" t="str">
        <f t="shared" si="592"/>
        <v/>
      </c>
      <c r="DI165" s="39" t="str">
        <f t="shared" si="593"/>
        <v/>
      </c>
      <c r="DJ165" s="74" t="str">
        <f t="shared" si="594"/>
        <v/>
      </c>
      <c r="DK165" s="45"/>
      <c r="DL165" s="84" t="e">
        <f t="shared" si="423"/>
        <v>#N/A</v>
      </c>
      <c r="DM165" s="39" t="e">
        <f t="shared" si="595"/>
        <v>#N/A</v>
      </c>
      <c r="DN165" s="74" t="e">
        <f t="shared" si="596"/>
        <v>#N/A</v>
      </c>
      <c r="DO165" s="45"/>
      <c r="DP165" s="89" t="str">
        <f t="shared" si="525"/>
        <v/>
      </c>
      <c r="DQ165" s="26" t="str">
        <f>IF(AND(Sufficient_data="Yes",Subgroup&lt;&gt;""),IF(COUNTIFS(Input!J$2:J164,"="&amp;"Yes",Input!C$2:C164,"="&amp;"Yes",Input!K$2:K164,"="&amp;Subgroup)&gt;0,"",Subgroup),"")</f>
        <v/>
      </c>
      <c r="DR165" s="7" t="str">
        <f t="shared" si="526"/>
        <v/>
      </c>
      <c r="DS165" s="7" t="str">
        <f t="shared" si="597"/>
        <v/>
      </c>
      <c r="DT165" s="19" t="str">
        <f t="shared" si="598"/>
        <v/>
      </c>
      <c r="DU165" s="12" t="str">
        <f t="shared" si="424"/>
        <v/>
      </c>
      <c r="DV165" s="11" t="str">
        <f t="shared" si="425"/>
        <v/>
      </c>
      <c r="DW165" s="12" t="str">
        <f t="shared" si="426"/>
        <v/>
      </c>
      <c r="DX165" s="12" t="str">
        <f t="shared" si="599"/>
        <v/>
      </c>
      <c r="DY165" s="19" t="str">
        <f t="shared" si="427"/>
        <v/>
      </c>
      <c r="DZ165" s="12" t="str">
        <f t="shared" si="428"/>
        <v/>
      </c>
      <c r="EA165" s="19" t="str">
        <f t="shared" si="600"/>
        <v/>
      </c>
      <c r="EB165" s="7" t="str">
        <f t="shared" si="601"/>
        <v/>
      </c>
      <c r="EC165" s="19" t="str">
        <f t="shared" si="602"/>
        <v/>
      </c>
      <c r="ED165" s="19" t="str">
        <f t="shared" si="603"/>
        <v/>
      </c>
      <c r="EE165" s="19" t="str">
        <f t="shared" si="429"/>
        <v/>
      </c>
      <c r="EF165" s="19" t="str">
        <f t="shared" si="430"/>
        <v/>
      </c>
      <c r="EG165" s="19" t="str">
        <f t="shared" si="431"/>
        <v/>
      </c>
      <c r="EH165" s="19" t="str">
        <f t="shared" si="432"/>
        <v/>
      </c>
      <c r="EI165" s="19" t="str">
        <f t="shared" si="433"/>
        <v/>
      </c>
      <c r="EJ165" s="19" t="str">
        <f t="shared" si="604"/>
        <v/>
      </c>
      <c r="EK165" s="19" t="str">
        <f t="shared" si="605"/>
        <v/>
      </c>
      <c r="EL165" s="19" t="str">
        <f t="shared" si="434"/>
        <v/>
      </c>
      <c r="EM165" s="19" t="str">
        <f t="shared" si="435"/>
        <v/>
      </c>
      <c r="EN165" s="19" t="str">
        <f t="shared" si="436"/>
        <v/>
      </c>
      <c r="EO165" s="19" t="str">
        <f t="shared" si="437"/>
        <v/>
      </c>
      <c r="EP165" s="19" t="str">
        <f t="shared" si="438"/>
        <v/>
      </c>
      <c r="EQ165" s="19" t="e">
        <f t="shared" si="439"/>
        <v>#N/A</v>
      </c>
      <c r="ER165" s="11" t="str">
        <f t="shared" si="527"/>
        <v/>
      </c>
      <c r="ES165" s="19" t="str">
        <f t="shared" si="528"/>
        <v/>
      </c>
      <c r="ET165" s="156" t="str">
        <f t="shared" si="606"/>
        <v/>
      </c>
      <c r="EU165" s="39" t="str">
        <f t="shared" si="440"/>
        <v/>
      </c>
      <c r="EV165" s="74" t="str">
        <f t="shared" si="607"/>
        <v/>
      </c>
      <c r="FA165" s="196"/>
      <c r="FB165" s="84" t="e">
        <f>IF(AND(Include_study?="Yes",Sufficient_data="Yes",Moderator&lt;&gt;""),'Moderator Analysis'!E165,NA())</f>
        <v>#N/A</v>
      </c>
      <c r="FC165" s="39" t="e">
        <f>IF(AND(Include_study?="Yes",Sufficient_data="Yes",Moderator&lt;&gt;""),'Moderator Analysis'!F165,NA())</f>
        <v>#N/A</v>
      </c>
      <c r="FD165" s="39" t="str">
        <f t="shared" si="608"/>
        <v/>
      </c>
      <c r="FE165" s="39" t="str">
        <f t="shared" si="609"/>
        <v/>
      </c>
      <c r="FF165" s="39" t="str">
        <f>IF(AND(Include_study?="Yes",Sufficient_data="Yes",Moderator&lt;&gt;""),'Moderator Analysis'!F:F-FP$2,"")</f>
        <v/>
      </c>
      <c r="FG165" s="39" t="str">
        <f>IF(AND(Include_study?="Yes",Sufficient_data="Yes",Moderator&lt;&gt;""),'Moderator Analysis'!E:E-FP$3,"")</f>
        <v/>
      </c>
      <c r="FH165" s="74" t="str">
        <f>IF(AND(Include_study?="Yes",Sufficient_data="Yes",Moderator&lt;&gt;""),FE:FE*('Moderator Analysis'!F:F-FP$5-FP$4*'Moderator Analysis'!E:E)^2,"")</f>
        <v/>
      </c>
      <c r="FI165" s="128"/>
      <c r="FJ165" s="92" t="str">
        <f t="shared" si="610"/>
        <v/>
      </c>
      <c r="FK165" s="137" t="str">
        <f>IF(AND(Include_study?="Yes",Sufficient_data="Yes",Moderator&lt;&gt;""),'Moderator Analysis'!F:F-'Moderator Analysis'!J$37,"")</f>
        <v/>
      </c>
      <c r="FL165" s="137" t="str">
        <f>IF(AND(Include_study?="Yes",Sufficient_data="Yes",Moderator&lt;&gt;""),'Moderator Analysis'!E:E-SUMPRODUCT('Moderator Analysis'!E:E,FJ:FJ)/SUM(FJ:FJ),"")</f>
        <v/>
      </c>
      <c r="FM165" s="95" t="str">
        <f>IF(AND(Include_study?="Yes",Sufficient_data="Yes",Moderator&lt;&gt;""),FJ:FJ*('Moderator Analysis'!F:F-'Moderator Analysis'!J$29-'Moderator Analysis'!J$30*'Moderator Analysis'!E:E)^2,"")</f>
        <v/>
      </c>
      <c r="FR165" s="196"/>
      <c r="FS165" s="182"/>
      <c r="FT16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5" s="39" t="str">
        <f>IF(AND(Include_study?="Yes",Sufficient_data="Yes"),1/('Publication Bias Analysis'!F:F^2+IF(Additional_model="Fixed effect",0,Calculations!GH$12)),"")</f>
        <v/>
      </c>
      <c r="FV165" s="39" t="str">
        <f>IF(AND(Include_study?="Yes",Sufficient_data="Yes"),1/('Publication Bias Analysis'!F:F^2+IF(Additional_model="Fixed effect",0,'Publication Bias Analysis'!L$32)),"")</f>
        <v/>
      </c>
      <c r="FW165" s="39" t="str">
        <f>IF(AND(Include_study?="Yes",Sufficient_data="Yes"),'Publication Bias Analysis'!E:E-'Publication Bias Analysis'!I$37,"")</f>
        <v/>
      </c>
      <c r="FX165" s="39" t="str">
        <f>IF(AND(Include_study?="Yes",Sufficient_data="Yes"),IF(Additional_model="Fixed effect",1/'Publication Bias Analysis'!F:F,1/SQRT('Publication Bias Analysis'!F:F^2+GH$12)),"")</f>
        <v/>
      </c>
      <c r="FY16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5" s="136" t="str">
        <f t="shared" si="611"/>
        <v/>
      </c>
      <c r="GA165" s="144" t="str">
        <f>IF(AND(Include_study?="Yes",Sufficient_data="Yes"),FZ:FZ+IF(GL:GL&lt;0,-1,1)*COUNTIF(FZ$2:FZ164,FZ:FZ),"")</f>
        <v/>
      </c>
      <c r="GB165" s="144" t="str">
        <f>IF(AND(Include_study?="Yes",Sufficient_data="Yes"),RANK(GP:GP,GP:GP,1)*IF(GO:GO&lt;0,-1,1)+IF(GO:GO&lt;0,-1,1)*COUNTIF(FZ$2:FZ164,FZ:FZ),"")</f>
        <v/>
      </c>
      <c r="GC165" s="144" t="str">
        <f>IF(AND(Include_study?="Yes",Sufficient_data="Yes"),RANK(GS:GS,GS:GS,1)*IF(GR:GR&lt;0,-1,1)+IF(GR:GR&lt;0,-1,1)*COUNTIF(FZ$2:FZ164,FZ:FZ),"")</f>
        <v/>
      </c>
      <c r="GD165" s="39" t="e">
        <f>IF(AND(Include_study?="Yes",Sufficient_data="Yes"),'Publication Bias Analysis'!E165,NA())</f>
        <v>#N/A</v>
      </c>
      <c r="GE165" s="74" t="e">
        <f>IF(AND(Include_study?="Yes",Sufficient_data="Yes"),'Publication Bias Analysis'!F165,NA())</f>
        <v>#N/A</v>
      </c>
      <c r="GK165" s="176"/>
      <c r="GL16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5" s="39" t="str">
        <f t="shared" si="612"/>
        <v/>
      </c>
      <c r="GN16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5" s="39" t="str">
        <f>IF(AND(Include_study?="Yes",Sufficient_data="Yes"),IF('Publication Bias Analysis'!L$38="Left",'Publication Bias Analysis'!E:E-GW$3,GW$3-'Publication Bias Analysis'!E:E),"")</f>
        <v/>
      </c>
      <c r="GP165" s="39" t="str">
        <f t="shared" si="529"/>
        <v/>
      </c>
      <c r="GQ16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5" s="39" t="str">
        <f>IF(AND(Include_study?="Yes",Sufficient_data="Yes"),IF('Publication Bias Analysis'!L$38="Left",'Publication Bias Analysis'!E:E-GW$10,GW$10-'Publication Bias Analysis'!E:E),"")</f>
        <v/>
      </c>
      <c r="GS165" s="39" t="str">
        <f t="shared" si="530"/>
        <v/>
      </c>
      <c r="GT16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5" s="176"/>
      <c r="HL165" s="69" t="str">
        <f t="shared" si="518"/>
        <v/>
      </c>
      <c r="HM165" s="74" t="str">
        <f>IF(AND(Include_study?="Yes",Sufficient_data="Yes"),Z_score-('Publication Bias Analysis'!P$3+'Publication Bias Analysis'!P$4*Inverse_standard_error),"")</f>
        <v/>
      </c>
      <c r="HO165" s="176"/>
      <c r="HP165" s="69" t="str">
        <f>IF(AND(Include_study?="Yes",Sufficient_data="Yes"),(GD:GD-SUMPRODUCT(Calculations!FT:FT,'Publication Bias Analysis'!E:E)/SUM(Calculations!FT:FT))/SQRT(Calculations!HQ:HQ),"")</f>
        <v/>
      </c>
      <c r="HQ165" s="69" t="str">
        <f>IF(AND(Include_study?="Yes",Sufficient_data="Yes"),GE:GE^2-1/SUM(Calculations!FT:FT),"")</f>
        <v/>
      </c>
      <c r="HR165" s="7" t="str">
        <f t="shared" si="441"/>
        <v/>
      </c>
      <c r="HS165" s="7" t="str">
        <f t="shared" si="442"/>
        <v/>
      </c>
      <c r="HT165" s="7" t="str">
        <f>IF(AND(Include_study?="Yes",Sufficient_data="Yes"),COUNTIFS(HR$2:HR164,"&lt;"&amp;HR165,HS$2:HS164,"&lt;"&amp;HS165)+COUNTIFS(HR166:HR$201,"&lt;"&amp;HR165,HS166:HS$201,"&lt;"&amp;HS165)+COUNTIFS(HR$2:HR164,"&gt;"&amp;HR165,HS$2:HS164,"&gt;"&amp;HS165)+COUNTIFS(HR166:HR$201,"&gt;"&amp;HR165,HS166:HS$201,"&gt;"&amp;HS165),"")</f>
        <v/>
      </c>
      <c r="HU165" s="104" t="str">
        <f>IF(AND(Include_study?="Yes",Sufficient_data="Yes"),COUNTIFS(HR$2:HR164,"&lt;"&amp;HR165,HS$2:HS164,"&gt;"&amp;HS165)+COUNTIFS(HR166:HR$201,"&lt;"&amp;HR165,HS166:HS$201,"&gt;"&amp;HS165)+COUNTIFS(HR$2:HR164,"&gt;"&amp;HR165,HS$2:HS164,"&lt;"&amp;HS165)+COUNTIFS(HR166:HR$201,"&gt;"&amp;HR165,HS166:HS$201,"&lt;"&amp;HS165),"")</f>
        <v/>
      </c>
      <c r="HW165" s="176"/>
      <c r="IB165" s="176"/>
      <c r="IC165" s="146" t="e">
        <f t="shared" si="613"/>
        <v>#N/A</v>
      </c>
      <c r="ID165" s="137" t="e">
        <f t="shared" si="614"/>
        <v>#N/A</v>
      </c>
      <c r="IE165" s="137" t="str">
        <f t="shared" si="615"/>
        <v/>
      </c>
      <c r="IF165" s="95" t="str">
        <f t="shared" si="616"/>
        <v/>
      </c>
      <c r="IK165" s="176"/>
      <c r="IL165" s="69" t="e">
        <f>IF(AND(Include_study?="Yes",Sufficient_data="Yes"),'Publication Bias Analysis'!AV:AV,NA())</f>
        <v>#N/A</v>
      </c>
      <c r="IM165" s="158" t="e">
        <f>IF(AND(Sufficient_data="Yes",Include_study?="Yes"),'Publication Bias Analysis'!AU:AU,NA())</f>
        <v>#N/A</v>
      </c>
      <c r="IN165" s="69" t="str">
        <f t="shared" si="617"/>
        <v/>
      </c>
      <c r="IO165" s="74" t="str">
        <f>IF(AND(Include_study?="Yes",Sufficient_data="Yes"),Z_score-('Publication Bias Analysis'!AY$30+'Publication Bias Analysis'!AY$31*Inverse_standard_error),"")</f>
        <v/>
      </c>
      <c r="IU165" s="176"/>
      <c r="IV165" s="7" t="str">
        <f>IF('Publication Bias Analysis'!BG:BG&lt;&gt;"",RANK('Publication Bias Analysis'!BG:BG,'Publication Bias Analysis'!BG:BG,1)+COUNTIF('Publication Bias Analysis'!BG$2:BG164,'Publication Bias Analysis'!BG165),"")</f>
        <v/>
      </c>
      <c r="IW165" s="124" t="str">
        <f t="shared" si="618"/>
        <v/>
      </c>
      <c r="IX165" s="125" t="e">
        <f>IF('Publication Bias Analysis'!BF165&lt;&gt;"",'Publication Bias Analysis'!BF165,NA())</f>
        <v>#N/A</v>
      </c>
      <c r="IY165" s="125" t="e">
        <f>IF('Publication Bias Analysis'!BG165&lt;&gt;"",'Publication Bias Analysis'!BG165,NA())</f>
        <v>#N/A</v>
      </c>
      <c r="IZ165" s="69" t="str">
        <f>IF(AND(Include_study?="Yes",Sufficient_data="Yes"),'Publication Bias Analysis'!BF:BF-AVERAGE('Publication Bias Analysis'!BF:BF),"")</f>
        <v/>
      </c>
      <c r="JA165" s="74" t="str">
        <f>IF(AND(Include_study?="Yes",Sufficient_data="Yes"),'Publication Bias Analysis'!BG:BG-('Publication Bias Analysis'!BJ$30+'Publication Bias Analysis'!BJ$31*'Publication Bias Analysis'!BF:BF),"")</f>
        <v/>
      </c>
      <c r="JG165" s="176"/>
      <c r="JH165" s="39" t="str">
        <f t="shared" si="619"/>
        <v/>
      </c>
      <c r="JI165" s="148" t="str">
        <f t="shared" si="531"/>
        <v/>
      </c>
      <c r="JJ165" s="74" t="str">
        <f t="shared" si="532"/>
        <v/>
      </c>
    </row>
    <row r="166" spans="1:270" x14ac:dyDescent="0.2">
      <c r="A166" s="56" t="str">
        <f t="shared" si="533"/>
        <v/>
      </c>
      <c r="B166" s="7" t="str">
        <f>IF(AND(Include_study?="Yes",Sufficient_data="Yes"),IF(Input!a_&lt;&gt;"",Input!a_,Input!n1_-Input!b_),"")</f>
        <v/>
      </c>
      <c r="C166" s="7" t="str">
        <f>IF(AND(Include_study?="Yes",Sufficient_data="Yes"),IF(Input!b_&lt;&gt;"",Input!b_,Input!n1_-Input!a_),"")</f>
        <v/>
      </c>
      <c r="D166" s="7" t="str">
        <f>IF(AND(Include_study?="Yes",Sufficient_data="Yes"),IF(Input!c_&lt;&gt;"",Input!c_,Input!n2_-Input!d_),"")</f>
        <v/>
      </c>
      <c r="E166" s="7" t="str">
        <f>IF(AND(Include_study?="Yes",Sufficient_data="Yes"),IF(Input!d_&lt;&gt;"",Input!d_,Input!n2_-Input!c_),"")</f>
        <v/>
      </c>
      <c r="F166" s="74" t="str">
        <f t="shared" si="534"/>
        <v/>
      </c>
      <c r="H166" s="196"/>
      <c r="I166" s="182"/>
      <c r="J166" s="146" t="str">
        <f t="shared" si="444"/>
        <v/>
      </c>
      <c r="K166" s="39" t="str">
        <f t="shared" si="535"/>
        <v/>
      </c>
      <c r="L166" s="39" t="str">
        <f t="shared" si="536"/>
        <v/>
      </c>
      <c r="M166" s="39" t="str">
        <f t="shared" si="537"/>
        <v/>
      </c>
      <c r="N166" s="74" t="str">
        <f t="shared" si="538"/>
        <v/>
      </c>
      <c r="P166" s="176"/>
      <c r="Q166" s="130" t="str">
        <f t="shared" si="539"/>
        <v/>
      </c>
      <c r="R166" s="39" t="str">
        <f t="shared" si="540"/>
        <v/>
      </c>
      <c r="S166" s="39" t="str">
        <f t="shared" si="541"/>
        <v/>
      </c>
      <c r="T166" s="74" t="str">
        <f t="shared" si="542"/>
        <v/>
      </c>
      <c r="V166" s="176"/>
      <c r="W166" s="130" t="str">
        <f t="shared" si="543"/>
        <v/>
      </c>
      <c r="X166" s="39" t="str">
        <f t="shared" si="544"/>
        <v/>
      </c>
      <c r="Y166" s="39" t="str">
        <f t="shared" si="545"/>
        <v/>
      </c>
      <c r="Z166" s="74" t="str">
        <f t="shared" si="546"/>
        <v/>
      </c>
      <c r="AB166" s="176"/>
      <c r="AC166" s="130" t="str">
        <f t="shared" si="547"/>
        <v/>
      </c>
      <c r="AD166" s="39" t="str">
        <f t="shared" si="548"/>
        <v/>
      </c>
      <c r="AE166" s="39" t="str">
        <f t="shared" si="549"/>
        <v/>
      </c>
      <c r="AF166" s="39" t="str">
        <f t="shared" si="550"/>
        <v/>
      </c>
      <c r="AG166" s="74" t="str">
        <f t="shared" si="551"/>
        <v/>
      </c>
      <c r="AI166" s="196"/>
      <c r="AJ16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6" s="136" t="str">
        <f>IF(AJ166&lt;&gt;"",IF(AJ166=0,COUNTIF(AJ$2:AJ165,0)+1,COUNTIF(AJ$2:AJ165,AJ166)+AJ166+COUNTIF(AJ:AJ,0)),"")</f>
        <v/>
      </c>
      <c r="AL166" s="136" t="str">
        <f t="shared" si="462"/>
        <v/>
      </c>
      <c r="AM166" s="155" t="str">
        <f>IF(AND(Include_study?="Yes",Sufficient_data="Yes",Input!Study_name&lt;&gt;""),Input!Study_name,"")</f>
        <v/>
      </c>
      <c r="AN166" s="136" t="str">
        <f t="shared" si="463"/>
        <v/>
      </c>
      <c r="AO166" s="19" t="str">
        <f t="shared" si="552"/>
        <v/>
      </c>
      <c r="AP166" s="158" t="str">
        <f t="shared" si="553"/>
        <v/>
      </c>
      <c r="AQ166" s="158" t="str">
        <f t="shared" si="554"/>
        <v/>
      </c>
      <c r="AR166" s="39" t="str">
        <f t="shared" si="555"/>
        <v/>
      </c>
      <c r="AS166" s="158" t="str">
        <f t="shared" si="556"/>
        <v/>
      </c>
      <c r="AT166" s="39" t="str">
        <f t="shared" si="557"/>
        <v/>
      </c>
      <c r="AU166" s="172" t="str">
        <f t="shared" si="558"/>
        <v/>
      </c>
      <c r="AV166" s="45"/>
      <c r="AW166" s="84" t="e">
        <f t="shared" si="559"/>
        <v>#N/A</v>
      </c>
      <c r="AX166" s="69" t="e">
        <f t="shared" si="560"/>
        <v>#N/A</v>
      </c>
      <c r="AY166" s="74" t="e">
        <f t="shared" si="561"/>
        <v>#N/A</v>
      </c>
      <c r="AZ166" s="45"/>
      <c r="BA166" s="45"/>
      <c r="BB166" s="45"/>
      <c r="BC166" s="45"/>
      <c r="BD166" s="196"/>
      <c r="BE166" s="182"/>
      <c r="BF166" s="69" t="str">
        <f t="shared" si="562"/>
        <v/>
      </c>
      <c r="BG166" s="69" t="str">
        <f t="shared" si="563"/>
        <v/>
      </c>
      <c r="BH166" s="69" t="str">
        <f t="shared" si="564"/>
        <v/>
      </c>
      <c r="BI166" s="39" t="str">
        <f t="shared" si="565"/>
        <v/>
      </c>
      <c r="BJ166" s="95" t="str">
        <f t="shared" si="566"/>
        <v/>
      </c>
      <c r="BO166" s="176"/>
      <c r="BP166" s="158" t="str">
        <f t="shared" si="567"/>
        <v/>
      </c>
      <c r="BQ166" s="158" t="str">
        <f t="shared" si="568"/>
        <v/>
      </c>
      <c r="BR166" s="158" t="str">
        <f t="shared" si="569"/>
        <v/>
      </c>
      <c r="BS166" s="158" t="str">
        <f>IF(AND(Sufficient_data="Yes",Include_study?="Yes"),IF(Add_0_5="Yes",(a_+d_+1)*(ab_+0.5)*(c_+0.5)/(Number_of_subjects+2)^2,(a_+d_)*b_*c_/Number_of_subjects^2),"")</f>
        <v/>
      </c>
      <c r="BT166" s="158" t="str">
        <f t="shared" si="570"/>
        <v/>
      </c>
      <c r="BU166" s="158" t="str">
        <f t="shared" si="571"/>
        <v/>
      </c>
      <c r="BV166" s="158" t="str">
        <f t="shared" si="572"/>
        <v/>
      </c>
      <c r="BW166" s="69" t="str">
        <f t="shared" si="573"/>
        <v/>
      </c>
      <c r="BX166" s="137" t="str">
        <f t="shared" si="574"/>
        <v/>
      </c>
      <c r="BY166" s="95" t="str">
        <f t="shared" si="575"/>
        <v/>
      </c>
      <c r="CD166" s="176"/>
      <c r="CE166" s="130" t="str">
        <f t="shared" si="576"/>
        <v/>
      </c>
      <c r="CF166" s="39" t="str">
        <f t="shared" si="577"/>
        <v/>
      </c>
      <c r="CG166" s="39" t="str">
        <f t="shared" si="578"/>
        <v/>
      </c>
      <c r="CH166" s="39" t="str">
        <f t="shared" si="579"/>
        <v/>
      </c>
      <c r="CI166" s="39" t="str">
        <f t="shared" si="580"/>
        <v/>
      </c>
      <c r="CJ166" s="39" t="str">
        <f t="shared" si="486"/>
        <v/>
      </c>
      <c r="CK166" s="95" t="str">
        <f t="shared" si="581"/>
        <v/>
      </c>
      <c r="CP166" s="176"/>
      <c r="CQ166" s="99" t="str">
        <f t="shared" si="582"/>
        <v/>
      </c>
      <c r="CX166" s="196"/>
      <c r="CY166" s="89" t="e">
        <f t="shared" si="583"/>
        <v>#N/A</v>
      </c>
      <c r="CZ166" s="136" t="str">
        <f t="shared" si="584"/>
        <v/>
      </c>
      <c r="DA166" s="140" t="str">
        <f t="shared" si="585"/>
        <v/>
      </c>
      <c r="DB166" s="39" t="str">
        <f t="shared" si="586"/>
        <v/>
      </c>
      <c r="DC166" s="39" t="str">
        <f t="shared" si="587"/>
        <v/>
      </c>
      <c r="DD166" s="39" t="str">
        <f t="shared" si="588"/>
        <v/>
      </c>
      <c r="DE166" s="39" t="str">
        <f t="shared" si="589"/>
        <v/>
      </c>
      <c r="DF166" s="141" t="str">
        <f t="shared" si="590"/>
        <v/>
      </c>
      <c r="DG166" s="39" t="str">
        <f t="shared" si="591"/>
        <v/>
      </c>
      <c r="DH166" s="39" t="str">
        <f t="shared" si="592"/>
        <v/>
      </c>
      <c r="DI166" s="39" t="str">
        <f t="shared" si="593"/>
        <v/>
      </c>
      <c r="DJ166" s="74" t="str">
        <f t="shared" si="594"/>
        <v/>
      </c>
      <c r="DK166" s="45"/>
      <c r="DL166" s="84" t="e">
        <f t="shared" si="423"/>
        <v>#N/A</v>
      </c>
      <c r="DM166" s="39" t="e">
        <f t="shared" si="595"/>
        <v>#N/A</v>
      </c>
      <c r="DN166" s="74" t="e">
        <f t="shared" si="596"/>
        <v>#N/A</v>
      </c>
      <c r="DO166" s="45"/>
      <c r="DP166" s="89" t="str">
        <f t="shared" si="525"/>
        <v/>
      </c>
      <c r="DQ166" s="26" t="str">
        <f>IF(AND(Sufficient_data="Yes",Subgroup&lt;&gt;""),IF(COUNTIFS(Input!J$2:J165,"="&amp;"Yes",Input!C$2:C165,"="&amp;"Yes",Input!K$2:K165,"="&amp;Subgroup)&gt;0,"",Subgroup),"")</f>
        <v/>
      </c>
      <c r="DR166" s="7" t="str">
        <f t="shared" si="526"/>
        <v/>
      </c>
      <c r="DS166" s="7" t="str">
        <f t="shared" si="597"/>
        <v/>
      </c>
      <c r="DT166" s="19" t="str">
        <f t="shared" si="598"/>
        <v/>
      </c>
      <c r="DU166" s="12" t="str">
        <f t="shared" si="424"/>
        <v/>
      </c>
      <c r="DV166" s="11" t="str">
        <f t="shared" si="425"/>
        <v/>
      </c>
      <c r="DW166" s="12" t="str">
        <f t="shared" si="426"/>
        <v/>
      </c>
      <c r="DX166" s="12" t="str">
        <f t="shared" si="599"/>
        <v/>
      </c>
      <c r="DY166" s="19" t="str">
        <f t="shared" si="427"/>
        <v/>
      </c>
      <c r="DZ166" s="12" t="str">
        <f t="shared" si="428"/>
        <v/>
      </c>
      <c r="EA166" s="19" t="str">
        <f t="shared" si="600"/>
        <v/>
      </c>
      <c r="EB166" s="7" t="str">
        <f t="shared" si="601"/>
        <v/>
      </c>
      <c r="EC166" s="19" t="str">
        <f t="shared" si="602"/>
        <v/>
      </c>
      <c r="ED166" s="19" t="str">
        <f t="shared" si="603"/>
        <v/>
      </c>
      <c r="EE166" s="19" t="str">
        <f t="shared" si="429"/>
        <v/>
      </c>
      <c r="EF166" s="19" t="str">
        <f t="shared" si="430"/>
        <v/>
      </c>
      <c r="EG166" s="19" t="str">
        <f t="shared" si="431"/>
        <v/>
      </c>
      <c r="EH166" s="19" t="str">
        <f t="shared" si="432"/>
        <v/>
      </c>
      <c r="EI166" s="19" t="str">
        <f t="shared" si="433"/>
        <v/>
      </c>
      <c r="EJ166" s="19" t="str">
        <f t="shared" si="604"/>
        <v/>
      </c>
      <c r="EK166" s="19" t="str">
        <f t="shared" si="605"/>
        <v/>
      </c>
      <c r="EL166" s="19" t="str">
        <f t="shared" si="434"/>
        <v/>
      </c>
      <c r="EM166" s="19" t="str">
        <f t="shared" si="435"/>
        <v/>
      </c>
      <c r="EN166" s="19" t="str">
        <f t="shared" si="436"/>
        <v/>
      </c>
      <c r="EO166" s="19" t="str">
        <f t="shared" si="437"/>
        <v/>
      </c>
      <c r="EP166" s="19" t="str">
        <f t="shared" si="438"/>
        <v/>
      </c>
      <c r="EQ166" s="19" t="e">
        <f t="shared" si="439"/>
        <v>#N/A</v>
      </c>
      <c r="ER166" s="11" t="str">
        <f t="shared" si="527"/>
        <v/>
      </c>
      <c r="ES166" s="19" t="str">
        <f t="shared" si="528"/>
        <v/>
      </c>
      <c r="ET166" s="156" t="str">
        <f t="shared" si="606"/>
        <v/>
      </c>
      <c r="EU166" s="39" t="str">
        <f t="shared" si="440"/>
        <v/>
      </c>
      <c r="EV166" s="74" t="str">
        <f t="shared" si="607"/>
        <v/>
      </c>
      <c r="FA166" s="196"/>
      <c r="FB166" s="84" t="e">
        <f>IF(AND(Include_study?="Yes",Sufficient_data="Yes",Moderator&lt;&gt;""),'Moderator Analysis'!E166,NA())</f>
        <v>#N/A</v>
      </c>
      <c r="FC166" s="39" t="e">
        <f>IF(AND(Include_study?="Yes",Sufficient_data="Yes",Moderator&lt;&gt;""),'Moderator Analysis'!F166,NA())</f>
        <v>#N/A</v>
      </c>
      <c r="FD166" s="39" t="str">
        <f t="shared" si="608"/>
        <v/>
      </c>
      <c r="FE166" s="39" t="str">
        <f t="shared" si="609"/>
        <v/>
      </c>
      <c r="FF166" s="39" t="str">
        <f>IF(AND(Include_study?="Yes",Sufficient_data="Yes",Moderator&lt;&gt;""),'Moderator Analysis'!F:F-FP$2,"")</f>
        <v/>
      </c>
      <c r="FG166" s="39" t="str">
        <f>IF(AND(Include_study?="Yes",Sufficient_data="Yes",Moderator&lt;&gt;""),'Moderator Analysis'!E:E-FP$3,"")</f>
        <v/>
      </c>
      <c r="FH166" s="74" t="str">
        <f>IF(AND(Include_study?="Yes",Sufficient_data="Yes",Moderator&lt;&gt;""),FE:FE*('Moderator Analysis'!F:F-FP$5-FP$4*'Moderator Analysis'!E:E)^2,"")</f>
        <v/>
      </c>
      <c r="FI166" s="128"/>
      <c r="FJ166" s="92" t="str">
        <f t="shared" si="610"/>
        <v/>
      </c>
      <c r="FK166" s="137" t="str">
        <f>IF(AND(Include_study?="Yes",Sufficient_data="Yes",Moderator&lt;&gt;""),'Moderator Analysis'!F:F-'Moderator Analysis'!J$37,"")</f>
        <v/>
      </c>
      <c r="FL166" s="137" t="str">
        <f>IF(AND(Include_study?="Yes",Sufficient_data="Yes",Moderator&lt;&gt;""),'Moderator Analysis'!E:E-SUMPRODUCT('Moderator Analysis'!E:E,FJ:FJ)/SUM(FJ:FJ),"")</f>
        <v/>
      </c>
      <c r="FM166" s="95" t="str">
        <f>IF(AND(Include_study?="Yes",Sufficient_data="Yes",Moderator&lt;&gt;""),FJ:FJ*('Moderator Analysis'!F:F-'Moderator Analysis'!J$29-'Moderator Analysis'!J$30*'Moderator Analysis'!E:E)^2,"")</f>
        <v/>
      </c>
      <c r="FR166" s="196"/>
      <c r="FS166" s="182"/>
      <c r="FT16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6" s="39" t="str">
        <f>IF(AND(Include_study?="Yes",Sufficient_data="Yes"),1/('Publication Bias Analysis'!F:F^2+IF(Additional_model="Fixed effect",0,Calculations!GH$12)),"")</f>
        <v/>
      </c>
      <c r="FV166" s="39" t="str">
        <f>IF(AND(Include_study?="Yes",Sufficient_data="Yes"),1/('Publication Bias Analysis'!F:F^2+IF(Additional_model="Fixed effect",0,'Publication Bias Analysis'!L$32)),"")</f>
        <v/>
      </c>
      <c r="FW166" s="39" t="str">
        <f>IF(AND(Include_study?="Yes",Sufficient_data="Yes"),'Publication Bias Analysis'!E:E-'Publication Bias Analysis'!I$37,"")</f>
        <v/>
      </c>
      <c r="FX166" s="39" t="str">
        <f>IF(AND(Include_study?="Yes",Sufficient_data="Yes"),IF(Additional_model="Fixed effect",1/'Publication Bias Analysis'!F:F,1/SQRT('Publication Bias Analysis'!F:F^2+GH$12)),"")</f>
        <v/>
      </c>
      <c r="FY16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6" s="136" t="str">
        <f t="shared" si="611"/>
        <v/>
      </c>
      <c r="GA166" s="144" t="str">
        <f>IF(AND(Include_study?="Yes",Sufficient_data="Yes"),FZ:FZ+IF(GL:GL&lt;0,-1,1)*COUNTIF(FZ$2:FZ165,FZ:FZ),"")</f>
        <v/>
      </c>
      <c r="GB166" s="144" t="str">
        <f>IF(AND(Include_study?="Yes",Sufficient_data="Yes"),RANK(GP:GP,GP:GP,1)*IF(GO:GO&lt;0,-1,1)+IF(GO:GO&lt;0,-1,1)*COUNTIF(FZ$2:FZ165,FZ:FZ),"")</f>
        <v/>
      </c>
      <c r="GC166" s="144" t="str">
        <f>IF(AND(Include_study?="Yes",Sufficient_data="Yes"),RANK(GS:GS,GS:GS,1)*IF(GR:GR&lt;0,-1,1)+IF(GR:GR&lt;0,-1,1)*COUNTIF(FZ$2:FZ165,FZ:FZ),"")</f>
        <v/>
      </c>
      <c r="GD166" s="39" t="e">
        <f>IF(AND(Include_study?="Yes",Sufficient_data="Yes"),'Publication Bias Analysis'!E166,NA())</f>
        <v>#N/A</v>
      </c>
      <c r="GE166" s="74" t="e">
        <f>IF(AND(Include_study?="Yes",Sufficient_data="Yes"),'Publication Bias Analysis'!F166,NA())</f>
        <v>#N/A</v>
      </c>
      <c r="GK166" s="176"/>
      <c r="GL16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6" s="39" t="str">
        <f t="shared" si="612"/>
        <v/>
      </c>
      <c r="GN16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6" s="39" t="str">
        <f>IF(AND(Include_study?="Yes",Sufficient_data="Yes"),IF('Publication Bias Analysis'!L$38="Left",'Publication Bias Analysis'!E:E-GW$3,GW$3-'Publication Bias Analysis'!E:E),"")</f>
        <v/>
      </c>
      <c r="GP166" s="39" t="str">
        <f t="shared" si="529"/>
        <v/>
      </c>
      <c r="GQ16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6" s="39" t="str">
        <f>IF(AND(Include_study?="Yes",Sufficient_data="Yes"),IF('Publication Bias Analysis'!L$38="Left",'Publication Bias Analysis'!E:E-GW$10,GW$10-'Publication Bias Analysis'!E:E),"")</f>
        <v/>
      </c>
      <c r="GS166" s="39" t="str">
        <f t="shared" si="530"/>
        <v/>
      </c>
      <c r="GT16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6" s="176"/>
      <c r="HL166" s="69" t="str">
        <f t="shared" si="518"/>
        <v/>
      </c>
      <c r="HM166" s="74" t="str">
        <f>IF(AND(Include_study?="Yes",Sufficient_data="Yes"),Z_score-('Publication Bias Analysis'!P$3+'Publication Bias Analysis'!P$4*Inverse_standard_error),"")</f>
        <v/>
      </c>
      <c r="HO166" s="176"/>
      <c r="HP166" s="69" t="str">
        <f>IF(AND(Include_study?="Yes",Sufficient_data="Yes"),(GD:GD-SUMPRODUCT(Calculations!FT:FT,'Publication Bias Analysis'!E:E)/SUM(Calculations!FT:FT))/SQRT(Calculations!HQ:HQ),"")</f>
        <v/>
      </c>
      <c r="HQ166" s="69" t="str">
        <f>IF(AND(Include_study?="Yes",Sufficient_data="Yes"),GE:GE^2-1/SUM(Calculations!FT:FT),"")</f>
        <v/>
      </c>
      <c r="HR166" s="7" t="str">
        <f t="shared" si="441"/>
        <v/>
      </c>
      <c r="HS166" s="7" t="str">
        <f t="shared" si="442"/>
        <v/>
      </c>
      <c r="HT166" s="7" t="str">
        <f>IF(AND(Include_study?="Yes",Sufficient_data="Yes"),COUNTIFS(HR$2:HR165,"&lt;"&amp;HR166,HS$2:HS165,"&lt;"&amp;HS166)+COUNTIFS(HR167:HR$201,"&lt;"&amp;HR166,HS167:HS$201,"&lt;"&amp;HS166)+COUNTIFS(HR$2:HR165,"&gt;"&amp;HR166,HS$2:HS165,"&gt;"&amp;HS166)+COUNTIFS(HR167:HR$201,"&gt;"&amp;HR166,HS167:HS$201,"&gt;"&amp;HS166),"")</f>
        <v/>
      </c>
      <c r="HU166" s="104" t="str">
        <f>IF(AND(Include_study?="Yes",Sufficient_data="Yes"),COUNTIFS(HR$2:HR165,"&lt;"&amp;HR166,HS$2:HS165,"&gt;"&amp;HS166)+COUNTIFS(HR167:HR$201,"&lt;"&amp;HR166,HS167:HS$201,"&gt;"&amp;HS166)+COUNTIFS(HR$2:HR165,"&gt;"&amp;HR166,HS$2:HS165,"&lt;"&amp;HS166)+COUNTIFS(HR167:HR$201,"&gt;"&amp;HR166,HS167:HS$201,"&lt;"&amp;HS166),"")</f>
        <v/>
      </c>
      <c r="HW166" s="176"/>
      <c r="IB166" s="176"/>
      <c r="IC166" s="146" t="e">
        <f t="shared" si="613"/>
        <v>#N/A</v>
      </c>
      <c r="ID166" s="137" t="e">
        <f t="shared" si="614"/>
        <v>#N/A</v>
      </c>
      <c r="IE166" s="137" t="str">
        <f t="shared" si="615"/>
        <v/>
      </c>
      <c r="IF166" s="95" t="str">
        <f t="shared" si="616"/>
        <v/>
      </c>
      <c r="IK166" s="176"/>
      <c r="IL166" s="69" t="e">
        <f>IF(AND(Include_study?="Yes",Sufficient_data="Yes"),'Publication Bias Analysis'!AV:AV,NA())</f>
        <v>#N/A</v>
      </c>
      <c r="IM166" s="158" t="e">
        <f>IF(AND(Sufficient_data="Yes",Include_study?="Yes"),'Publication Bias Analysis'!AU:AU,NA())</f>
        <v>#N/A</v>
      </c>
      <c r="IN166" s="69" t="str">
        <f t="shared" si="617"/>
        <v/>
      </c>
      <c r="IO166" s="74" t="str">
        <f>IF(AND(Include_study?="Yes",Sufficient_data="Yes"),Z_score-('Publication Bias Analysis'!AY$30+'Publication Bias Analysis'!AY$31*Inverse_standard_error),"")</f>
        <v/>
      </c>
      <c r="IU166" s="176"/>
      <c r="IV166" s="7" t="str">
        <f>IF('Publication Bias Analysis'!BG:BG&lt;&gt;"",RANK('Publication Bias Analysis'!BG:BG,'Publication Bias Analysis'!BG:BG,1)+COUNTIF('Publication Bias Analysis'!BG$2:BG165,'Publication Bias Analysis'!BG166),"")</f>
        <v/>
      </c>
      <c r="IW166" s="124" t="str">
        <f t="shared" si="618"/>
        <v/>
      </c>
      <c r="IX166" s="125" t="e">
        <f>IF('Publication Bias Analysis'!BF166&lt;&gt;"",'Publication Bias Analysis'!BF166,NA())</f>
        <v>#N/A</v>
      </c>
      <c r="IY166" s="125" t="e">
        <f>IF('Publication Bias Analysis'!BG166&lt;&gt;"",'Publication Bias Analysis'!BG166,NA())</f>
        <v>#N/A</v>
      </c>
      <c r="IZ166" s="69" t="str">
        <f>IF(AND(Include_study?="Yes",Sufficient_data="Yes"),'Publication Bias Analysis'!BF:BF-AVERAGE('Publication Bias Analysis'!BF:BF),"")</f>
        <v/>
      </c>
      <c r="JA166" s="74" t="str">
        <f>IF(AND(Include_study?="Yes",Sufficient_data="Yes"),'Publication Bias Analysis'!BG:BG-('Publication Bias Analysis'!BJ$30+'Publication Bias Analysis'!BJ$31*'Publication Bias Analysis'!BF:BF),"")</f>
        <v/>
      </c>
      <c r="JG166" s="176"/>
      <c r="JH166" s="39" t="str">
        <f t="shared" si="619"/>
        <v/>
      </c>
      <c r="JI166" s="148" t="str">
        <f t="shared" si="531"/>
        <v/>
      </c>
      <c r="JJ166" s="74" t="str">
        <f t="shared" si="532"/>
        <v/>
      </c>
    </row>
    <row r="167" spans="1:270" x14ac:dyDescent="0.2">
      <c r="A167" s="56" t="str">
        <f t="shared" si="533"/>
        <v/>
      </c>
      <c r="B167" s="7" t="str">
        <f>IF(AND(Include_study?="Yes",Sufficient_data="Yes"),IF(Input!a_&lt;&gt;"",Input!a_,Input!n1_-Input!b_),"")</f>
        <v/>
      </c>
      <c r="C167" s="7" t="str">
        <f>IF(AND(Include_study?="Yes",Sufficient_data="Yes"),IF(Input!b_&lt;&gt;"",Input!b_,Input!n1_-Input!a_),"")</f>
        <v/>
      </c>
      <c r="D167" s="7" t="str">
        <f>IF(AND(Include_study?="Yes",Sufficient_data="Yes"),IF(Input!c_&lt;&gt;"",Input!c_,Input!n2_-Input!d_),"")</f>
        <v/>
      </c>
      <c r="E167" s="7" t="str">
        <f>IF(AND(Include_study?="Yes",Sufficient_data="Yes"),IF(Input!d_&lt;&gt;"",Input!d_,Input!n2_-Input!c_),"")</f>
        <v/>
      </c>
      <c r="F167" s="74" t="str">
        <f t="shared" si="534"/>
        <v/>
      </c>
      <c r="H167" s="196"/>
      <c r="I167" s="182"/>
      <c r="J167" s="146" t="str">
        <f t="shared" si="444"/>
        <v/>
      </c>
      <c r="K167" s="39" t="str">
        <f t="shared" si="535"/>
        <v/>
      </c>
      <c r="L167" s="39" t="str">
        <f t="shared" si="536"/>
        <v/>
      </c>
      <c r="M167" s="39" t="str">
        <f t="shared" si="537"/>
        <v/>
      </c>
      <c r="N167" s="74" t="str">
        <f t="shared" si="538"/>
        <v/>
      </c>
      <c r="P167" s="176"/>
      <c r="Q167" s="130" t="str">
        <f t="shared" si="539"/>
        <v/>
      </c>
      <c r="R167" s="39" t="str">
        <f t="shared" si="540"/>
        <v/>
      </c>
      <c r="S167" s="39" t="str">
        <f t="shared" si="541"/>
        <v/>
      </c>
      <c r="T167" s="74" t="str">
        <f t="shared" si="542"/>
        <v/>
      </c>
      <c r="V167" s="176"/>
      <c r="W167" s="130" t="str">
        <f t="shared" si="543"/>
        <v/>
      </c>
      <c r="X167" s="39" t="str">
        <f t="shared" si="544"/>
        <v/>
      </c>
      <c r="Y167" s="39" t="str">
        <f t="shared" si="545"/>
        <v/>
      </c>
      <c r="Z167" s="74" t="str">
        <f t="shared" si="546"/>
        <v/>
      </c>
      <c r="AB167" s="176"/>
      <c r="AC167" s="130" t="str">
        <f t="shared" si="547"/>
        <v/>
      </c>
      <c r="AD167" s="39" t="str">
        <f t="shared" si="548"/>
        <v/>
      </c>
      <c r="AE167" s="39" t="str">
        <f t="shared" si="549"/>
        <v/>
      </c>
      <c r="AF167" s="39" t="str">
        <f t="shared" si="550"/>
        <v/>
      </c>
      <c r="AG167" s="74" t="str">
        <f t="shared" si="551"/>
        <v/>
      </c>
      <c r="AI167" s="196"/>
      <c r="AJ16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7" s="136" t="str">
        <f>IF(AJ167&lt;&gt;"",IF(AJ167=0,COUNTIF(AJ$2:AJ166,0)+1,COUNTIF(AJ$2:AJ166,AJ167)+AJ167+COUNTIF(AJ:AJ,0)),"")</f>
        <v/>
      </c>
      <c r="AL167" s="136" t="str">
        <f t="shared" si="462"/>
        <v/>
      </c>
      <c r="AM167" s="155" t="str">
        <f>IF(AND(Include_study?="Yes",Sufficient_data="Yes",Input!Study_name&lt;&gt;""),Input!Study_name,"")</f>
        <v/>
      </c>
      <c r="AN167" s="136" t="str">
        <f t="shared" si="463"/>
        <v/>
      </c>
      <c r="AO167" s="19" t="str">
        <f t="shared" si="552"/>
        <v/>
      </c>
      <c r="AP167" s="158" t="str">
        <f t="shared" si="553"/>
        <v/>
      </c>
      <c r="AQ167" s="158" t="str">
        <f t="shared" si="554"/>
        <v/>
      </c>
      <c r="AR167" s="39" t="str">
        <f t="shared" si="555"/>
        <v/>
      </c>
      <c r="AS167" s="158" t="str">
        <f t="shared" si="556"/>
        <v/>
      </c>
      <c r="AT167" s="39" t="str">
        <f t="shared" si="557"/>
        <v/>
      </c>
      <c r="AU167" s="172" t="str">
        <f t="shared" si="558"/>
        <v/>
      </c>
      <c r="AV167" s="45"/>
      <c r="AW167" s="84" t="e">
        <f t="shared" si="559"/>
        <v>#N/A</v>
      </c>
      <c r="AX167" s="69" t="e">
        <f t="shared" si="560"/>
        <v>#N/A</v>
      </c>
      <c r="AY167" s="74" t="e">
        <f t="shared" si="561"/>
        <v>#N/A</v>
      </c>
      <c r="AZ167" s="45"/>
      <c r="BA167" s="45"/>
      <c r="BB167" s="45"/>
      <c r="BC167" s="45"/>
      <c r="BD167" s="196"/>
      <c r="BE167" s="182"/>
      <c r="BF167" s="69" t="str">
        <f t="shared" si="562"/>
        <v/>
      </c>
      <c r="BG167" s="69" t="str">
        <f t="shared" si="563"/>
        <v/>
      </c>
      <c r="BH167" s="69" t="str">
        <f t="shared" si="564"/>
        <v/>
      </c>
      <c r="BI167" s="39" t="str">
        <f t="shared" si="565"/>
        <v/>
      </c>
      <c r="BJ167" s="95" t="str">
        <f t="shared" si="566"/>
        <v/>
      </c>
      <c r="BO167" s="176"/>
      <c r="BP167" s="158" t="str">
        <f t="shared" si="567"/>
        <v/>
      </c>
      <c r="BQ167" s="158" t="str">
        <f t="shared" si="568"/>
        <v/>
      </c>
      <c r="BR167" s="158" t="str">
        <f t="shared" si="569"/>
        <v/>
      </c>
      <c r="BS167" s="158" t="str">
        <f>IF(AND(Sufficient_data="Yes",Include_study?="Yes"),IF(Add_0_5="Yes",(a_+d_+1)*(ab_+0.5)*(c_+0.5)/(Number_of_subjects+2)^2,(a_+d_)*b_*c_/Number_of_subjects^2),"")</f>
        <v/>
      </c>
      <c r="BT167" s="158" t="str">
        <f t="shared" si="570"/>
        <v/>
      </c>
      <c r="BU167" s="158" t="str">
        <f t="shared" si="571"/>
        <v/>
      </c>
      <c r="BV167" s="158" t="str">
        <f t="shared" si="572"/>
        <v/>
      </c>
      <c r="BW167" s="69" t="str">
        <f t="shared" si="573"/>
        <v/>
      </c>
      <c r="BX167" s="137" t="str">
        <f t="shared" si="574"/>
        <v/>
      </c>
      <c r="BY167" s="95" t="str">
        <f t="shared" si="575"/>
        <v/>
      </c>
      <c r="CD167" s="176"/>
      <c r="CE167" s="130" t="str">
        <f t="shared" si="576"/>
        <v/>
      </c>
      <c r="CF167" s="39" t="str">
        <f t="shared" si="577"/>
        <v/>
      </c>
      <c r="CG167" s="39" t="str">
        <f t="shared" si="578"/>
        <v/>
      </c>
      <c r="CH167" s="39" t="str">
        <f t="shared" si="579"/>
        <v/>
      </c>
      <c r="CI167" s="39" t="str">
        <f t="shared" si="580"/>
        <v/>
      </c>
      <c r="CJ167" s="39" t="str">
        <f t="shared" si="486"/>
        <v/>
      </c>
      <c r="CK167" s="95" t="str">
        <f t="shared" si="581"/>
        <v/>
      </c>
      <c r="CP167" s="176"/>
      <c r="CQ167" s="99" t="str">
        <f t="shared" si="582"/>
        <v/>
      </c>
      <c r="CX167" s="196"/>
      <c r="CY167" s="89" t="e">
        <f t="shared" si="583"/>
        <v>#N/A</v>
      </c>
      <c r="CZ167" s="136" t="str">
        <f t="shared" si="584"/>
        <v/>
      </c>
      <c r="DA167" s="140" t="str">
        <f t="shared" si="585"/>
        <v/>
      </c>
      <c r="DB167" s="39" t="str">
        <f t="shared" si="586"/>
        <v/>
      </c>
      <c r="DC167" s="39" t="str">
        <f t="shared" si="587"/>
        <v/>
      </c>
      <c r="DD167" s="39" t="str">
        <f t="shared" si="588"/>
        <v/>
      </c>
      <c r="DE167" s="39" t="str">
        <f t="shared" si="589"/>
        <v/>
      </c>
      <c r="DF167" s="141" t="str">
        <f t="shared" si="590"/>
        <v/>
      </c>
      <c r="DG167" s="39" t="str">
        <f t="shared" si="591"/>
        <v/>
      </c>
      <c r="DH167" s="39" t="str">
        <f t="shared" si="592"/>
        <v/>
      </c>
      <c r="DI167" s="39" t="str">
        <f t="shared" si="593"/>
        <v/>
      </c>
      <c r="DJ167" s="74" t="str">
        <f t="shared" si="594"/>
        <v/>
      </c>
      <c r="DK167" s="45"/>
      <c r="DL167" s="84" t="e">
        <f t="shared" si="423"/>
        <v>#N/A</v>
      </c>
      <c r="DM167" s="39" t="e">
        <f t="shared" si="595"/>
        <v>#N/A</v>
      </c>
      <c r="DN167" s="74" t="e">
        <f t="shared" si="596"/>
        <v>#N/A</v>
      </c>
      <c r="DO167" s="45"/>
      <c r="DP167" s="89" t="str">
        <f t="shared" si="525"/>
        <v/>
      </c>
      <c r="DQ167" s="26" t="str">
        <f>IF(AND(Sufficient_data="Yes",Subgroup&lt;&gt;""),IF(COUNTIFS(Input!J$2:J166,"="&amp;"Yes",Input!C$2:C166,"="&amp;"Yes",Input!K$2:K166,"="&amp;Subgroup)&gt;0,"",Subgroup),"")</f>
        <v/>
      </c>
      <c r="DR167" s="7" t="str">
        <f t="shared" si="526"/>
        <v/>
      </c>
      <c r="DS167" s="7" t="str">
        <f t="shared" si="597"/>
        <v/>
      </c>
      <c r="DT167" s="19" t="str">
        <f t="shared" si="598"/>
        <v/>
      </c>
      <c r="DU167" s="12" t="str">
        <f t="shared" si="424"/>
        <v/>
      </c>
      <c r="DV167" s="11" t="str">
        <f t="shared" si="425"/>
        <v/>
      </c>
      <c r="DW167" s="12" t="str">
        <f t="shared" si="426"/>
        <v/>
      </c>
      <c r="DX167" s="12" t="str">
        <f t="shared" si="599"/>
        <v/>
      </c>
      <c r="DY167" s="19" t="str">
        <f t="shared" si="427"/>
        <v/>
      </c>
      <c r="DZ167" s="12" t="str">
        <f t="shared" si="428"/>
        <v/>
      </c>
      <c r="EA167" s="19" t="str">
        <f t="shared" si="600"/>
        <v/>
      </c>
      <c r="EB167" s="7" t="str">
        <f t="shared" si="601"/>
        <v/>
      </c>
      <c r="EC167" s="19" t="str">
        <f t="shared" si="602"/>
        <v/>
      </c>
      <c r="ED167" s="19" t="str">
        <f t="shared" si="603"/>
        <v/>
      </c>
      <c r="EE167" s="19" t="str">
        <f t="shared" si="429"/>
        <v/>
      </c>
      <c r="EF167" s="19" t="str">
        <f t="shared" si="430"/>
        <v/>
      </c>
      <c r="EG167" s="19" t="str">
        <f t="shared" si="431"/>
        <v/>
      </c>
      <c r="EH167" s="19" t="str">
        <f t="shared" si="432"/>
        <v/>
      </c>
      <c r="EI167" s="19" t="str">
        <f t="shared" si="433"/>
        <v/>
      </c>
      <c r="EJ167" s="19" t="str">
        <f t="shared" si="604"/>
        <v/>
      </c>
      <c r="EK167" s="19" t="str">
        <f t="shared" si="605"/>
        <v/>
      </c>
      <c r="EL167" s="19" t="str">
        <f t="shared" si="434"/>
        <v/>
      </c>
      <c r="EM167" s="19" t="str">
        <f t="shared" si="435"/>
        <v/>
      </c>
      <c r="EN167" s="19" t="str">
        <f t="shared" si="436"/>
        <v/>
      </c>
      <c r="EO167" s="19" t="str">
        <f t="shared" si="437"/>
        <v/>
      </c>
      <c r="EP167" s="19" t="str">
        <f t="shared" si="438"/>
        <v/>
      </c>
      <c r="EQ167" s="19" t="e">
        <f t="shared" si="439"/>
        <v>#N/A</v>
      </c>
      <c r="ER167" s="11" t="str">
        <f t="shared" si="527"/>
        <v/>
      </c>
      <c r="ES167" s="19" t="str">
        <f t="shared" si="528"/>
        <v/>
      </c>
      <c r="ET167" s="156" t="str">
        <f t="shared" si="606"/>
        <v/>
      </c>
      <c r="EU167" s="39" t="str">
        <f t="shared" si="440"/>
        <v/>
      </c>
      <c r="EV167" s="74" t="str">
        <f t="shared" si="607"/>
        <v/>
      </c>
      <c r="FA167" s="196"/>
      <c r="FB167" s="84" t="e">
        <f>IF(AND(Include_study?="Yes",Sufficient_data="Yes",Moderator&lt;&gt;""),'Moderator Analysis'!E167,NA())</f>
        <v>#N/A</v>
      </c>
      <c r="FC167" s="39" t="e">
        <f>IF(AND(Include_study?="Yes",Sufficient_data="Yes",Moderator&lt;&gt;""),'Moderator Analysis'!F167,NA())</f>
        <v>#N/A</v>
      </c>
      <c r="FD167" s="39" t="str">
        <f t="shared" si="608"/>
        <v/>
      </c>
      <c r="FE167" s="39" t="str">
        <f t="shared" si="609"/>
        <v/>
      </c>
      <c r="FF167" s="39" t="str">
        <f>IF(AND(Include_study?="Yes",Sufficient_data="Yes",Moderator&lt;&gt;""),'Moderator Analysis'!F:F-FP$2,"")</f>
        <v/>
      </c>
      <c r="FG167" s="39" t="str">
        <f>IF(AND(Include_study?="Yes",Sufficient_data="Yes",Moderator&lt;&gt;""),'Moderator Analysis'!E:E-FP$3,"")</f>
        <v/>
      </c>
      <c r="FH167" s="74" t="str">
        <f>IF(AND(Include_study?="Yes",Sufficient_data="Yes",Moderator&lt;&gt;""),FE:FE*('Moderator Analysis'!F:F-FP$5-FP$4*'Moderator Analysis'!E:E)^2,"")</f>
        <v/>
      </c>
      <c r="FI167" s="128"/>
      <c r="FJ167" s="92" t="str">
        <f t="shared" si="610"/>
        <v/>
      </c>
      <c r="FK167" s="137" t="str">
        <f>IF(AND(Include_study?="Yes",Sufficient_data="Yes",Moderator&lt;&gt;""),'Moderator Analysis'!F:F-'Moderator Analysis'!J$37,"")</f>
        <v/>
      </c>
      <c r="FL167" s="137" t="str">
        <f>IF(AND(Include_study?="Yes",Sufficient_data="Yes",Moderator&lt;&gt;""),'Moderator Analysis'!E:E-SUMPRODUCT('Moderator Analysis'!E:E,FJ:FJ)/SUM(FJ:FJ),"")</f>
        <v/>
      </c>
      <c r="FM167" s="95" t="str">
        <f>IF(AND(Include_study?="Yes",Sufficient_data="Yes",Moderator&lt;&gt;""),FJ:FJ*('Moderator Analysis'!F:F-'Moderator Analysis'!J$29-'Moderator Analysis'!J$30*'Moderator Analysis'!E:E)^2,"")</f>
        <v/>
      </c>
      <c r="FR167" s="196"/>
      <c r="FS167" s="182"/>
      <c r="FT16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7" s="39" t="str">
        <f>IF(AND(Include_study?="Yes",Sufficient_data="Yes"),1/('Publication Bias Analysis'!F:F^2+IF(Additional_model="Fixed effect",0,Calculations!GH$12)),"")</f>
        <v/>
      </c>
      <c r="FV167" s="39" t="str">
        <f>IF(AND(Include_study?="Yes",Sufficient_data="Yes"),1/('Publication Bias Analysis'!F:F^2+IF(Additional_model="Fixed effect",0,'Publication Bias Analysis'!L$32)),"")</f>
        <v/>
      </c>
      <c r="FW167" s="39" t="str">
        <f>IF(AND(Include_study?="Yes",Sufficient_data="Yes"),'Publication Bias Analysis'!E:E-'Publication Bias Analysis'!I$37,"")</f>
        <v/>
      </c>
      <c r="FX167" s="39" t="str">
        <f>IF(AND(Include_study?="Yes",Sufficient_data="Yes"),IF(Additional_model="Fixed effect",1/'Publication Bias Analysis'!F:F,1/SQRT('Publication Bias Analysis'!F:F^2+GH$12)),"")</f>
        <v/>
      </c>
      <c r="FY16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7" s="136" t="str">
        <f t="shared" si="611"/>
        <v/>
      </c>
      <c r="GA167" s="144" t="str">
        <f>IF(AND(Include_study?="Yes",Sufficient_data="Yes"),FZ:FZ+IF(GL:GL&lt;0,-1,1)*COUNTIF(FZ$2:FZ166,FZ:FZ),"")</f>
        <v/>
      </c>
      <c r="GB167" s="144" t="str">
        <f>IF(AND(Include_study?="Yes",Sufficient_data="Yes"),RANK(GP:GP,GP:GP,1)*IF(GO:GO&lt;0,-1,1)+IF(GO:GO&lt;0,-1,1)*COUNTIF(FZ$2:FZ166,FZ:FZ),"")</f>
        <v/>
      </c>
      <c r="GC167" s="144" t="str">
        <f>IF(AND(Include_study?="Yes",Sufficient_data="Yes"),RANK(GS:GS,GS:GS,1)*IF(GR:GR&lt;0,-1,1)+IF(GR:GR&lt;0,-1,1)*COUNTIF(FZ$2:FZ166,FZ:FZ),"")</f>
        <v/>
      </c>
      <c r="GD167" s="39" t="e">
        <f>IF(AND(Include_study?="Yes",Sufficient_data="Yes"),'Publication Bias Analysis'!E167,NA())</f>
        <v>#N/A</v>
      </c>
      <c r="GE167" s="74" t="e">
        <f>IF(AND(Include_study?="Yes",Sufficient_data="Yes"),'Publication Bias Analysis'!F167,NA())</f>
        <v>#N/A</v>
      </c>
      <c r="GK167" s="176"/>
      <c r="GL16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7" s="39" t="str">
        <f t="shared" si="612"/>
        <v/>
      </c>
      <c r="GN16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7" s="39" t="str">
        <f>IF(AND(Include_study?="Yes",Sufficient_data="Yes"),IF('Publication Bias Analysis'!L$38="Left",'Publication Bias Analysis'!E:E-GW$3,GW$3-'Publication Bias Analysis'!E:E),"")</f>
        <v/>
      </c>
      <c r="GP167" s="39" t="str">
        <f t="shared" si="529"/>
        <v/>
      </c>
      <c r="GQ16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7" s="39" t="str">
        <f>IF(AND(Include_study?="Yes",Sufficient_data="Yes"),IF('Publication Bias Analysis'!L$38="Left",'Publication Bias Analysis'!E:E-GW$10,GW$10-'Publication Bias Analysis'!E:E),"")</f>
        <v/>
      </c>
      <c r="GS167" s="39" t="str">
        <f t="shared" si="530"/>
        <v/>
      </c>
      <c r="GT16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7" s="176"/>
      <c r="HL167" s="69" t="str">
        <f t="shared" si="518"/>
        <v/>
      </c>
      <c r="HM167" s="74" t="str">
        <f>IF(AND(Include_study?="Yes",Sufficient_data="Yes"),Z_score-('Publication Bias Analysis'!P$3+'Publication Bias Analysis'!P$4*Inverse_standard_error),"")</f>
        <v/>
      </c>
      <c r="HO167" s="176"/>
      <c r="HP167" s="69" t="str">
        <f>IF(AND(Include_study?="Yes",Sufficient_data="Yes"),(GD:GD-SUMPRODUCT(Calculations!FT:FT,'Publication Bias Analysis'!E:E)/SUM(Calculations!FT:FT))/SQRT(Calculations!HQ:HQ),"")</f>
        <v/>
      </c>
      <c r="HQ167" s="69" t="str">
        <f>IF(AND(Include_study?="Yes",Sufficient_data="Yes"),GE:GE^2-1/SUM(Calculations!FT:FT),"")</f>
        <v/>
      </c>
      <c r="HR167" s="7" t="str">
        <f t="shared" si="441"/>
        <v/>
      </c>
      <c r="HS167" s="7" t="str">
        <f t="shared" si="442"/>
        <v/>
      </c>
      <c r="HT167" s="7" t="str">
        <f>IF(AND(Include_study?="Yes",Sufficient_data="Yes"),COUNTIFS(HR$2:HR166,"&lt;"&amp;HR167,HS$2:HS166,"&lt;"&amp;HS167)+COUNTIFS(HR168:HR$201,"&lt;"&amp;HR167,HS168:HS$201,"&lt;"&amp;HS167)+COUNTIFS(HR$2:HR166,"&gt;"&amp;HR167,HS$2:HS166,"&gt;"&amp;HS167)+COUNTIFS(HR168:HR$201,"&gt;"&amp;HR167,HS168:HS$201,"&gt;"&amp;HS167),"")</f>
        <v/>
      </c>
      <c r="HU167" s="104" t="str">
        <f>IF(AND(Include_study?="Yes",Sufficient_data="Yes"),COUNTIFS(HR$2:HR166,"&lt;"&amp;HR167,HS$2:HS166,"&gt;"&amp;HS167)+COUNTIFS(HR168:HR$201,"&lt;"&amp;HR167,HS168:HS$201,"&gt;"&amp;HS167)+COUNTIFS(HR$2:HR166,"&gt;"&amp;HR167,HS$2:HS166,"&lt;"&amp;HS167)+COUNTIFS(HR168:HR$201,"&gt;"&amp;HR167,HS168:HS$201,"&lt;"&amp;HS167),"")</f>
        <v/>
      </c>
      <c r="HW167" s="176"/>
      <c r="IB167" s="176"/>
      <c r="IC167" s="146" t="e">
        <f t="shared" si="613"/>
        <v>#N/A</v>
      </c>
      <c r="ID167" s="137" t="e">
        <f t="shared" si="614"/>
        <v>#N/A</v>
      </c>
      <c r="IE167" s="137" t="str">
        <f t="shared" si="615"/>
        <v/>
      </c>
      <c r="IF167" s="95" t="str">
        <f t="shared" si="616"/>
        <v/>
      </c>
      <c r="IK167" s="176"/>
      <c r="IL167" s="69" t="e">
        <f>IF(AND(Include_study?="Yes",Sufficient_data="Yes"),'Publication Bias Analysis'!AV:AV,NA())</f>
        <v>#N/A</v>
      </c>
      <c r="IM167" s="158" t="e">
        <f>IF(AND(Sufficient_data="Yes",Include_study?="Yes"),'Publication Bias Analysis'!AU:AU,NA())</f>
        <v>#N/A</v>
      </c>
      <c r="IN167" s="69" t="str">
        <f t="shared" si="617"/>
        <v/>
      </c>
      <c r="IO167" s="74" t="str">
        <f>IF(AND(Include_study?="Yes",Sufficient_data="Yes"),Z_score-('Publication Bias Analysis'!AY$30+'Publication Bias Analysis'!AY$31*Inverse_standard_error),"")</f>
        <v/>
      </c>
      <c r="IU167" s="176"/>
      <c r="IV167" s="7" t="str">
        <f>IF('Publication Bias Analysis'!BG:BG&lt;&gt;"",RANK('Publication Bias Analysis'!BG:BG,'Publication Bias Analysis'!BG:BG,1)+COUNTIF('Publication Bias Analysis'!BG$2:BG166,'Publication Bias Analysis'!BG167),"")</f>
        <v/>
      </c>
      <c r="IW167" s="124" t="str">
        <f t="shared" si="618"/>
        <v/>
      </c>
      <c r="IX167" s="125" t="e">
        <f>IF('Publication Bias Analysis'!BF167&lt;&gt;"",'Publication Bias Analysis'!BF167,NA())</f>
        <v>#N/A</v>
      </c>
      <c r="IY167" s="125" t="e">
        <f>IF('Publication Bias Analysis'!BG167&lt;&gt;"",'Publication Bias Analysis'!BG167,NA())</f>
        <v>#N/A</v>
      </c>
      <c r="IZ167" s="69" t="str">
        <f>IF(AND(Include_study?="Yes",Sufficient_data="Yes"),'Publication Bias Analysis'!BF:BF-AVERAGE('Publication Bias Analysis'!BF:BF),"")</f>
        <v/>
      </c>
      <c r="JA167" s="74" t="str">
        <f>IF(AND(Include_study?="Yes",Sufficient_data="Yes"),'Publication Bias Analysis'!BG:BG-('Publication Bias Analysis'!BJ$30+'Publication Bias Analysis'!BJ$31*'Publication Bias Analysis'!BF:BF),"")</f>
        <v/>
      </c>
      <c r="JG167" s="176"/>
      <c r="JH167" s="39" t="str">
        <f t="shared" si="619"/>
        <v/>
      </c>
      <c r="JI167" s="148" t="str">
        <f t="shared" si="531"/>
        <v/>
      </c>
      <c r="JJ167" s="74" t="str">
        <f t="shared" si="532"/>
        <v/>
      </c>
    </row>
    <row r="168" spans="1:270" x14ac:dyDescent="0.2">
      <c r="A168" s="56" t="str">
        <f t="shared" si="533"/>
        <v/>
      </c>
      <c r="B168" s="7" t="str">
        <f>IF(AND(Include_study?="Yes",Sufficient_data="Yes"),IF(Input!a_&lt;&gt;"",Input!a_,Input!n1_-Input!b_),"")</f>
        <v/>
      </c>
      <c r="C168" s="7" t="str">
        <f>IF(AND(Include_study?="Yes",Sufficient_data="Yes"),IF(Input!b_&lt;&gt;"",Input!b_,Input!n1_-Input!a_),"")</f>
        <v/>
      </c>
      <c r="D168" s="7" t="str">
        <f>IF(AND(Include_study?="Yes",Sufficient_data="Yes"),IF(Input!c_&lt;&gt;"",Input!c_,Input!n2_-Input!d_),"")</f>
        <v/>
      </c>
      <c r="E168" s="7" t="str">
        <f>IF(AND(Include_study?="Yes",Sufficient_data="Yes"),IF(Input!d_&lt;&gt;"",Input!d_,Input!n2_-Input!c_),"")</f>
        <v/>
      </c>
      <c r="F168" s="74" t="str">
        <f t="shared" si="534"/>
        <v/>
      </c>
      <c r="H168" s="196"/>
      <c r="I168" s="182"/>
      <c r="J168" s="146" t="str">
        <f t="shared" si="444"/>
        <v/>
      </c>
      <c r="K168" s="39" t="str">
        <f t="shared" si="535"/>
        <v/>
      </c>
      <c r="L168" s="39" t="str">
        <f t="shared" si="536"/>
        <v/>
      </c>
      <c r="M168" s="39" t="str">
        <f t="shared" si="537"/>
        <v/>
      </c>
      <c r="N168" s="74" t="str">
        <f t="shared" si="538"/>
        <v/>
      </c>
      <c r="P168" s="176"/>
      <c r="Q168" s="130" t="str">
        <f t="shared" si="539"/>
        <v/>
      </c>
      <c r="R168" s="39" t="str">
        <f t="shared" si="540"/>
        <v/>
      </c>
      <c r="S168" s="39" t="str">
        <f t="shared" si="541"/>
        <v/>
      </c>
      <c r="T168" s="74" t="str">
        <f t="shared" si="542"/>
        <v/>
      </c>
      <c r="V168" s="176"/>
      <c r="W168" s="130" t="str">
        <f t="shared" si="543"/>
        <v/>
      </c>
      <c r="X168" s="39" t="str">
        <f t="shared" si="544"/>
        <v/>
      </c>
      <c r="Y168" s="39" t="str">
        <f t="shared" si="545"/>
        <v/>
      </c>
      <c r="Z168" s="74" t="str">
        <f t="shared" si="546"/>
        <v/>
      </c>
      <c r="AB168" s="176"/>
      <c r="AC168" s="130" t="str">
        <f t="shared" si="547"/>
        <v/>
      </c>
      <c r="AD168" s="39" t="str">
        <f t="shared" si="548"/>
        <v/>
      </c>
      <c r="AE168" s="39" t="str">
        <f t="shared" si="549"/>
        <v/>
      </c>
      <c r="AF168" s="39" t="str">
        <f t="shared" si="550"/>
        <v/>
      </c>
      <c r="AG168" s="74" t="str">
        <f t="shared" si="551"/>
        <v/>
      </c>
      <c r="AI168" s="196"/>
      <c r="AJ16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8" s="136" t="str">
        <f>IF(AJ168&lt;&gt;"",IF(AJ168=0,COUNTIF(AJ$2:AJ167,0)+1,COUNTIF(AJ$2:AJ167,AJ168)+AJ168+COUNTIF(AJ:AJ,0)),"")</f>
        <v/>
      </c>
      <c r="AL168" s="136" t="str">
        <f t="shared" si="462"/>
        <v/>
      </c>
      <c r="AM168" s="155" t="str">
        <f>IF(AND(Include_study?="Yes",Sufficient_data="Yes",Input!Study_name&lt;&gt;""),Input!Study_name,"")</f>
        <v/>
      </c>
      <c r="AN168" s="136" t="str">
        <f t="shared" si="463"/>
        <v/>
      </c>
      <c r="AO168" s="19" t="str">
        <f t="shared" si="552"/>
        <v/>
      </c>
      <c r="AP168" s="158" t="str">
        <f t="shared" si="553"/>
        <v/>
      </c>
      <c r="AQ168" s="158" t="str">
        <f t="shared" si="554"/>
        <v/>
      </c>
      <c r="AR168" s="39" t="str">
        <f t="shared" si="555"/>
        <v/>
      </c>
      <c r="AS168" s="158" t="str">
        <f t="shared" si="556"/>
        <v/>
      </c>
      <c r="AT168" s="39" t="str">
        <f t="shared" si="557"/>
        <v/>
      </c>
      <c r="AU168" s="172" t="str">
        <f t="shared" si="558"/>
        <v/>
      </c>
      <c r="AV168" s="45"/>
      <c r="AW168" s="84" t="e">
        <f t="shared" si="559"/>
        <v>#N/A</v>
      </c>
      <c r="AX168" s="69" t="e">
        <f t="shared" si="560"/>
        <v>#N/A</v>
      </c>
      <c r="AY168" s="74" t="e">
        <f t="shared" si="561"/>
        <v>#N/A</v>
      </c>
      <c r="AZ168" s="45"/>
      <c r="BA168" s="45"/>
      <c r="BB168" s="45"/>
      <c r="BC168" s="45"/>
      <c r="BD168" s="196"/>
      <c r="BE168" s="182"/>
      <c r="BF168" s="69" t="str">
        <f t="shared" si="562"/>
        <v/>
      </c>
      <c r="BG168" s="69" t="str">
        <f t="shared" si="563"/>
        <v/>
      </c>
      <c r="BH168" s="69" t="str">
        <f t="shared" si="564"/>
        <v/>
      </c>
      <c r="BI168" s="39" t="str">
        <f t="shared" si="565"/>
        <v/>
      </c>
      <c r="BJ168" s="95" t="str">
        <f t="shared" si="566"/>
        <v/>
      </c>
      <c r="BO168" s="176"/>
      <c r="BP168" s="158" t="str">
        <f t="shared" si="567"/>
        <v/>
      </c>
      <c r="BQ168" s="158" t="str">
        <f t="shared" si="568"/>
        <v/>
      </c>
      <c r="BR168" s="158" t="str">
        <f t="shared" si="569"/>
        <v/>
      </c>
      <c r="BS168" s="158" t="str">
        <f>IF(AND(Sufficient_data="Yes",Include_study?="Yes"),IF(Add_0_5="Yes",(a_+d_+1)*(ab_+0.5)*(c_+0.5)/(Number_of_subjects+2)^2,(a_+d_)*b_*c_/Number_of_subjects^2),"")</f>
        <v/>
      </c>
      <c r="BT168" s="158" t="str">
        <f t="shared" si="570"/>
        <v/>
      </c>
      <c r="BU168" s="158" t="str">
        <f t="shared" si="571"/>
        <v/>
      </c>
      <c r="BV168" s="158" t="str">
        <f t="shared" si="572"/>
        <v/>
      </c>
      <c r="BW168" s="69" t="str">
        <f t="shared" si="573"/>
        <v/>
      </c>
      <c r="BX168" s="137" t="str">
        <f t="shared" si="574"/>
        <v/>
      </c>
      <c r="BY168" s="95" t="str">
        <f t="shared" si="575"/>
        <v/>
      </c>
      <c r="CD168" s="176"/>
      <c r="CE168" s="130" t="str">
        <f t="shared" si="576"/>
        <v/>
      </c>
      <c r="CF168" s="39" t="str">
        <f t="shared" si="577"/>
        <v/>
      </c>
      <c r="CG168" s="39" t="str">
        <f t="shared" si="578"/>
        <v/>
      </c>
      <c r="CH168" s="39" t="str">
        <f t="shared" si="579"/>
        <v/>
      </c>
      <c r="CI168" s="39" t="str">
        <f t="shared" si="580"/>
        <v/>
      </c>
      <c r="CJ168" s="39" t="str">
        <f t="shared" si="486"/>
        <v/>
      </c>
      <c r="CK168" s="95" t="str">
        <f t="shared" si="581"/>
        <v/>
      </c>
      <c r="CP168" s="176"/>
      <c r="CQ168" s="99" t="str">
        <f t="shared" si="582"/>
        <v/>
      </c>
      <c r="CX168" s="196"/>
      <c r="CY168" s="89" t="e">
        <f t="shared" si="583"/>
        <v>#N/A</v>
      </c>
      <c r="CZ168" s="136" t="str">
        <f t="shared" si="584"/>
        <v/>
      </c>
      <c r="DA168" s="140" t="str">
        <f t="shared" si="585"/>
        <v/>
      </c>
      <c r="DB168" s="39" t="str">
        <f t="shared" si="586"/>
        <v/>
      </c>
      <c r="DC168" s="39" t="str">
        <f t="shared" si="587"/>
        <v/>
      </c>
      <c r="DD168" s="39" t="str">
        <f t="shared" si="588"/>
        <v/>
      </c>
      <c r="DE168" s="39" t="str">
        <f t="shared" si="589"/>
        <v/>
      </c>
      <c r="DF168" s="141" t="str">
        <f t="shared" si="590"/>
        <v/>
      </c>
      <c r="DG168" s="39" t="str">
        <f t="shared" si="591"/>
        <v/>
      </c>
      <c r="DH168" s="39" t="str">
        <f t="shared" si="592"/>
        <v/>
      </c>
      <c r="DI168" s="39" t="str">
        <f t="shared" si="593"/>
        <v/>
      </c>
      <c r="DJ168" s="74" t="str">
        <f t="shared" si="594"/>
        <v/>
      </c>
      <c r="DK168" s="45"/>
      <c r="DL168" s="84" t="e">
        <f t="shared" si="423"/>
        <v>#N/A</v>
      </c>
      <c r="DM168" s="39" t="e">
        <f t="shared" si="595"/>
        <v>#N/A</v>
      </c>
      <c r="DN168" s="74" t="e">
        <f t="shared" si="596"/>
        <v>#N/A</v>
      </c>
      <c r="DO168" s="45"/>
      <c r="DP168" s="89" t="str">
        <f t="shared" si="525"/>
        <v/>
      </c>
      <c r="DQ168" s="26" t="str">
        <f>IF(AND(Sufficient_data="Yes",Subgroup&lt;&gt;""),IF(COUNTIFS(Input!J$2:J167,"="&amp;"Yes",Input!C$2:C167,"="&amp;"Yes",Input!K$2:K167,"="&amp;Subgroup)&gt;0,"",Subgroup),"")</f>
        <v/>
      </c>
      <c r="DR168" s="7" t="str">
        <f t="shared" si="526"/>
        <v/>
      </c>
      <c r="DS168" s="7" t="str">
        <f t="shared" si="597"/>
        <v/>
      </c>
      <c r="DT168" s="19" t="str">
        <f t="shared" si="598"/>
        <v/>
      </c>
      <c r="DU168" s="12" t="str">
        <f t="shared" si="424"/>
        <v/>
      </c>
      <c r="DV168" s="11" t="str">
        <f t="shared" si="425"/>
        <v/>
      </c>
      <c r="DW168" s="12" t="str">
        <f t="shared" si="426"/>
        <v/>
      </c>
      <c r="DX168" s="12" t="str">
        <f t="shared" si="599"/>
        <v/>
      </c>
      <c r="DY168" s="19" t="str">
        <f t="shared" si="427"/>
        <v/>
      </c>
      <c r="DZ168" s="12" t="str">
        <f t="shared" si="428"/>
        <v/>
      </c>
      <c r="EA168" s="19" t="str">
        <f t="shared" si="600"/>
        <v/>
      </c>
      <c r="EB168" s="7" t="str">
        <f t="shared" si="601"/>
        <v/>
      </c>
      <c r="EC168" s="19" t="str">
        <f t="shared" si="602"/>
        <v/>
      </c>
      <c r="ED168" s="19" t="str">
        <f t="shared" si="603"/>
        <v/>
      </c>
      <c r="EE168" s="19" t="str">
        <f t="shared" si="429"/>
        <v/>
      </c>
      <c r="EF168" s="19" t="str">
        <f t="shared" si="430"/>
        <v/>
      </c>
      <c r="EG168" s="19" t="str">
        <f t="shared" si="431"/>
        <v/>
      </c>
      <c r="EH168" s="19" t="str">
        <f t="shared" si="432"/>
        <v/>
      </c>
      <c r="EI168" s="19" t="str">
        <f t="shared" si="433"/>
        <v/>
      </c>
      <c r="EJ168" s="19" t="str">
        <f t="shared" si="604"/>
        <v/>
      </c>
      <c r="EK168" s="19" t="str">
        <f t="shared" si="605"/>
        <v/>
      </c>
      <c r="EL168" s="19" t="str">
        <f t="shared" si="434"/>
        <v/>
      </c>
      <c r="EM168" s="19" t="str">
        <f t="shared" si="435"/>
        <v/>
      </c>
      <c r="EN168" s="19" t="str">
        <f t="shared" si="436"/>
        <v/>
      </c>
      <c r="EO168" s="19" t="str">
        <f t="shared" si="437"/>
        <v/>
      </c>
      <c r="EP168" s="19" t="str">
        <f t="shared" si="438"/>
        <v/>
      </c>
      <c r="EQ168" s="19" t="e">
        <f t="shared" si="439"/>
        <v>#N/A</v>
      </c>
      <c r="ER168" s="11" t="str">
        <f t="shared" si="527"/>
        <v/>
      </c>
      <c r="ES168" s="19" t="str">
        <f t="shared" si="528"/>
        <v/>
      </c>
      <c r="ET168" s="156" t="str">
        <f t="shared" si="606"/>
        <v/>
      </c>
      <c r="EU168" s="39" t="str">
        <f t="shared" si="440"/>
        <v/>
      </c>
      <c r="EV168" s="74" t="str">
        <f t="shared" si="607"/>
        <v/>
      </c>
      <c r="FA168" s="196"/>
      <c r="FB168" s="84" t="e">
        <f>IF(AND(Include_study?="Yes",Sufficient_data="Yes",Moderator&lt;&gt;""),'Moderator Analysis'!E168,NA())</f>
        <v>#N/A</v>
      </c>
      <c r="FC168" s="39" t="e">
        <f>IF(AND(Include_study?="Yes",Sufficient_data="Yes",Moderator&lt;&gt;""),'Moderator Analysis'!F168,NA())</f>
        <v>#N/A</v>
      </c>
      <c r="FD168" s="39" t="str">
        <f t="shared" si="608"/>
        <v/>
      </c>
      <c r="FE168" s="39" t="str">
        <f t="shared" si="609"/>
        <v/>
      </c>
      <c r="FF168" s="39" t="str">
        <f>IF(AND(Include_study?="Yes",Sufficient_data="Yes",Moderator&lt;&gt;""),'Moderator Analysis'!F:F-FP$2,"")</f>
        <v/>
      </c>
      <c r="FG168" s="39" t="str">
        <f>IF(AND(Include_study?="Yes",Sufficient_data="Yes",Moderator&lt;&gt;""),'Moderator Analysis'!E:E-FP$3,"")</f>
        <v/>
      </c>
      <c r="FH168" s="74" t="str">
        <f>IF(AND(Include_study?="Yes",Sufficient_data="Yes",Moderator&lt;&gt;""),FE:FE*('Moderator Analysis'!F:F-FP$5-FP$4*'Moderator Analysis'!E:E)^2,"")</f>
        <v/>
      </c>
      <c r="FI168" s="128"/>
      <c r="FJ168" s="92" t="str">
        <f t="shared" si="610"/>
        <v/>
      </c>
      <c r="FK168" s="137" t="str">
        <f>IF(AND(Include_study?="Yes",Sufficient_data="Yes",Moderator&lt;&gt;""),'Moderator Analysis'!F:F-'Moderator Analysis'!J$37,"")</f>
        <v/>
      </c>
      <c r="FL168" s="137" t="str">
        <f>IF(AND(Include_study?="Yes",Sufficient_data="Yes",Moderator&lt;&gt;""),'Moderator Analysis'!E:E-SUMPRODUCT('Moderator Analysis'!E:E,FJ:FJ)/SUM(FJ:FJ),"")</f>
        <v/>
      </c>
      <c r="FM168" s="95" t="str">
        <f>IF(AND(Include_study?="Yes",Sufficient_data="Yes",Moderator&lt;&gt;""),FJ:FJ*('Moderator Analysis'!F:F-'Moderator Analysis'!J$29-'Moderator Analysis'!J$30*'Moderator Analysis'!E:E)^2,"")</f>
        <v/>
      </c>
      <c r="FR168" s="196"/>
      <c r="FS168" s="182"/>
      <c r="FT16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8" s="39" t="str">
        <f>IF(AND(Include_study?="Yes",Sufficient_data="Yes"),1/('Publication Bias Analysis'!F:F^2+IF(Additional_model="Fixed effect",0,Calculations!GH$12)),"")</f>
        <v/>
      </c>
      <c r="FV168" s="39" t="str">
        <f>IF(AND(Include_study?="Yes",Sufficient_data="Yes"),1/('Publication Bias Analysis'!F:F^2+IF(Additional_model="Fixed effect",0,'Publication Bias Analysis'!L$32)),"")</f>
        <v/>
      </c>
      <c r="FW168" s="39" t="str">
        <f>IF(AND(Include_study?="Yes",Sufficient_data="Yes"),'Publication Bias Analysis'!E:E-'Publication Bias Analysis'!I$37,"")</f>
        <v/>
      </c>
      <c r="FX168" s="39" t="str">
        <f>IF(AND(Include_study?="Yes",Sufficient_data="Yes"),IF(Additional_model="Fixed effect",1/'Publication Bias Analysis'!F:F,1/SQRT('Publication Bias Analysis'!F:F^2+GH$12)),"")</f>
        <v/>
      </c>
      <c r="FY16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8" s="136" t="str">
        <f t="shared" si="611"/>
        <v/>
      </c>
      <c r="GA168" s="144" t="str">
        <f>IF(AND(Include_study?="Yes",Sufficient_data="Yes"),FZ:FZ+IF(GL:GL&lt;0,-1,1)*COUNTIF(FZ$2:FZ167,FZ:FZ),"")</f>
        <v/>
      </c>
      <c r="GB168" s="144" t="str">
        <f>IF(AND(Include_study?="Yes",Sufficient_data="Yes"),RANK(GP:GP,GP:GP,1)*IF(GO:GO&lt;0,-1,1)+IF(GO:GO&lt;0,-1,1)*COUNTIF(FZ$2:FZ167,FZ:FZ),"")</f>
        <v/>
      </c>
      <c r="GC168" s="144" t="str">
        <f>IF(AND(Include_study?="Yes",Sufficient_data="Yes"),RANK(GS:GS,GS:GS,1)*IF(GR:GR&lt;0,-1,1)+IF(GR:GR&lt;0,-1,1)*COUNTIF(FZ$2:FZ167,FZ:FZ),"")</f>
        <v/>
      </c>
      <c r="GD168" s="39" t="e">
        <f>IF(AND(Include_study?="Yes",Sufficient_data="Yes"),'Publication Bias Analysis'!E168,NA())</f>
        <v>#N/A</v>
      </c>
      <c r="GE168" s="74" t="e">
        <f>IF(AND(Include_study?="Yes",Sufficient_data="Yes"),'Publication Bias Analysis'!F168,NA())</f>
        <v>#N/A</v>
      </c>
      <c r="GK168" s="176"/>
      <c r="GL16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8" s="39" t="str">
        <f t="shared" si="612"/>
        <v/>
      </c>
      <c r="GN16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8" s="39" t="str">
        <f>IF(AND(Include_study?="Yes",Sufficient_data="Yes"),IF('Publication Bias Analysis'!L$38="Left",'Publication Bias Analysis'!E:E-GW$3,GW$3-'Publication Bias Analysis'!E:E),"")</f>
        <v/>
      </c>
      <c r="GP168" s="39" t="str">
        <f t="shared" si="529"/>
        <v/>
      </c>
      <c r="GQ16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8" s="39" t="str">
        <f>IF(AND(Include_study?="Yes",Sufficient_data="Yes"),IF('Publication Bias Analysis'!L$38="Left",'Publication Bias Analysis'!E:E-GW$10,GW$10-'Publication Bias Analysis'!E:E),"")</f>
        <v/>
      </c>
      <c r="GS168" s="39" t="str">
        <f t="shared" si="530"/>
        <v/>
      </c>
      <c r="GT16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8" s="176"/>
      <c r="HL168" s="69" t="str">
        <f t="shared" si="518"/>
        <v/>
      </c>
      <c r="HM168" s="74" t="str">
        <f>IF(AND(Include_study?="Yes",Sufficient_data="Yes"),Z_score-('Publication Bias Analysis'!P$3+'Publication Bias Analysis'!P$4*Inverse_standard_error),"")</f>
        <v/>
      </c>
      <c r="HO168" s="176"/>
      <c r="HP168" s="69" t="str">
        <f>IF(AND(Include_study?="Yes",Sufficient_data="Yes"),(GD:GD-SUMPRODUCT(Calculations!FT:FT,'Publication Bias Analysis'!E:E)/SUM(Calculations!FT:FT))/SQRT(Calculations!HQ:HQ),"")</f>
        <v/>
      </c>
      <c r="HQ168" s="69" t="str">
        <f>IF(AND(Include_study?="Yes",Sufficient_data="Yes"),GE:GE^2-1/SUM(Calculations!FT:FT),"")</f>
        <v/>
      </c>
      <c r="HR168" s="7" t="str">
        <f t="shared" si="441"/>
        <v/>
      </c>
      <c r="HS168" s="7" t="str">
        <f t="shared" si="442"/>
        <v/>
      </c>
      <c r="HT168" s="7" t="str">
        <f>IF(AND(Include_study?="Yes",Sufficient_data="Yes"),COUNTIFS(HR$2:HR167,"&lt;"&amp;HR168,HS$2:HS167,"&lt;"&amp;HS168)+COUNTIFS(HR169:HR$201,"&lt;"&amp;HR168,HS169:HS$201,"&lt;"&amp;HS168)+COUNTIFS(HR$2:HR167,"&gt;"&amp;HR168,HS$2:HS167,"&gt;"&amp;HS168)+COUNTIFS(HR169:HR$201,"&gt;"&amp;HR168,HS169:HS$201,"&gt;"&amp;HS168),"")</f>
        <v/>
      </c>
      <c r="HU168" s="104" t="str">
        <f>IF(AND(Include_study?="Yes",Sufficient_data="Yes"),COUNTIFS(HR$2:HR167,"&lt;"&amp;HR168,HS$2:HS167,"&gt;"&amp;HS168)+COUNTIFS(HR169:HR$201,"&lt;"&amp;HR168,HS169:HS$201,"&gt;"&amp;HS168)+COUNTIFS(HR$2:HR167,"&gt;"&amp;HR168,HS$2:HS167,"&lt;"&amp;HS168)+COUNTIFS(HR169:HR$201,"&gt;"&amp;HR168,HS169:HS$201,"&lt;"&amp;HS168),"")</f>
        <v/>
      </c>
      <c r="HW168" s="176"/>
      <c r="IB168" s="176"/>
      <c r="IC168" s="146" t="e">
        <f t="shared" si="613"/>
        <v>#N/A</v>
      </c>
      <c r="ID168" s="137" t="e">
        <f t="shared" si="614"/>
        <v>#N/A</v>
      </c>
      <c r="IE168" s="137" t="str">
        <f t="shared" si="615"/>
        <v/>
      </c>
      <c r="IF168" s="95" t="str">
        <f t="shared" si="616"/>
        <v/>
      </c>
      <c r="IK168" s="176"/>
      <c r="IL168" s="69" t="e">
        <f>IF(AND(Include_study?="Yes",Sufficient_data="Yes"),'Publication Bias Analysis'!AV:AV,NA())</f>
        <v>#N/A</v>
      </c>
      <c r="IM168" s="158" t="e">
        <f>IF(AND(Sufficient_data="Yes",Include_study?="Yes"),'Publication Bias Analysis'!AU:AU,NA())</f>
        <v>#N/A</v>
      </c>
      <c r="IN168" s="69" t="str">
        <f t="shared" si="617"/>
        <v/>
      </c>
      <c r="IO168" s="74" t="str">
        <f>IF(AND(Include_study?="Yes",Sufficient_data="Yes"),Z_score-('Publication Bias Analysis'!AY$30+'Publication Bias Analysis'!AY$31*Inverse_standard_error),"")</f>
        <v/>
      </c>
      <c r="IU168" s="176"/>
      <c r="IV168" s="7" t="str">
        <f>IF('Publication Bias Analysis'!BG:BG&lt;&gt;"",RANK('Publication Bias Analysis'!BG:BG,'Publication Bias Analysis'!BG:BG,1)+COUNTIF('Publication Bias Analysis'!BG$2:BG167,'Publication Bias Analysis'!BG168),"")</f>
        <v/>
      </c>
      <c r="IW168" s="124" t="str">
        <f t="shared" si="618"/>
        <v/>
      </c>
      <c r="IX168" s="125" t="e">
        <f>IF('Publication Bias Analysis'!BF168&lt;&gt;"",'Publication Bias Analysis'!BF168,NA())</f>
        <v>#N/A</v>
      </c>
      <c r="IY168" s="125" t="e">
        <f>IF('Publication Bias Analysis'!BG168&lt;&gt;"",'Publication Bias Analysis'!BG168,NA())</f>
        <v>#N/A</v>
      </c>
      <c r="IZ168" s="69" t="str">
        <f>IF(AND(Include_study?="Yes",Sufficient_data="Yes"),'Publication Bias Analysis'!BF:BF-AVERAGE('Publication Bias Analysis'!BF:BF),"")</f>
        <v/>
      </c>
      <c r="JA168" s="74" t="str">
        <f>IF(AND(Include_study?="Yes",Sufficient_data="Yes"),'Publication Bias Analysis'!BG:BG-('Publication Bias Analysis'!BJ$30+'Publication Bias Analysis'!BJ$31*'Publication Bias Analysis'!BF:BF),"")</f>
        <v/>
      </c>
      <c r="JG168" s="176"/>
      <c r="JH168" s="39" t="str">
        <f t="shared" si="619"/>
        <v/>
      </c>
      <c r="JI168" s="148" t="str">
        <f t="shared" si="531"/>
        <v/>
      </c>
      <c r="JJ168" s="74" t="str">
        <f t="shared" si="532"/>
        <v/>
      </c>
    </row>
    <row r="169" spans="1:270" x14ac:dyDescent="0.2">
      <c r="A169" s="56" t="str">
        <f t="shared" si="533"/>
        <v/>
      </c>
      <c r="B169" s="7" t="str">
        <f>IF(AND(Include_study?="Yes",Sufficient_data="Yes"),IF(Input!a_&lt;&gt;"",Input!a_,Input!n1_-Input!b_),"")</f>
        <v/>
      </c>
      <c r="C169" s="7" t="str">
        <f>IF(AND(Include_study?="Yes",Sufficient_data="Yes"),IF(Input!b_&lt;&gt;"",Input!b_,Input!n1_-Input!a_),"")</f>
        <v/>
      </c>
      <c r="D169" s="7" t="str">
        <f>IF(AND(Include_study?="Yes",Sufficient_data="Yes"),IF(Input!c_&lt;&gt;"",Input!c_,Input!n2_-Input!d_),"")</f>
        <v/>
      </c>
      <c r="E169" s="7" t="str">
        <f>IF(AND(Include_study?="Yes",Sufficient_data="Yes"),IF(Input!d_&lt;&gt;"",Input!d_,Input!n2_-Input!c_),"")</f>
        <v/>
      </c>
      <c r="F169" s="74" t="str">
        <f t="shared" si="534"/>
        <v/>
      </c>
      <c r="H169" s="196"/>
      <c r="I169" s="182"/>
      <c r="J169" s="146" t="str">
        <f t="shared" si="444"/>
        <v/>
      </c>
      <c r="K169" s="39" t="str">
        <f t="shared" si="535"/>
        <v/>
      </c>
      <c r="L169" s="39" t="str">
        <f t="shared" si="536"/>
        <v/>
      </c>
      <c r="M169" s="39" t="str">
        <f t="shared" si="537"/>
        <v/>
      </c>
      <c r="N169" s="74" t="str">
        <f t="shared" si="538"/>
        <v/>
      </c>
      <c r="P169" s="176"/>
      <c r="Q169" s="130" t="str">
        <f t="shared" si="539"/>
        <v/>
      </c>
      <c r="R169" s="39" t="str">
        <f t="shared" si="540"/>
        <v/>
      </c>
      <c r="S169" s="39" t="str">
        <f t="shared" si="541"/>
        <v/>
      </c>
      <c r="T169" s="74" t="str">
        <f t="shared" si="542"/>
        <v/>
      </c>
      <c r="V169" s="176"/>
      <c r="W169" s="130" t="str">
        <f t="shared" si="543"/>
        <v/>
      </c>
      <c r="X169" s="39" t="str">
        <f t="shared" si="544"/>
        <v/>
      </c>
      <c r="Y169" s="39" t="str">
        <f t="shared" si="545"/>
        <v/>
      </c>
      <c r="Z169" s="74" t="str">
        <f t="shared" si="546"/>
        <v/>
      </c>
      <c r="AB169" s="176"/>
      <c r="AC169" s="130" t="str">
        <f t="shared" si="547"/>
        <v/>
      </c>
      <c r="AD169" s="39" t="str">
        <f t="shared" si="548"/>
        <v/>
      </c>
      <c r="AE169" s="39" t="str">
        <f t="shared" si="549"/>
        <v/>
      </c>
      <c r="AF169" s="39" t="str">
        <f t="shared" si="550"/>
        <v/>
      </c>
      <c r="AG169" s="74" t="str">
        <f t="shared" si="551"/>
        <v/>
      </c>
      <c r="AI169" s="196"/>
      <c r="AJ16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69" s="136" t="str">
        <f>IF(AJ169&lt;&gt;"",IF(AJ169=0,COUNTIF(AJ$2:AJ168,0)+1,COUNTIF(AJ$2:AJ168,AJ169)+AJ169+COUNTIF(AJ:AJ,0)),"")</f>
        <v/>
      </c>
      <c r="AL169" s="136" t="str">
        <f t="shared" si="462"/>
        <v/>
      </c>
      <c r="AM169" s="155" t="str">
        <f>IF(AND(Include_study?="Yes",Sufficient_data="Yes",Input!Study_name&lt;&gt;""),Input!Study_name,"")</f>
        <v/>
      </c>
      <c r="AN169" s="136" t="str">
        <f t="shared" si="463"/>
        <v/>
      </c>
      <c r="AO169" s="19" t="str">
        <f t="shared" si="552"/>
        <v/>
      </c>
      <c r="AP169" s="158" t="str">
        <f t="shared" si="553"/>
        <v/>
      </c>
      <c r="AQ169" s="158" t="str">
        <f t="shared" si="554"/>
        <v/>
      </c>
      <c r="AR169" s="39" t="str">
        <f t="shared" si="555"/>
        <v/>
      </c>
      <c r="AS169" s="158" t="str">
        <f t="shared" si="556"/>
        <v/>
      </c>
      <c r="AT169" s="39" t="str">
        <f t="shared" si="557"/>
        <v/>
      </c>
      <c r="AU169" s="172" t="str">
        <f t="shared" si="558"/>
        <v/>
      </c>
      <c r="AV169" s="45"/>
      <c r="AW169" s="84" t="e">
        <f t="shared" si="559"/>
        <v>#N/A</v>
      </c>
      <c r="AX169" s="69" t="e">
        <f t="shared" si="560"/>
        <v>#N/A</v>
      </c>
      <c r="AY169" s="74" t="e">
        <f t="shared" si="561"/>
        <v>#N/A</v>
      </c>
      <c r="AZ169" s="45"/>
      <c r="BA169" s="45"/>
      <c r="BB169" s="45"/>
      <c r="BC169" s="45"/>
      <c r="BD169" s="196"/>
      <c r="BE169" s="182"/>
      <c r="BF169" s="69" t="str">
        <f t="shared" si="562"/>
        <v/>
      </c>
      <c r="BG169" s="69" t="str">
        <f t="shared" si="563"/>
        <v/>
      </c>
      <c r="BH169" s="69" t="str">
        <f t="shared" si="564"/>
        <v/>
      </c>
      <c r="BI169" s="39" t="str">
        <f t="shared" si="565"/>
        <v/>
      </c>
      <c r="BJ169" s="95" t="str">
        <f t="shared" si="566"/>
        <v/>
      </c>
      <c r="BO169" s="176"/>
      <c r="BP169" s="158" t="str">
        <f t="shared" si="567"/>
        <v/>
      </c>
      <c r="BQ169" s="158" t="str">
        <f t="shared" si="568"/>
        <v/>
      </c>
      <c r="BR169" s="158" t="str">
        <f t="shared" si="569"/>
        <v/>
      </c>
      <c r="BS169" s="158" t="str">
        <f>IF(AND(Sufficient_data="Yes",Include_study?="Yes"),IF(Add_0_5="Yes",(a_+d_+1)*(ab_+0.5)*(c_+0.5)/(Number_of_subjects+2)^2,(a_+d_)*b_*c_/Number_of_subjects^2),"")</f>
        <v/>
      </c>
      <c r="BT169" s="158" t="str">
        <f t="shared" si="570"/>
        <v/>
      </c>
      <c r="BU169" s="158" t="str">
        <f t="shared" si="571"/>
        <v/>
      </c>
      <c r="BV169" s="158" t="str">
        <f t="shared" si="572"/>
        <v/>
      </c>
      <c r="BW169" s="69" t="str">
        <f t="shared" si="573"/>
        <v/>
      </c>
      <c r="BX169" s="137" t="str">
        <f t="shared" si="574"/>
        <v/>
      </c>
      <c r="BY169" s="95" t="str">
        <f t="shared" si="575"/>
        <v/>
      </c>
      <c r="CD169" s="176"/>
      <c r="CE169" s="130" t="str">
        <f t="shared" si="576"/>
        <v/>
      </c>
      <c r="CF169" s="39" t="str">
        <f t="shared" si="577"/>
        <v/>
      </c>
      <c r="CG169" s="39" t="str">
        <f t="shared" si="578"/>
        <v/>
      </c>
      <c r="CH169" s="39" t="str">
        <f t="shared" si="579"/>
        <v/>
      </c>
      <c r="CI169" s="39" t="str">
        <f t="shared" si="580"/>
        <v/>
      </c>
      <c r="CJ169" s="39" t="str">
        <f t="shared" si="486"/>
        <v/>
      </c>
      <c r="CK169" s="95" t="str">
        <f t="shared" si="581"/>
        <v/>
      </c>
      <c r="CP169" s="176"/>
      <c r="CQ169" s="99" t="str">
        <f t="shared" si="582"/>
        <v/>
      </c>
      <c r="CX169" s="196"/>
      <c r="CY169" s="89" t="e">
        <f t="shared" si="583"/>
        <v>#N/A</v>
      </c>
      <c r="CZ169" s="136" t="str">
        <f t="shared" si="584"/>
        <v/>
      </c>
      <c r="DA169" s="140" t="str">
        <f t="shared" si="585"/>
        <v/>
      </c>
      <c r="DB169" s="39" t="str">
        <f t="shared" si="586"/>
        <v/>
      </c>
      <c r="DC169" s="39" t="str">
        <f t="shared" si="587"/>
        <v/>
      </c>
      <c r="DD169" s="39" t="str">
        <f t="shared" si="588"/>
        <v/>
      </c>
      <c r="DE169" s="39" t="str">
        <f t="shared" si="589"/>
        <v/>
      </c>
      <c r="DF169" s="141" t="str">
        <f t="shared" si="590"/>
        <v/>
      </c>
      <c r="DG169" s="39" t="str">
        <f t="shared" si="591"/>
        <v/>
      </c>
      <c r="DH169" s="39" t="str">
        <f t="shared" si="592"/>
        <v/>
      </c>
      <c r="DI169" s="39" t="str">
        <f t="shared" si="593"/>
        <v/>
      </c>
      <c r="DJ169" s="74" t="str">
        <f t="shared" si="594"/>
        <v/>
      </c>
      <c r="DK169" s="45"/>
      <c r="DL169" s="84" t="e">
        <f t="shared" si="423"/>
        <v>#N/A</v>
      </c>
      <c r="DM169" s="39" t="e">
        <f t="shared" si="595"/>
        <v>#N/A</v>
      </c>
      <c r="DN169" s="74" t="e">
        <f t="shared" si="596"/>
        <v>#N/A</v>
      </c>
      <c r="DO169" s="45"/>
      <c r="DP169" s="89" t="str">
        <f t="shared" si="525"/>
        <v/>
      </c>
      <c r="DQ169" s="26" t="str">
        <f>IF(AND(Sufficient_data="Yes",Subgroup&lt;&gt;""),IF(COUNTIFS(Input!J$2:J168,"="&amp;"Yes",Input!C$2:C168,"="&amp;"Yes",Input!K$2:K168,"="&amp;Subgroup)&gt;0,"",Subgroup),"")</f>
        <v/>
      </c>
      <c r="DR169" s="7" t="str">
        <f t="shared" si="526"/>
        <v/>
      </c>
      <c r="DS169" s="7" t="str">
        <f t="shared" si="597"/>
        <v/>
      </c>
      <c r="DT169" s="19" t="str">
        <f t="shared" si="598"/>
        <v/>
      </c>
      <c r="DU169" s="12" t="str">
        <f t="shared" si="424"/>
        <v/>
      </c>
      <c r="DV169" s="11" t="str">
        <f t="shared" si="425"/>
        <v/>
      </c>
      <c r="DW169" s="12" t="str">
        <f t="shared" si="426"/>
        <v/>
      </c>
      <c r="DX169" s="12" t="str">
        <f t="shared" si="599"/>
        <v/>
      </c>
      <c r="DY169" s="19" t="str">
        <f t="shared" si="427"/>
        <v/>
      </c>
      <c r="DZ169" s="12" t="str">
        <f t="shared" si="428"/>
        <v/>
      </c>
      <c r="EA169" s="19" t="str">
        <f t="shared" si="600"/>
        <v/>
      </c>
      <c r="EB169" s="7" t="str">
        <f t="shared" si="601"/>
        <v/>
      </c>
      <c r="EC169" s="19" t="str">
        <f t="shared" si="602"/>
        <v/>
      </c>
      <c r="ED169" s="19" t="str">
        <f t="shared" si="603"/>
        <v/>
      </c>
      <c r="EE169" s="19" t="str">
        <f t="shared" si="429"/>
        <v/>
      </c>
      <c r="EF169" s="19" t="str">
        <f t="shared" si="430"/>
        <v/>
      </c>
      <c r="EG169" s="19" t="str">
        <f t="shared" si="431"/>
        <v/>
      </c>
      <c r="EH169" s="19" t="str">
        <f t="shared" si="432"/>
        <v/>
      </c>
      <c r="EI169" s="19" t="str">
        <f t="shared" si="433"/>
        <v/>
      </c>
      <c r="EJ169" s="19" t="str">
        <f t="shared" si="604"/>
        <v/>
      </c>
      <c r="EK169" s="19" t="str">
        <f t="shared" si="605"/>
        <v/>
      </c>
      <c r="EL169" s="19" t="str">
        <f t="shared" si="434"/>
        <v/>
      </c>
      <c r="EM169" s="19" t="str">
        <f t="shared" si="435"/>
        <v/>
      </c>
      <c r="EN169" s="19" t="str">
        <f t="shared" si="436"/>
        <v/>
      </c>
      <c r="EO169" s="19" t="str">
        <f t="shared" si="437"/>
        <v/>
      </c>
      <c r="EP169" s="19" t="str">
        <f t="shared" si="438"/>
        <v/>
      </c>
      <c r="EQ169" s="19" t="e">
        <f t="shared" si="439"/>
        <v>#N/A</v>
      </c>
      <c r="ER169" s="11" t="str">
        <f t="shared" si="527"/>
        <v/>
      </c>
      <c r="ES169" s="19" t="str">
        <f t="shared" si="528"/>
        <v/>
      </c>
      <c r="ET169" s="156" t="str">
        <f t="shared" si="606"/>
        <v/>
      </c>
      <c r="EU169" s="39" t="str">
        <f t="shared" si="440"/>
        <v/>
      </c>
      <c r="EV169" s="74" t="str">
        <f t="shared" si="607"/>
        <v/>
      </c>
      <c r="FA169" s="196"/>
      <c r="FB169" s="84" t="e">
        <f>IF(AND(Include_study?="Yes",Sufficient_data="Yes",Moderator&lt;&gt;""),'Moderator Analysis'!E169,NA())</f>
        <v>#N/A</v>
      </c>
      <c r="FC169" s="39" t="e">
        <f>IF(AND(Include_study?="Yes",Sufficient_data="Yes",Moderator&lt;&gt;""),'Moderator Analysis'!F169,NA())</f>
        <v>#N/A</v>
      </c>
      <c r="FD169" s="39" t="str">
        <f t="shared" si="608"/>
        <v/>
      </c>
      <c r="FE169" s="39" t="str">
        <f t="shared" si="609"/>
        <v/>
      </c>
      <c r="FF169" s="39" t="str">
        <f>IF(AND(Include_study?="Yes",Sufficient_data="Yes",Moderator&lt;&gt;""),'Moderator Analysis'!F:F-FP$2,"")</f>
        <v/>
      </c>
      <c r="FG169" s="39" t="str">
        <f>IF(AND(Include_study?="Yes",Sufficient_data="Yes",Moderator&lt;&gt;""),'Moderator Analysis'!E:E-FP$3,"")</f>
        <v/>
      </c>
      <c r="FH169" s="74" t="str">
        <f>IF(AND(Include_study?="Yes",Sufficient_data="Yes",Moderator&lt;&gt;""),FE:FE*('Moderator Analysis'!F:F-FP$5-FP$4*'Moderator Analysis'!E:E)^2,"")</f>
        <v/>
      </c>
      <c r="FI169" s="128"/>
      <c r="FJ169" s="92" t="str">
        <f t="shared" si="610"/>
        <v/>
      </c>
      <c r="FK169" s="137" t="str">
        <f>IF(AND(Include_study?="Yes",Sufficient_data="Yes",Moderator&lt;&gt;""),'Moderator Analysis'!F:F-'Moderator Analysis'!J$37,"")</f>
        <v/>
      </c>
      <c r="FL169" s="137" t="str">
        <f>IF(AND(Include_study?="Yes",Sufficient_data="Yes",Moderator&lt;&gt;""),'Moderator Analysis'!E:E-SUMPRODUCT('Moderator Analysis'!E:E,FJ:FJ)/SUM(FJ:FJ),"")</f>
        <v/>
      </c>
      <c r="FM169" s="95" t="str">
        <f>IF(AND(Include_study?="Yes",Sufficient_data="Yes",Moderator&lt;&gt;""),FJ:FJ*('Moderator Analysis'!F:F-'Moderator Analysis'!J$29-'Moderator Analysis'!J$30*'Moderator Analysis'!E:E)^2,"")</f>
        <v/>
      </c>
      <c r="FR169" s="196"/>
      <c r="FS169" s="182"/>
      <c r="FT16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69" s="39" t="str">
        <f>IF(AND(Include_study?="Yes",Sufficient_data="Yes"),1/('Publication Bias Analysis'!F:F^2+IF(Additional_model="Fixed effect",0,Calculations!GH$12)),"")</f>
        <v/>
      </c>
      <c r="FV169" s="39" t="str">
        <f>IF(AND(Include_study?="Yes",Sufficient_data="Yes"),1/('Publication Bias Analysis'!F:F^2+IF(Additional_model="Fixed effect",0,'Publication Bias Analysis'!L$32)),"")</f>
        <v/>
      </c>
      <c r="FW169" s="39" t="str">
        <f>IF(AND(Include_study?="Yes",Sufficient_data="Yes"),'Publication Bias Analysis'!E:E-'Publication Bias Analysis'!I$37,"")</f>
        <v/>
      </c>
      <c r="FX169" s="39" t="str">
        <f>IF(AND(Include_study?="Yes",Sufficient_data="Yes"),IF(Additional_model="Fixed effect",1/'Publication Bias Analysis'!F:F,1/SQRT('Publication Bias Analysis'!F:F^2+GH$12)),"")</f>
        <v/>
      </c>
      <c r="FY16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69" s="136" t="str">
        <f t="shared" si="611"/>
        <v/>
      </c>
      <c r="GA169" s="144" t="str">
        <f>IF(AND(Include_study?="Yes",Sufficient_data="Yes"),FZ:FZ+IF(GL:GL&lt;0,-1,1)*COUNTIF(FZ$2:FZ168,FZ:FZ),"")</f>
        <v/>
      </c>
      <c r="GB169" s="144" t="str">
        <f>IF(AND(Include_study?="Yes",Sufficient_data="Yes"),RANK(GP:GP,GP:GP,1)*IF(GO:GO&lt;0,-1,1)+IF(GO:GO&lt;0,-1,1)*COUNTIF(FZ$2:FZ168,FZ:FZ),"")</f>
        <v/>
      </c>
      <c r="GC169" s="144" t="str">
        <f>IF(AND(Include_study?="Yes",Sufficient_data="Yes"),RANK(GS:GS,GS:GS,1)*IF(GR:GR&lt;0,-1,1)+IF(GR:GR&lt;0,-1,1)*COUNTIF(FZ$2:FZ168,FZ:FZ),"")</f>
        <v/>
      </c>
      <c r="GD169" s="39" t="e">
        <f>IF(AND(Include_study?="Yes",Sufficient_data="Yes"),'Publication Bias Analysis'!E169,NA())</f>
        <v>#N/A</v>
      </c>
      <c r="GE169" s="74" t="e">
        <f>IF(AND(Include_study?="Yes",Sufficient_data="Yes"),'Publication Bias Analysis'!F169,NA())</f>
        <v>#N/A</v>
      </c>
      <c r="GK169" s="176"/>
      <c r="GL16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69" s="39" t="str">
        <f t="shared" si="612"/>
        <v/>
      </c>
      <c r="GN16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69" s="39" t="str">
        <f>IF(AND(Include_study?="Yes",Sufficient_data="Yes"),IF('Publication Bias Analysis'!L$38="Left",'Publication Bias Analysis'!E:E-GW$3,GW$3-'Publication Bias Analysis'!E:E),"")</f>
        <v/>
      </c>
      <c r="GP169" s="39" t="str">
        <f t="shared" si="529"/>
        <v/>
      </c>
      <c r="GQ16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69" s="39" t="str">
        <f>IF(AND(Include_study?="Yes",Sufficient_data="Yes"),IF('Publication Bias Analysis'!L$38="Left",'Publication Bias Analysis'!E:E-GW$10,GW$10-'Publication Bias Analysis'!E:E),"")</f>
        <v/>
      </c>
      <c r="GS169" s="39" t="str">
        <f t="shared" si="530"/>
        <v/>
      </c>
      <c r="GT16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69" s="176"/>
      <c r="HL169" s="69" t="str">
        <f t="shared" si="518"/>
        <v/>
      </c>
      <c r="HM169" s="74" t="str">
        <f>IF(AND(Include_study?="Yes",Sufficient_data="Yes"),Z_score-('Publication Bias Analysis'!P$3+'Publication Bias Analysis'!P$4*Inverse_standard_error),"")</f>
        <v/>
      </c>
      <c r="HO169" s="176"/>
      <c r="HP169" s="69" t="str">
        <f>IF(AND(Include_study?="Yes",Sufficient_data="Yes"),(GD:GD-SUMPRODUCT(Calculations!FT:FT,'Publication Bias Analysis'!E:E)/SUM(Calculations!FT:FT))/SQRT(Calculations!HQ:HQ),"")</f>
        <v/>
      </c>
      <c r="HQ169" s="69" t="str">
        <f>IF(AND(Include_study?="Yes",Sufficient_data="Yes"),GE:GE^2-1/SUM(Calculations!FT:FT),"")</f>
        <v/>
      </c>
      <c r="HR169" s="7" t="str">
        <f t="shared" si="441"/>
        <v/>
      </c>
      <c r="HS169" s="7" t="str">
        <f t="shared" si="442"/>
        <v/>
      </c>
      <c r="HT169" s="7" t="str">
        <f>IF(AND(Include_study?="Yes",Sufficient_data="Yes"),COUNTIFS(HR$2:HR168,"&lt;"&amp;HR169,HS$2:HS168,"&lt;"&amp;HS169)+COUNTIFS(HR170:HR$201,"&lt;"&amp;HR169,HS170:HS$201,"&lt;"&amp;HS169)+COUNTIFS(HR$2:HR168,"&gt;"&amp;HR169,HS$2:HS168,"&gt;"&amp;HS169)+COUNTIFS(HR170:HR$201,"&gt;"&amp;HR169,HS170:HS$201,"&gt;"&amp;HS169),"")</f>
        <v/>
      </c>
      <c r="HU169" s="104" t="str">
        <f>IF(AND(Include_study?="Yes",Sufficient_data="Yes"),COUNTIFS(HR$2:HR168,"&lt;"&amp;HR169,HS$2:HS168,"&gt;"&amp;HS169)+COUNTIFS(HR170:HR$201,"&lt;"&amp;HR169,HS170:HS$201,"&gt;"&amp;HS169)+COUNTIFS(HR$2:HR168,"&gt;"&amp;HR169,HS$2:HS168,"&lt;"&amp;HS169)+COUNTIFS(HR170:HR$201,"&gt;"&amp;HR169,HS170:HS$201,"&lt;"&amp;HS169),"")</f>
        <v/>
      </c>
      <c r="HW169" s="176"/>
      <c r="IB169" s="176"/>
      <c r="IC169" s="146" t="e">
        <f t="shared" si="613"/>
        <v>#N/A</v>
      </c>
      <c r="ID169" s="137" t="e">
        <f t="shared" si="614"/>
        <v>#N/A</v>
      </c>
      <c r="IE169" s="137" t="str">
        <f t="shared" si="615"/>
        <v/>
      </c>
      <c r="IF169" s="95" t="str">
        <f t="shared" si="616"/>
        <v/>
      </c>
      <c r="IK169" s="176"/>
      <c r="IL169" s="69" t="e">
        <f>IF(AND(Include_study?="Yes",Sufficient_data="Yes"),'Publication Bias Analysis'!AV:AV,NA())</f>
        <v>#N/A</v>
      </c>
      <c r="IM169" s="158" t="e">
        <f>IF(AND(Sufficient_data="Yes",Include_study?="Yes"),'Publication Bias Analysis'!AU:AU,NA())</f>
        <v>#N/A</v>
      </c>
      <c r="IN169" s="69" t="str">
        <f t="shared" si="617"/>
        <v/>
      </c>
      <c r="IO169" s="74" t="str">
        <f>IF(AND(Include_study?="Yes",Sufficient_data="Yes"),Z_score-('Publication Bias Analysis'!AY$30+'Publication Bias Analysis'!AY$31*Inverse_standard_error),"")</f>
        <v/>
      </c>
      <c r="IU169" s="176"/>
      <c r="IV169" s="7" t="str">
        <f>IF('Publication Bias Analysis'!BG:BG&lt;&gt;"",RANK('Publication Bias Analysis'!BG:BG,'Publication Bias Analysis'!BG:BG,1)+COUNTIF('Publication Bias Analysis'!BG$2:BG168,'Publication Bias Analysis'!BG169),"")</f>
        <v/>
      </c>
      <c r="IW169" s="124" t="str">
        <f t="shared" si="618"/>
        <v/>
      </c>
      <c r="IX169" s="125" t="e">
        <f>IF('Publication Bias Analysis'!BF169&lt;&gt;"",'Publication Bias Analysis'!BF169,NA())</f>
        <v>#N/A</v>
      </c>
      <c r="IY169" s="125" t="e">
        <f>IF('Publication Bias Analysis'!BG169&lt;&gt;"",'Publication Bias Analysis'!BG169,NA())</f>
        <v>#N/A</v>
      </c>
      <c r="IZ169" s="69" t="str">
        <f>IF(AND(Include_study?="Yes",Sufficient_data="Yes"),'Publication Bias Analysis'!BF:BF-AVERAGE('Publication Bias Analysis'!BF:BF),"")</f>
        <v/>
      </c>
      <c r="JA169" s="74" t="str">
        <f>IF(AND(Include_study?="Yes",Sufficient_data="Yes"),'Publication Bias Analysis'!BG:BG-('Publication Bias Analysis'!BJ$30+'Publication Bias Analysis'!BJ$31*'Publication Bias Analysis'!BF:BF),"")</f>
        <v/>
      </c>
      <c r="JG169" s="176"/>
      <c r="JH169" s="39" t="str">
        <f t="shared" si="619"/>
        <v/>
      </c>
      <c r="JI169" s="148" t="str">
        <f t="shared" si="531"/>
        <v/>
      </c>
      <c r="JJ169" s="74" t="str">
        <f t="shared" si="532"/>
        <v/>
      </c>
    </row>
    <row r="170" spans="1:270" x14ac:dyDescent="0.2">
      <c r="A170" s="56" t="str">
        <f t="shared" si="533"/>
        <v/>
      </c>
      <c r="B170" s="7" t="str">
        <f>IF(AND(Include_study?="Yes",Sufficient_data="Yes"),IF(Input!a_&lt;&gt;"",Input!a_,Input!n1_-Input!b_),"")</f>
        <v/>
      </c>
      <c r="C170" s="7" t="str">
        <f>IF(AND(Include_study?="Yes",Sufficient_data="Yes"),IF(Input!b_&lt;&gt;"",Input!b_,Input!n1_-Input!a_),"")</f>
        <v/>
      </c>
      <c r="D170" s="7" t="str">
        <f>IF(AND(Include_study?="Yes",Sufficient_data="Yes"),IF(Input!c_&lt;&gt;"",Input!c_,Input!n2_-Input!d_),"")</f>
        <v/>
      </c>
      <c r="E170" s="7" t="str">
        <f>IF(AND(Include_study?="Yes",Sufficient_data="Yes"),IF(Input!d_&lt;&gt;"",Input!d_,Input!n2_-Input!c_),"")</f>
        <v/>
      </c>
      <c r="F170" s="74" t="str">
        <f t="shared" si="534"/>
        <v/>
      </c>
      <c r="H170" s="196"/>
      <c r="I170" s="182"/>
      <c r="J170" s="146" t="str">
        <f t="shared" si="444"/>
        <v/>
      </c>
      <c r="K170" s="39" t="str">
        <f t="shared" si="535"/>
        <v/>
      </c>
      <c r="L170" s="39" t="str">
        <f t="shared" si="536"/>
        <v/>
      </c>
      <c r="M170" s="39" t="str">
        <f t="shared" si="537"/>
        <v/>
      </c>
      <c r="N170" s="74" t="str">
        <f t="shared" si="538"/>
        <v/>
      </c>
      <c r="P170" s="176"/>
      <c r="Q170" s="130" t="str">
        <f t="shared" si="539"/>
        <v/>
      </c>
      <c r="R170" s="39" t="str">
        <f t="shared" si="540"/>
        <v/>
      </c>
      <c r="S170" s="39" t="str">
        <f t="shared" si="541"/>
        <v/>
      </c>
      <c r="T170" s="74" t="str">
        <f t="shared" si="542"/>
        <v/>
      </c>
      <c r="V170" s="176"/>
      <c r="W170" s="130" t="str">
        <f t="shared" si="543"/>
        <v/>
      </c>
      <c r="X170" s="39" t="str">
        <f t="shared" si="544"/>
        <v/>
      </c>
      <c r="Y170" s="39" t="str">
        <f t="shared" si="545"/>
        <v/>
      </c>
      <c r="Z170" s="74" t="str">
        <f t="shared" si="546"/>
        <v/>
      </c>
      <c r="AB170" s="176"/>
      <c r="AC170" s="130" t="str">
        <f t="shared" si="547"/>
        <v/>
      </c>
      <c r="AD170" s="39" t="str">
        <f t="shared" si="548"/>
        <v/>
      </c>
      <c r="AE170" s="39" t="str">
        <f t="shared" si="549"/>
        <v/>
      </c>
      <c r="AF170" s="39" t="str">
        <f t="shared" si="550"/>
        <v/>
      </c>
      <c r="AG170" s="74" t="str">
        <f t="shared" si="551"/>
        <v/>
      </c>
      <c r="AI170" s="196"/>
      <c r="AJ17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0" s="136" t="str">
        <f>IF(AJ170&lt;&gt;"",IF(AJ170=0,COUNTIF(AJ$2:AJ169,0)+1,COUNTIF(AJ$2:AJ169,AJ170)+AJ170+COUNTIF(AJ:AJ,0)),"")</f>
        <v/>
      </c>
      <c r="AL170" s="136" t="str">
        <f t="shared" si="462"/>
        <v/>
      </c>
      <c r="AM170" s="155" t="str">
        <f>IF(AND(Include_study?="Yes",Sufficient_data="Yes",Input!Study_name&lt;&gt;""),Input!Study_name,"")</f>
        <v/>
      </c>
      <c r="AN170" s="136" t="str">
        <f t="shared" si="463"/>
        <v/>
      </c>
      <c r="AO170" s="19" t="str">
        <f t="shared" si="552"/>
        <v/>
      </c>
      <c r="AP170" s="158" t="str">
        <f t="shared" si="553"/>
        <v/>
      </c>
      <c r="AQ170" s="158" t="str">
        <f t="shared" si="554"/>
        <v/>
      </c>
      <c r="AR170" s="39" t="str">
        <f t="shared" si="555"/>
        <v/>
      </c>
      <c r="AS170" s="158" t="str">
        <f t="shared" si="556"/>
        <v/>
      </c>
      <c r="AT170" s="39" t="str">
        <f t="shared" si="557"/>
        <v/>
      </c>
      <c r="AU170" s="172" t="str">
        <f t="shared" si="558"/>
        <v/>
      </c>
      <c r="AV170" s="45"/>
      <c r="AW170" s="84" t="e">
        <f t="shared" si="559"/>
        <v>#N/A</v>
      </c>
      <c r="AX170" s="69" t="e">
        <f t="shared" si="560"/>
        <v>#N/A</v>
      </c>
      <c r="AY170" s="74" t="e">
        <f t="shared" si="561"/>
        <v>#N/A</v>
      </c>
      <c r="AZ170" s="45"/>
      <c r="BA170" s="45"/>
      <c r="BB170" s="45"/>
      <c r="BC170" s="45"/>
      <c r="BD170" s="196"/>
      <c r="BE170" s="182"/>
      <c r="BF170" s="69" t="str">
        <f t="shared" si="562"/>
        <v/>
      </c>
      <c r="BG170" s="69" t="str">
        <f t="shared" si="563"/>
        <v/>
      </c>
      <c r="BH170" s="69" t="str">
        <f t="shared" si="564"/>
        <v/>
      </c>
      <c r="BI170" s="39" t="str">
        <f t="shared" si="565"/>
        <v/>
      </c>
      <c r="BJ170" s="95" t="str">
        <f t="shared" si="566"/>
        <v/>
      </c>
      <c r="BO170" s="176"/>
      <c r="BP170" s="158" t="str">
        <f t="shared" si="567"/>
        <v/>
      </c>
      <c r="BQ170" s="158" t="str">
        <f t="shared" si="568"/>
        <v/>
      </c>
      <c r="BR170" s="158" t="str">
        <f t="shared" si="569"/>
        <v/>
      </c>
      <c r="BS170" s="158" t="str">
        <f>IF(AND(Sufficient_data="Yes",Include_study?="Yes"),IF(Add_0_5="Yes",(a_+d_+1)*(ab_+0.5)*(c_+0.5)/(Number_of_subjects+2)^2,(a_+d_)*b_*c_/Number_of_subjects^2),"")</f>
        <v/>
      </c>
      <c r="BT170" s="158" t="str">
        <f t="shared" si="570"/>
        <v/>
      </c>
      <c r="BU170" s="158" t="str">
        <f t="shared" si="571"/>
        <v/>
      </c>
      <c r="BV170" s="158" t="str">
        <f t="shared" si="572"/>
        <v/>
      </c>
      <c r="BW170" s="69" t="str">
        <f t="shared" si="573"/>
        <v/>
      </c>
      <c r="BX170" s="137" t="str">
        <f t="shared" si="574"/>
        <v/>
      </c>
      <c r="BY170" s="95" t="str">
        <f t="shared" si="575"/>
        <v/>
      </c>
      <c r="CD170" s="176"/>
      <c r="CE170" s="130" t="str">
        <f t="shared" si="576"/>
        <v/>
      </c>
      <c r="CF170" s="39" t="str">
        <f t="shared" si="577"/>
        <v/>
      </c>
      <c r="CG170" s="39" t="str">
        <f t="shared" si="578"/>
        <v/>
      </c>
      <c r="CH170" s="39" t="str">
        <f t="shared" si="579"/>
        <v/>
      </c>
      <c r="CI170" s="39" t="str">
        <f t="shared" si="580"/>
        <v/>
      </c>
      <c r="CJ170" s="39" t="str">
        <f t="shared" si="486"/>
        <v/>
      </c>
      <c r="CK170" s="95" t="str">
        <f t="shared" si="581"/>
        <v/>
      </c>
      <c r="CP170" s="176"/>
      <c r="CQ170" s="99" t="str">
        <f t="shared" si="582"/>
        <v/>
      </c>
      <c r="CX170" s="196"/>
      <c r="CY170" s="89" t="e">
        <f t="shared" si="583"/>
        <v>#N/A</v>
      </c>
      <c r="CZ170" s="136" t="str">
        <f t="shared" si="584"/>
        <v/>
      </c>
      <c r="DA170" s="140" t="str">
        <f t="shared" si="585"/>
        <v/>
      </c>
      <c r="DB170" s="39" t="str">
        <f t="shared" si="586"/>
        <v/>
      </c>
      <c r="DC170" s="39" t="str">
        <f t="shared" si="587"/>
        <v/>
      </c>
      <c r="DD170" s="39" t="str">
        <f t="shared" si="588"/>
        <v/>
      </c>
      <c r="DE170" s="39" t="str">
        <f t="shared" si="589"/>
        <v/>
      </c>
      <c r="DF170" s="141" t="str">
        <f t="shared" si="590"/>
        <v/>
      </c>
      <c r="DG170" s="39" t="str">
        <f t="shared" si="591"/>
        <v/>
      </c>
      <c r="DH170" s="39" t="str">
        <f t="shared" si="592"/>
        <v/>
      </c>
      <c r="DI170" s="39" t="str">
        <f t="shared" si="593"/>
        <v/>
      </c>
      <c r="DJ170" s="74" t="str">
        <f t="shared" si="594"/>
        <v/>
      </c>
      <c r="DK170" s="45"/>
      <c r="DL170" s="84" t="e">
        <f t="shared" si="423"/>
        <v>#N/A</v>
      </c>
      <c r="DM170" s="39" t="e">
        <f t="shared" si="595"/>
        <v>#N/A</v>
      </c>
      <c r="DN170" s="74" t="e">
        <f t="shared" si="596"/>
        <v>#N/A</v>
      </c>
      <c r="DO170" s="45"/>
      <c r="DP170" s="89" t="str">
        <f t="shared" si="525"/>
        <v/>
      </c>
      <c r="DQ170" s="26" t="str">
        <f>IF(AND(Sufficient_data="Yes",Subgroup&lt;&gt;""),IF(COUNTIFS(Input!J$2:J169,"="&amp;"Yes",Input!C$2:C169,"="&amp;"Yes",Input!K$2:K169,"="&amp;Subgroup)&gt;0,"",Subgroup),"")</f>
        <v/>
      </c>
      <c r="DR170" s="7" t="str">
        <f t="shared" si="526"/>
        <v/>
      </c>
      <c r="DS170" s="7" t="str">
        <f t="shared" si="597"/>
        <v/>
      </c>
      <c r="DT170" s="19" t="str">
        <f t="shared" si="598"/>
        <v/>
      </c>
      <c r="DU170" s="12" t="str">
        <f t="shared" si="424"/>
        <v/>
      </c>
      <c r="DV170" s="11" t="str">
        <f t="shared" si="425"/>
        <v/>
      </c>
      <c r="DW170" s="12" t="str">
        <f t="shared" si="426"/>
        <v/>
      </c>
      <c r="DX170" s="12" t="str">
        <f t="shared" si="599"/>
        <v/>
      </c>
      <c r="DY170" s="19" t="str">
        <f t="shared" si="427"/>
        <v/>
      </c>
      <c r="DZ170" s="12" t="str">
        <f t="shared" si="428"/>
        <v/>
      </c>
      <c r="EA170" s="19" t="str">
        <f t="shared" si="600"/>
        <v/>
      </c>
      <c r="EB170" s="7" t="str">
        <f t="shared" si="601"/>
        <v/>
      </c>
      <c r="EC170" s="19" t="str">
        <f t="shared" si="602"/>
        <v/>
      </c>
      <c r="ED170" s="19" t="str">
        <f t="shared" si="603"/>
        <v/>
      </c>
      <c r="EE170" s="19" t="str">
        <f t="shared" si="429"/>
        <v/>
      </c>
      <c r="EF170" s="19" t="str">
        <f t="shared" si="430"/>
        <v/>
      </c>
      <c r="EG170" s="19" t="str">
        <f t="shared" si="431"/>
        <v/>
      </c>
      <c r="EH170" s="19" t="str">
        <f t="shared" si="432"/>
        <v/>
      </c>
      <c r="EI170" s="19" t="str">
        <f t="shared" si="433"/>
        <v/>
      </c>
      <c r="EJ170" s="19" t="str">
        <f t="shared" si="604"/>
        <v/>
      </c>
      <c r="EK170" s="19" t="str">
        <f t="shared" si="605"/>
        <v/>
      </c>
      <c r="EL170" s="19" t="str">
        <f t="shared" si="434"/>
        <v/>
      </c>
      <c r="EM170" s="19" t="str">
        <f t="shared" si="435"/>
        <v/>
      </c>
      <c r="EN170" s="19" t="str">
        <f t="shared" si="436"/>
        <v/>
      </c>
      <c r="EO170" s="19" t="str">
        <f t="shared" si="437"/>
        <v/>
      </c>
      <c r="EP170" s="19" t="str">
        <f t="shared" si="438"/>
        <v/>
      </c>
      <c r="EQ170" s="19" t="e">
        <f t="shared" si="439"/>
        <v>#N/A</v>
      </c>
      <c r="ER170" s="11" t="str">
        <f t="shared" si="527"/>
        <v/>
      </c>
      <c r="ES170" s="19" t="str">
        <f t="shared" si="528"/>
        <v/>
      </c>
      <c r="ET170" s="156" t="str">
        <f t="shared" si="606"/>
        <v/>
      </c>
      <c r="EU170" s="39" t="str">
        <f t="shared" si="440"/>
        <v/>
      </c>
      <c r="EV170" s="74" t="str">
        <f t="shared" si="607"/>
        <v/>
      </c>
      <c r="FA170" s="196"/>
      <c r="FB170" s="84" t="e">
        <f>IF(AND(Include_study?="Yes",Sufficient_data="Yes",Moderator&lt;&gt;""),'Moderator Analysis'!E170,NA())</f>
        <v>#N/A</v>
      </c>
      <c r="FC170" s="39" t="e">
        <f>IF(AND(Include_study?="Yes",Sufficient_data="Yes",Moderator&lt;&gt;""),'Moderator Analysis'!F170,NA())</f>
        <v>#N/A</v>
      </c>
      <c r="FD170" s="39" t="str">
        <f t="shared" si="608"/>
        <v/>
      </c>
      <c r="FE170" s="39" t="str">
        <f t="shared" si="609"/>
        <v/>
      </c>
      <c r="FF170" s="39" t="str">
        <f>IF(AND(Include_study?="Yes",Sufficient_data="Yes",Moderator&lt;&gt;""),'Moderator Analysis'!F:F-FP$2,"")</f>
        <v/>
      </c>
      <c r="FG170" s="39" t="str">
        <f>IF(AND(Include_study?="Yes",Sufficient_data="Yes",Moderator&lt;&gt;""),'Moderator Analysis'!E:E-FP$3,"")</f>
        <v/>
      </c>
      <c r="FH170" s="74" t="str">
        <f>IF(AND(Include_study?="Yes",Sufficient_data="Yes",Moderator&lt;&gt;""),FE:FE*('Moderator Analysis'!F:F-FP$5-FP$4*'Moderator Analysis'!E:E)^2,"")</f>
        <v/>
      </c>
      <c r="FI170" s="128"/>
      <c r="FJ170" s="92" t="str">
        <f t="shared" si="610"/>
        <v/>
      </c>
      <c r="FK170" s="137" t="str">
        <f>IF(AND(Include_study?="Yes",Sufficient_data="Yes",Moderator&lt;&gt;""),'Moderator Analysis'!F:F-'Moderator Analysis'!J$37,"")</f>
        <v/>
      </c>
      <c r="FL170" s="137" t="str">
        <f>IF(AND(Include_study?="Yes",Sufficient_data="Yes",Moderator&lt;&gt;""),'Moderator Analysis'!E:E-SUMPRODUCT('Moderator Analysis'!E:E,FJ:FJ)/SUM(FJ:FJ),"")</f>
        <v/>
      </c>
      <c r="FM170" s="95" t="str">
        <f>IF(AND(Include_study?="Yes",Sufficient_data="Yes",Moderator&lt;&gt;""),FJ:FJ*('Moderator Analysis'!F:F-'Moderator Analysis'!J$29-'Moderator Analysis'!J$30*'Moderator Analysis'!E:E)^2,"")</f>
        <v/>
      </c>
      <c r="FR170" s="196"/>
      <c r="FS170" s="182"/>
      <c r="FT17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0" s="39" t="str">
        <f>IF(AND(Include_study?="Yes",Sufficient_data="Yes"),1/('Publication Bias Analysis'!F:F^2+IF(Additional_model="Fixed effect",0,Calculations!GH$12)),"")</f>
        <v/>
      </c>
      <c r="FV170" s="39" t="str">
        <f>IF(AND(Include_study?="Yes",Sufficient_data="Yes"),1/('Publication Bias Analysis'!F:F^2+IF(Additional_model="Fixed effect",0,'Publication Bias Analysis'!L$32)),"")</f>
        <v/>
      </c>
      <c r="FW170" s="39" t="str">
        <f>IF(AND(Include_study?="Yes",Sufficient_data="Yes"),'Publication Bias Analysis'!E:E-'Publication Bias Analysis'!I$37,"")</f>
        <v/>
      </c>
      <c r="FX170" s="39" t="str">
        <f>IF(AND(Include_study?="Yes",Sufficient_data="Yes"),IF(Additional_model="Fixed effect",1/'Publication Bias Analysis'!F:F,1/SQRT('Publication Bias Analysis'!F:F^2+GH$12)),"")</f>
        <v/>
      </c>
      <c r="FY17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0" s="136" t="str">
        <f t="shared" si="611"/>
        <v/>
      </c>
      <c r="GA170" s="144" t="str">
        <f>IF(AND(Include_study?="Yes",Sufficient_data="Yes"),FZ:FZ+IF(GL:GL&lt;0,-1,1)*COUNTIF(FZ$2:FZ169,FZ:FZ),"")</f>
        <v/>
      </c>
      <c r="GB170" s="144" t="str">
        <f>IF(AND(Include_study?="Yes",Sufficient_data="Yes"),RANK(GP:GP,GP:GP,1)*IF(GO:GO&lt;0,-1,1)+IF(GO:GO&lt;0,-1,1)*COUNTIF(FZ$2:FZ169,FZ:FZ),"")</f>
        <v/>
      </c>
      <c r="GC170" s="144" t="str">
        <f>IF(AND(Include_study?="Yes",Sufficient_data="Yes"),RANK(GS:GS,GS:GS,1)*IF(GR:GR&lt;0,-1,1)+IF(GR:GR&lt;0,-1,1)*COUNTIF(FZ$2:FZ169,FZ:FZ),"")</f>
        <v/>
      </c>
      <c r="GD170" s="39" t="e">
        <f>IF(AND(Include_study?="Yes",Sufficient_data="Yes"),'Publication Bias Analysis'!E170,NA())</f>
        <v>#N/A</v>
      </c>
      <c r="GE170" s="74" t="e">
        <f>IF(AND(Include_study?="Yes",Sufficient_data="Yes"),'Publication Bias Analysis'!F170,NA())</f>
        <v>#N/A</v>
      </c>
      <c r="GK170" s="176"/>
      <c r="GL17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0" s="39" t="str">
        <f t="shared" si="612"/>
        <v/>
      </c>
      <c r="GN17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0" s="39" t="str">
        <f>IF(AND(Include_study?="Yes",Sufficient_data="Yes"),IF('Publication Bias Analysis'!L$38="Left",'Publication Bias Analysis'!E:E-GW$3,GW$3-'Publication Bias Analysis'!E:E),"")</f>
        <v/>
      </c>
      <c r="GP170" s="39" t="str">
        <f t="shared" si="529"/>
        <v/>
      </c>
      <c r="GQ17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0" s="39" t="str">
        <f>IF(AND(Include_study?="Yes",Sufficient_data="Yes"),IF('Publication Bias Analysis'!L$38="Left",'Publication Bias Analysis'!E:E-GW$10,GW$10-'Publication Bias Analysis'!E:E),"")</f>
        <v/>
      </c>
      <c r="GS170" s="39" t="str">
        <f t="shared" si="530"/>
        <v/>
      </c>
      <c r="GT17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0" s="176"/>
      <c r="HL170" s="69" t="str">
        <f t="shared" si="518"/>
        <v/>
      </c>
      <c r="HM170" s="74" t="str">
        <f>IF(AND(Include_study?="Yes",Sufficient_data="Yes"),Z_score-('Publication Bias Analysis'!P$3+'Publication Bias Analysis'!P$4*Inverse_standard_error),"")</f>
        <v/>
      </c>
      <c r="HO170" s="176"/>
      <c r="HP170" s="69" t="str">
        <f>IF(AND(Include_study?="Yes",Sufficient_data="Yes"),(GD:GD-SUMPRODUCT(Calculations!FT:FT,'Publication Bias Analysis'!E:E)/SUM(Calculations!FT:FT))/SQRT(Calculations!HQ:HQ),"")</f>
        <v/>
      </c>
      <c r="HQ170" s="69" t="str">
        <f>IF(AND(Include_study?="Yes",Sufficient_data="Yes"),GE:GE^2-1/SUM(Calculations!FT:FT),"")</f>
        <v/>
      </c>
      <c r="HR170" s="7" t="str">
        <f t="shared" si="441"/>
        <v/>
      </c>
      <c r="HS170" s="7" t="str">
        <f t="shared" si="442"/>
        <v/>
      </c>
      <c r="HT170" s="7" t="str">
        <f>IF(AND(Include_study?="Yes",Sufficient_data="Yes"),COUNTIFS(HR$2:HR169,"&lt;"&amp;HR170,HS$2:HS169,"&lt;"&amp;HS170)+COUNTIFS(HR171:HR$201,"&lt;"&amp;HR170,HS171:HS$201,"&lt;"&amp;HS170)+COUNTIFS(HR$2:HR169,"&gt;"&amp;HR170,HS$2:HS169,"&gt;"&amp;HS170)+COUNTIFS(HR171:HR$201,"&gt;"&amp;HR170,HS171:HS$201,"&gt;"&amp;HS170),"")</f>
        <v/>
      </c>
      <c r="HU170" s="104" t="str">
        <f>IF(AND(Include_study?="Yes",Sufficient_data="Yes"),COUNTIFS(HR$2:HR169,"&lt;"&amp;HR170,HS$2:HS169,"&gt;"&amp;HS170)+COUNTIFS(HR171:HR$201,"&lt;"&amp;HR170,HS171:HS$201,"&gt;"&amp;HS170)+COUNTIFS(HR$2:HR169,"&gt;"&amp;HR170,HS$2:HS169,"&lt;"&amp;HS170)+COUNTIFS(HR171:HR$201,"&gt;"&amp;HR170,HS171:HS$201,"&lt;"&amp;HS170),"")</f>
        <v/>
      </c>
      <c r="HW170" s="176"/>
      <c r="IB170" s="176"/>
      <c r="IC170" s="146" t="e">
        <f t="shared" si="613"/>
        <v>#N/A</v>
      </c>
      <c r="ID170" s="137" t="e">
        <f t="shared" si="614"/>
        <v>#N/A</v>
      </c>
      <c r="IE170" s="137" t="str">
        <f t="shared" si="615"/>
        <v/>
      </c>
      <c r="IF170" s="95" t="str">
        <f t="shared" si="616"/>
        <v/>
      </c>
      <c r="IK170" s="176"/>
      <c r="IL170" s="69" t="e">
        <f>IF(AND(Include_study?="Yes",Sufficient_data="Yes"),'Publication Bias Analysis'!AV:AV,NA())</f>
        <v>#N/A</v>
      </c>
      <c r="IM170" s="158" t="e">
        <f>IF(AND(Sufficient_data="Yes",Include_study?="Yes"),'Publication Bias Analysis'!AU:AU,NA())</f>
        <v>#N/A</v>
      </c>
      <c r="IN170" s="69" t="str">
        <f t="shared" si="617"/>
        <v/>
      </c>
      <c r="IO170" s="74" t="str">
        <f>IF(AND(Include_study?="Yes",Sufficient_data="Yes"),Z_score-('Publication Bias Analysis'!AY$30+'Publication Bias Analysis'!AY$31*Inverse_standard_error),"")</f>
        <v/>
      </c>
      <c r="IU170" s="176"/>
      <c r="IV170" s="7" t="str">
        <f>IF('Publication Bias Analysis'!BG:BG&lt;&gt;"",RANK('Publication Bias Analysis'!BG:BG,'Publication Bias Analysis'!BG:BG,1)+COUNTIF('Publication Bias Analysis'!BG$2:BG169,'Publication Bias Analysis'!BG170),"")</f>
        <v/>
      </c>
      <c r="IW170" s="124" t="str">
        <f t="shared" si="618"/>
        <v/>
      </c>
      <c r="IX170" s="125" t="e">
        <f>IF('Publication Bias Analysis'!BF170&lt;&gt;"",'Publication Bias Analysis'!BF170,NA())</f>
        <v>#N/A</v>
      </c>
      <c r="IY170" s="125" t="e">
        <f>IF('Publication Bias Analysis'!BG170&lt;&gt;"",'Publication Bias Analysis'!BG170,NA())</f>
        <v>#N/A</v>
      </c>
      <c r="IZ170" s="69" t="str">
        <f>IF(AND(Include_study?="Yes",Sufficient_data="Yes"),'Publication Bias Analysis'!BF:BF-AVERAGE('Publication Bias Analysis'!BF:BF),"")</f>
        <v/>
      </c>
      <c r="JA170" s="74" t="str">
        <f>IF(AND(Include_study?="Yes",Sufficient_data="Yes"),'Publication Bias Analysis'!BG:BG-('Publication Bias Analysis'!BJ$30+'Publication Bias Analysis'!BJ$31*'Publication Bias Analysis'!BF:BF),"")</f>
        <v/>
      </c>
      <c r="JG170" s="176"/>
      <c r="JH170" s="39" t="str">
        <f t="shared" si="619"/>
        <v/>
      </c>
      <c r="JI170" s="148" t="str">
        <f t="shared" si="531"/>
        <v/>
      </c>
      <c r="JJ170" s="74" t="str">
        <f t="shared" si="532"/>
        <v/>
      </c>
    </row>
    <row r="171" spans="1:270" x14ac:dyDescent="0.2">
      <c r="A171" s="56" t="str">
        <f t="shared" si="533"/>
        <v/>
      </c>
      <c r="B171" s="7" t="str">
        <f>IF(AND(Include_study?="Yes",Sufficient_data="Yes"),IF(Input!a_&lt;&gt;"",Input!a_,Input!n1_-Input!b_),"")</f>
        <v/>
      </c>
      <c r="C171" s="7" t="str">
        <f>IF(AND(Include_study?="Yes",Sufficient_data="Yes"),IF(Input!b_&lt;&gt;"",Input!b_,Input!n1_-Input!a_),"")</f>
        <v/>
      </c>
      <c r="D171" s="7" t="str">
        <f>IF(AND(Include_study?="Yes",Sufficient_data="Yes"),IF(Input!c_&lt;&gt;"",Input!c_,Input!n2_-Input!d_),"")</f>
        <v/>
      </c>
      <c r="E171" s="7" t="str">
        <f>IF(AND(Include_study?="Yes",Sufficient_data="Yes"),IF(Input!d_&lt;&gt;"",Input!d_,Input!n2_-Input!c_),"")</f>
        <v/>
      </c>
      <c r="F171" s="74" t="str">
        <f t="shared" si="534"/>
        <v/>
      </c>
      <c r="H171" s="196"/>
      <c r="I171" s="182"/>
      <c r="J171" s="146" t="str">
        <f t="shared" si="444"/>
        <v/>
      </c>
      <c r="K171" s="39" t="str">
        <f t="shared" si="535"/>
        <v/>
      </c>
      <c r="L171" s="39" t="str">
        <f t="shared" si="536"/>
        <v/>
      </c>
      <c r="M171" s="39" t="str">
        <f t="shared" si="537"/>
        <v/>
      </c>
      <c r="N171" s="74" t="str">
        <f t="shared" si="538"/>
        <v/>
      </c>
      <c r="P171" s="176"/>
      <c r="Q171" s="130" t="str">
        <f t="shared" si="539"/>
        <v/>
      </c>
      <c r="R171" s="39" t="str">
        <f t="shared" si="540"/>
        <v/>
      </c>
      <c r="S171" s="39" t="str">
        <f t="shared" si="541"/>
        <v/>
      </c>
      <c r="T171" s="74" t="str">
        <f t="shared" si="542"/>
        <v/>
      </c>
      <c r="V171" s="176"/>
      <c r="W171" s="130" t="str">
        <f t="shared" si="543"/>
        <v/>
      </c>
      <c r="X171" s="39" t="str">
        <f t="shared" si="544"/>
        <v/>
      </c>
      <c r="Y171" s="39" t="str">
        <f t="shared" si="545"/>
        <v/>
      </c>
      <c r="Z171" s="74" t="str">
        <f t="shared" si="546"/>
        <v/>
      </c>
      <c r="AB171" s="176"/>
      <c r="AC171" s="130" t="str">
        <f t="shared" si="547"/>
        <v/>
      </c>
      <c r="AD171" s="39" t="str">
        <f t="shared" si="548"/>
        <v/>
      </c>
      <c r="AE171" s="39" t="str">
        <f t="shared" si="549"/>
        <v/>
      </c>
      <c r="AF171" s="39" t="str">
        <f t="shared" si="550"/>
        <v/>
      </c>
      <c r="AG171" s="74" t="str">
        <f t="shared" si="551"/>
        <v/>
      </c>
      <c r="AI171" s="196"/>
      <c r="AJ17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1" s="136" t="str">
        <f>IF(AJ171&lt;&gt;"",IF(AJ171=0,COUNTIF(AJ$2:AJ170,0)+1,COUNTIF(AJ$2:AJ170,AJ171)+AJ171+COUNTIF(AJ:AJ,0)),"")</f>
        <v/>
      </c>
      <c r="AL171" s="136" t="str">
        <f t="shared" si="462"/>
        <v/>
      </c>
      <c r="AM171" s="155" t="str">
        <f>IF(AND(Include_study?="Yes",Sufficient_data="Yes",Input!Study_name&lt;&gt;""),Input!Study_name,"")</f>
        <v/>
      </c>
      <c r="AN171" s="136" t="str">
        <f t="shared" si="463"/>
        <v/>
      </c>
      <c r="AO171" s="19" t="str">
        <f t="shared" si="552"/>
        <v/>
      </c>
      <c r="AP171" s="158" t="str">
        <f t="shared" si="553"/>
        <v/>
      </c>
      <c r="AQ171" s="158" t="str">
        <f t="shared" si="554"/>
        <v/>
      </c>
      <c r="AR171" s="39" t="str">
        <f t="shared" si="555"/>
        <v/>
      </c>
      <c r="AS171" s="158" t="str">
        <f t="shared" si="556"/>
        <v/>
      </c>
      <c r="AT171" s="39" t="str">
        <f t="shared" si="557"/>
        <v/>
      </c>
      <c r="AU171" s="172" t="str">
        <f t="shared" si="558"/>
        <v/>
      </c>
      <c r="AV171" s="45"/>
      <c r="AW171" s="84" t="e">
        <f t="shared" si="559"/>
        <v>#N/A</v>
      </c>
      <c r="AX171" s="69" t="e">
        <f t="shared" si="560"/>
        <v>#N/A</v>
      </c>
      <c r="AY171" s="74" t="e">
        <f t="shared" si="561"/>
        <v>#N/A</v>
      </c>
      <c r="AZ171" s="45"/>
      <c r="BA171" s="45"/>
      <c r="BB171" s="45"/>
      <c r="BC171" s="45"/>
      <c r="BD171" s="196"/>
      <c r="BE171" s="182"/>
      <c r="BF171" s="69" t="str">
        <f t="shared" si="562"/>
        <v/>
      </c>
      <c r="BG171" s="69" t="str">
        <f t="shared" si="563"/>
        <v/>
      </c>
      <c r="BH171" s="69" t="str">
        <f t="shared" si="564"/>
        <v/>
      </c>
      <c r="BI171" s="39" t="str">
        <f t="shared" si="565"/>
        <v/>
      </c>
      <c r="BJ171" s="95" t="str">
        <f t="shared" si="566"/>
        <v/>
      </c>
      <c r="BO171" s="176"/>
      <c r="BP171" s="158" t="str">
        <f t="shared" si="567"/>
        <v/>
      </c>
      <c r="BQ171" s="158" t="str">
        <f t="shared" si="568"/>
        <v/>
      </c>
      <c r="BR171" s="158" t="str">
        <f t="shared" si="569"/>
        <v/>
      </c>
      <c r="BS171" s="158" t="str">
        <f>IF(AND(Sufficient_data="Yes",Include_study?="Yes"),IF(Add_0_5="Yes",(a_+d_+1)*(ab_+0.5)*(c_+0.5)/(Number_of_subjects+2)^2,(a_+d_)*b_*c_/Number_of_subjects^2),"")</f>
        <v/>
      </c>
      <c r="BT171" s="158" t="str">
        <f t="shared" si="570"/>
        <v/>
      </c>
      <c r="BU171" s="158" t="str">
        <f t="shared" si="571"/>
        <v/>
      </c>
      <c r="BV171" s="158" t="str">
        <f t="shared" si="572"/>
        <v/>
      </c>
      <c r="BW171" s="69" t="str">
        <f t="shared" si="573"/>
        <v/>
      </c>
      <c r="BX171" s="137" t="str">
        <f t="shared" si="574"/>
        <v/>
      </c>
      <c r="BY171" s="95" t="str">
        <f t="shared" si="575"/>
        <v/>
      </c>
      <c r="CD171" s="176"/>
      <c r="CE171" s="130" t="str">
        <f t="shared" si="576"/>
        <v/>
      </c>
      <c r="CF171" s="39" t="str">
        <f t="shared" si="577"/>
        <v/>
      </c>
      <c r="CG171" s="39" t="str">
        <f t="shared" si="578"/>
        <v/>
      </c>
      <c r="CH171" s="39" t="str">
        <f t="shared" si="579"/>
        <v/>
      </c>
      <c r="CI171" s="39" t="str">
        <f t="shared" si="580"/>
        <v/>
      </c>
      <c r="CJ171" s="39" t="str">
        <f t="shared" si="486"/>
        <v/>
      </c>
      <c r="CK171" s="95" t="str">
        <f t="shared" si="581"/>
        <v/>
      </c>
      <c r="CP171" s="176"/>
      <c r="CQ171" s="99" t="str">
        <f t="shared" si="582"/>
        <v/>
      </c>
      <c r="CX171" s="196"/>
      <c r="CY171" s="89" t="e">
        <f t="shared" si="583"/>
        <v>#N/A</v>
      </c>
      <c r="CZ171" s="136" t="str">
        <f t="shared" si="584"/>
        <v/>
      </c>
      <c r="DA171" s="140" t="str">
        <f t="shared" si="585"/>
        <v/>
      </c>
      <c r="DB171" s="39" t="str">
        <f t="shared" si="586"/>
        <v/>
      </c>
      <c r="DC171" s="39" t="str">
        <f t="shared" si="587"/>
        <v/>
      </c>
      <c r="DD171" s="39" t="str">
        <f t="shared" si="588"/>
        <v/>
      </c>
      <c r="DE171" s="39" t="str">
        <f t="shared" si="589"/>
        <v/>
      </c>
      <c r="DF171" s="141" t="str">
        <f t="shared" si="590"/>
        <v/>
      </c>
      <c r="DG171" s="39" t="str">
        <f t="shared" si="591"/>
        <v/>
      </c>
      <c r="DH171" s="39" t="str">
        <f t="shared" si="592"/>
        <v/>
      </c>
      <c r="DI171" s="39" t="str">
        <f t="shared" si="593"/>
        <v/>
      </c>
      <c r="DJ171" s="74" t="str">
        <f t="shared" si="594"/>
        <v/>
      </c>
      <c r="DK171" s="45"/>
      <c r="DL171" s="84" t="e">
        <f t="shared" si="423"/>
        <v>#N/A</v>
      </c>
      <c r="DM171" s="39" t="e">
        <f t="shared" si="595"/>
        <v>#N/A</v>
      </c>
      <c r="DN171" s="74" t="e">
        <f t="shared" si="596"/>
        <v>#N/A</v>
      </c>
      <c r="DO171" s="45"/>
      <c r="DP171" s="89" t="str">
        <f t="shared" si="525"/>
        <v/>
      </c>
      <c r="DQ171" s="26" t="str">
        <f>IF(AND(Sufficient_data="Yes",Subgroup&lt;&gt;""),IF(COUNTIFS(Input!J$2:J170,"="&amp;"Yes",Input!C$2:C170,"="&amp;"Yes",Input!K$2:K170,"="&amp;Subgroup)&gt;0,"",Subgroup),"")</f>
        <v/>
      </c>
      <c r="DR171" s="7" t="str">
        <f t="shared" si="526"/>
        <v/>
      </c>
      <c r="DS171" s="7" t="str">
        <f t="shared" si="597"/>
        <v/>
      </c>
      <c r="DT171" s="19" t="str">
        <f t="shared" si="598"/>
        <v/>
      </c>
      <c r="DU171" s="12" t="str">
        <f t="shared" si="424"/>
        <v/>
      </c>
      <c r="DV171" s="11" t="str">
        <f t="shared" si="425"/>
        <v/>
      </c>
      <c r="DW171" s="12" t="str">
        <f t="shared" si="426"/>
        <v/>
      </c>
      <c r="DX171" s="12" t="str">
        <f t="shared" si="599"/>
        <v/>
      </c>
      <c r="DY171" s="19" t="str">
        <f t="shared" si="427"/>
        <v/>
      </c>
      <c r="DZ171" s="12" t="str">
        <f t="shared" si="428"/>
        <v/>
      </c>
      <c r="EA171" s="19" t="str">
        <f t="shared" si="600"/>
        <v/>
      </c>
      <c r="EB171" s="7" t="str">
        <f t="shared" si="601"/>
        <v/>
      </c>
      <c r="EC171" s="19" t="str">
        <f t="shared" si="602"/>
        <v/>
      </c>
      <c r="ED171" s="19" t="str">
        <f t="shared" si="603"/>
        <v/>
      </c>
      <c r="EE171" s="19" t="str">
        <f t="shared" si="429"/>
        <v/>
      </c>
      <c r="EF171" s="19" t="str">
        <f t="shared" si="430"/>
        <v/>
      </c>
      <c r="EG171" s="19" t="str">
        <f t="shared" si="431"/>
        <v/>
      </c>
      <c r="EH171" s="19" t="str">
        <f t="shared" si="432"/>
        <v/>
      </c>
      <c r="EI171" s="19" t="str">
        <f t="shared" si="433"/>
        <v/>
      </c>
      <c r="EJ171" s="19" t="str">
        <f t="shared" si="604"/>
        <v/>
      </c>
      <c r="EK171" s="19" t="str">
        <f t="shared" si="605"/>
        <v/>
      </c>
      <c r="EL171" s="19" t="str">
        <f t="shared" si="434"/>
        <v/>
      </c>
      <c r="EM171" s="19" t="str">
        <f t="shared" si="435"/>
        <v/>
      </c>
      <c r="EN171" s="19" t="str">
        <f t="shared" si="436"/>
        <v/>
      </c>
      <c r="EO171" s="19" t="str">
        <f t="shared" si="437"/>
        <v/>
      </c>
      <c r="EP171" s="19" t="str">
        <f t="shared" si="438"/>
        <v/>
      </c>
      <c r="EQ171" s="19" t="e">
        <f t="shared" si="439"/>
        <v>#N/A</v>
      </c>
      <c r="ER171" s="11" t="str">
        <f t="shared" si="527"/>
        <v/>
      </c>
      <c r="ES171" s="19" t="str">
        <f t="shared" si="528"/>
        <v/>
      </c>
      <c r="ET171" s="156" t="str">
        <f t="shared" si="606"/>
        <v/>
      </c>
      <c r="EU171" s="39" t="str">
        <f t="shared" si="440"/>
        <v/>
      </c>
      <c r="EV171" s="74" t="str">
        <f t="shared" si="607"/>
        <v/>
      </c>
      <c r="FA171" s="196"/>
      <c r="FB171" s="84" t="e">
        <f>IF(AND(Include_study?="Yes",Sufficient_data="Yes",Moderator&lt;&gt;""),'Moderator Analysis'!E171,NA())</f>
        <v>#N/A</v>
      </c>
      <c r="FC171" s="39" t="e">
        <f>IF(AND(Include_study?="Yes",Sufficient_data="Yes",Moderator&lt;&gt;""),'Moderator Analysis'!F171,NA())</f>
        <v>#N/A</v>
      </c>
      <c r="FD171" s="39" t="str">
        <f t="shared" si="608"/>
        <v/>
      </c>
      <c r="FE171" s="39" t="str">
        <f t="shared" si="609"/>
        <v/>
      </c>
      <c r="FF171" s="39" t="str">
        <f>IF(AND(Include_study?="Yes",Sufficient_data="Yes",Moderator&lt;&gt;""),'Moderator Analysis'!F:F-FP$2,"")</f>
        <v/>
      </c>
      <c r="FG171" s="39" t="str">
        <f>IF(AND(Include_study?="Yes",Sufficient_data="Yes",Moderator&lt;&gt;""),'Moderator Analysis'!E:E-FP$3,"")</f>
        <v/>
      </c>
      <c r="FH171" s="74" t="str">
        <f>IF(AND(Include_study?="Yes",Sufficient_data="Yes",Moderator&lt;&gt;""),FE:FE*('Moderator Analysis'!F:F-FP$5-FP$4*'Moderator Analysis'!E:E)^2,"")</f>
        <v/>
      </c>
      <c r="FI171" s="128"/>
      <c r="FJ171" s="92" t="str">
        <f t="shared" si="610"/>
        <v/>
      </c>
      <c r="FK171" s="137" t="str">
        <f>IF(AND(Include_study?="Yes",Sufficient_data="Yes",Moderator&lt;&gt;""),'Moderator Analysis'!F:F-'Moderator Analysis'!J$37,"")</f>
        <v/>
      </c>
      <c r="FL171" s="137" t="str">
        <f>IF(AND(Include_study?="Yes",Sufficient_data="Yes",Moderator&lt;&gt;""),'Moderator Analysis'!E:E-SUMPRODUCT('Moderator Analysis'!E:E,FJ:FJ)/SUM(FJ:FJ),"")</f>
        <v/>
      </c>
      <c r="FM171" s="95" t="str">
        <f>IF(AND(Include_study?="Yes",Sufficient_data="Yes",Moderator&lt;&gt;""),FJ:FJ*('Moderator Analysis'!F:F-'Moderator Analysis'!J$29-'Moderator Analysis'!J$30*'Moderator Analysis'!E:E)^2,"")</f>
        <v/>
      </c>
      <c r="FR171" s="196"/>
      <c r="FS171" s="182"/>
      <c r="FT17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1" s="39" t="str">
        <f>IF(AND(Include_study?="Yes",Sufficient_data="Yes"),1/('Publication Bias Analysis'!F:F^2+IF(Additional_model="Fixed effect",0,Calculations!GH$12)),"")</f>
        <v/>
      </c>
      <c r="FV171" s="39" t="str">
        <f>IF(AND(Include_study?="Yes",Sufficient_data="Yes"),1/('Publication Bias Analysis'!F:F^2+IF(Additional_model="Fixed effect",0,'Publication Bias Analysis'!L$32)),"")</f>
        <v/>
      </c>
      <c r="FW171" s="39" t="str">
        <f>IF(AND(Include_study?="Yes",Sufficient_data="Yes"),'Publication Bias Analysis'!E:E-'Publication Bias Analysis'!I$37,"")</f>
        <v/>
      </c>
      <c r="FX171" s="39" t="str">
        <f>IF(AND(Include_study?="Yes",Sufficient_data="Yes"),IF(Additional_model="Fixed effect",1/'Publication Bias Analysis'!F:F,1/SQRT('Publication Bias Analysis'!F:F^2+GH$12)),"")</f>
        <v/>
      </c>
      <c r="FY17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1" s="136" t="str">
        <f t="shared" si="611"/>
        <v/>
      </c>
      <c r="GA171" s="144" t="str">
        <f>IF(AND(Include_study?="Yes",Sufficient_data="Yes"),FZ:FZ+IF(GL:GL&lt;0,-1,1)*COUNTIF(FZ$2:FZ170,FZ:FZ),"")</f>
        <v/>
      </c>
      <c r="GB171" s="144" t="str">
        <f>IF(AND(Include_study?="Yes",Sufficient_data="Yes"),RANK(GP:GP,GP:GP,1)*IF(GO:GO&lt;0,-1,1)+IF(GO:GO&lt;0,-1,1)*COUNTIF(FZ$2:FZ170,FZ:FZ),"")</f>
        <v/>
      </c>
      <c r="GC171" s="144" t="str">
        <f>IF(AND(Include_study?="Yes",Sufficient_data="Yes"),RANK(GS:GS,GS:GS,1)*IF(GR:GR&lt;0,-1,1)+IF(GR:GR&lt;0,-1,1)*COUNTIF(FZ$2:FZ170,FZ:FZ),"")</f>
        <v/>
      </c>
      <c r="GD171" s="39" t="e">
        <f>IF(AND(Include_study?="Yes",Sufficient_data="Yes"),'Publication Bias Analysis'!E171,NA())</f>
        <v>#N/A</v>
      </c>
      <c r="GE171" s="74" t="e">
        <f>IF(AND(Include_study?="Yes",Sufficient_data="Yes"),'Publication Bias Analysis'!F171,NA())</f>
        <v>#N/A</v>
      </c>
      <c r="GK171" s="176"/>
      <c r="GL17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1" s="39" t="str">
        <f t="shared" si="612"/>
        <v/>
      </c>
      <c r="GN17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1" s="39" t="str">
        <f>IF(AND(Include_study?="Yes",Sufficient_data="Yes"),IF('Publication Bias Analysis'!L$38="Left",'Publication Bias Analysis'!E:E-GW$3,GW$3-'Publication Bias Analysis'!E:E),"")</f>
        <v/>
      </c>
      <c r="GP171" s="39" t="str">
        <f t="shared" si="529"/>
        <v/>
      </c>
      <c r="GQ17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1" s="39" t="str">
        <f>IF(AND(Include_study?="Yes",Sufficient_data="Yes"),IF('Publication Bias Analysis'!L$38="Left",'Publication Bias Analysis'!E:E-GW$10,GW$10-'Publication Bias Analysis'!E:E),"")</f>
        <v/>
      </c>
      <c r="GS171" s="39" t="str">
        <f t="shared" si="530"/>
        <v/>
      </c>
      <c r="GT17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1" s="176"/>
      <c r="HL171" s="69" t="str">
        <f t="shared" si="518"/>
        <v/>
      </c>
      <c r="HM171" s="74" t="str">
        <f>IF(AND(Include_study?="Yes",Sufficient_data="Yes"),Z_score-('Publication Bias Analysis'!P$3+'Publication Bias Analysis'!P$4*Inverse_standard_error),"")</f>
        <v/>
      </c>
      <c r="HO171" s="176"/>
      <c r="HP171" s="69" t="str">
        <f>IF(AND(Include_study?="Yes",Sufficient_data="Yes"),(GD:GD-SUMPRODUCT(Calculations!FT:FT,'Publication Bias Analysis'!E:E)/SUM(Calculations!FT:FT))/SQRT(Calculations!HQ:HQ),"")</f>
        <v/>
      </c>
      <c r="HQ171" s="69" t="str">
        <f>IF(AND(Include_study?="Yes",Sufficient_data="Yes"),GE:GE^2-1/SUM(Calculations!FT:FT),"")</f>
        <v/>
      </c>
      <c r="HR171" s="7" t="str">
        <f t="shared" si="441"/>
        <v/>
      </c>
      <c r="HS171" s="7" t="str">
        <f t="shared" si="442"/>
        <v/>
      </c>
      <c r="HT171" s="7" t="str">
        <f>IF(AND(Include_study?="Yes",Sufficient_data="Yes"),COUNTIFS(HR$2:HR170,"&lt;"&amp;HR171,HS$2:HS170,"&lt;"&amp;HS171)+COUNTIFS(HR172:HR$201,"&lt;"&amp;HR171,HS172:HS$201,"&lt;"&amp;HS171)+COUNTIFS(HR$2:HR170,"&gt;"&amp;HR171,HS$2:HS170,"&gt;"&amp;HS171)+COUNTIFS(HR172:HR$201,"&gt;"&amp;HR171,HS172:HS$201,"&gt;"&amp;HS171),"")</f>
        <v/>
      </c>
      <c r="HU171" s="104" t="str">
        <f>IF(AND(Include_study?="Yes",Sufficient_data="Yes"),COUNTIFS(HR$2:HR170,"&lt;"&amp;HR171,HS$2:HS170,"&gt;"&amp;HS171)+COUNTIFS(HR172:HR$201,"&lt;"&amp;HR171,HS172:HS$201,"&gt;"&amp;HS171)+COUNTIFS(HR$2:HR170,"&gt;"&amp;HR171,HS$2:HS170,"&lt;"&amp;HS171)+COUNTIFS(HR172:HR$201,"&gt;"&amp;HR171,HS172:HS$201,"&lt;"&amp;HS171),"")</f>
        <v/>
      </c>
      <c r="HW171" s="176"/>
      <c r="IB171" s="176"/>
      <c r="IC171" s="146" t="e">
        <f t="shared" si="613"/>
        <v>#N/A</v>
      </c>
      <c r="ID171" s="137" t="e">
        <f t="shared" si="614"/>
        <v>#N/A</v>
      </c>
      <c r="IE171" s="137" t="str">
        <f t="shared" si="615"/>
        <v/>
      </c>
      <c r="IF171" s="95" t="str">
        <f t="shared" si="616"/>
        <v/>
      </c>
      <c r="IK171" s="176"/>
      <c r="IL171" s="69" t="e">
        <f>IF(AND(Include_study?="Yes",Sufficient_data="Yes"),'Publication Bias Analysis'!AV:AV,NA())</f>
        <v>#N/A</v>
      </c>
      <c r="IM171" s="158" t="e">
        <f>IF(AND(Sufficient_data="Yes",Include_study?="Yes"),'Publication Bias Analysis'!AU:AU,NA())</f>
        <v>#N/A</v>
      </c>
      <c r="IN171" s="69" t="str">
        <f t="shared" si="617"/>
        <v/>
      </c>
      <c r="IO171" s="74" t="str">
        <f>IF(AND(Include_study?="Yes",Sufficient_data="Yes"),Z_score-('Publication Bias Analysis'!AY$30+'Publication Bias Analysis'!AY$31*Inverse_standard_error),"")</f>
        <v/>
      </c>
      <c r="IU171" s="176"/>
      <c r="IV171" s="7" t="str">
        <f>IF('Publication Bias Analysis'!BG:BG&lt;&gt;"",RANK('Publication Bias Analysis'!BG:BG,'Publication Bias Analysis'!BG:BG,1)+COUNTIF('Publication Bias Analysis'!BG$2:BG170,'Publication Bias Analysis'!BG171),"")</f>
        <v/>
      </c>
      <c r="IW171" s="124" t="str">
        <f t="shared" si="618"/>
        <v/>
      </c>
      <c r="IX171" s="125" t="e">
        <f>IF('Publication Bias Analysis'!BF171&lt;&gt;"",'Publication Bias Analysis'!BF171,NA())</f>
        <v>#N/A</v>
      </c>
      <c r="IY171" s="125" t="e">
        <f>IF('Publication Bias Analysis'!BG171&lt;&gt;"",'Publication Bias Analysis'!BG171,NA())</f>
        <v>#N/A</v>
      </c>
      <c r="IZ171" s="69" t="str">
        <f>IF(AND(Include_study?="Yes",Sufficient_data="Yes"),'Publication Bias Analysis'!BF:BF-AVERAGE('Publication Bias Analysis'!BF:BF),"")</f>
        <v/>
      </c>
      <c r="JA171" s="74" t="str">
        <f>IF(AND(Include_study?="Yes",Sufficient_data="Yes"),'Publication Bias Analysis'!BG:BG-('Publication Bias Analysis'!BJ$30+'Publication Bias Analysis'!BJ$31*'Publication Bias Analysis'!BF:BF),"")</f>
        <v/>
      </c>
      <c r="JG171" s="176"/>
      <c r="JH171" s="39" t="str">
        <f t="shared" si="619"/>
        <v/>
      </c>
      <c r="JI171" s="148" t="str">
        <f t="shared" si="531"/>
        <v/>
      </c>
      <c r="JJ171" s="74" t="str">
        <f t="shared" si="532"/>
        <v/>
      </c>
    </row>
    <row r="172" spans="1:270" x14ac:dyDescent="0.2">
      <c r="A172" s="56" t="str">
        <f t="shared" si="533"/>
        <v/>
      </c>
      <c r="B172" s="7" t="str">
        <f>IF(AND(Include_study?="Yes",Sufficient_data="Yes"),IF(Input!a_&lt;&gt;"",Input!a_,Input!n1_-Input!b_),"")</f>
        <v/>
      </c>
      <c r="C172" s="7" t="str">
        <f>IF(AND(Include_study?="Yes",Sufficient_data="Yes"),IF(Input!b_&lt;&gt;"",Input!b_,Input!n1_-Input!a_),"")</f>
        <v/>
      </c>
      <c r="D172" s="7" t="str">
        <f>IF(AND(Include_study?="Yes",Sufficient_data="Yes"),IF(Input!c_&lt;&gt;"",Input!c_,Input!n2_-Input!d_),"")</f>
        <v/>
      </c>
      <c r="E172" s="7" t="str">
        <f>IF(AND(Include_study?="Yes",Sufficient_data="Yes"),IF(Input!d_&lt;&gt;"",Input!d_,Input!n2_-Input!c_),"")</f>
        <v/>
      </c>
      <c r="F172" s="74" t="str">
        <f t="shared" si="534"/>
        <v/>
      </c>
      <c r="H172" s="196"/>
      <c r="I172" s="182"/>
      <c r="J172" s="146" t="str">
        <f t="shared" si="444"/>
        <v/>
      </c>
      <c r="K172" s="39" t="str">
        <f t="shared" si="535"/>
        <v/>
      </c>
      <c r="L172" s="39" t="str">
        <f t="shared" si="536"/>
        <v/>
      </c>
      <c r="M172" s="39" t="str">
        <f t="shared" si="537"/>
        <v/>
      </c>
      <c r="N172" s="74" t="str">
        <f t="shared" si="538"/>
        <v/>
      </c>
      <c r="P172" s="176"/>
      <c r="Q172" s="130" t="str">
        <f t="shared" si="539"/>
        <v/>
      </c>
      <c r="R172" s="39" t="str">
        <f t="shared" si="540"/>
        <v/>
      </c>
      <c r="S172" s="39" t="str">
        <f t="shared" si="541"/>
        <v/>
      </c>
      <c r="T172" s="74" t="str">
        <f t="shared" si="542"/>
        <v/>
      </c>
      <c r="V172" s="176"/>
      <c r="W172" s="130" t="str">
        <f t="shared" si="543"/>
        <v/>
      </c>
      <c r="X172" s="39" t="str">
        <f t="shared" si="544"/>
        <v/>
      </c>
      <c r="Y172" s="39" t="str">
        <f t="shared" si="545"/>
        <v/>
      </c>
      <c r="Z172" s="74" t="str">
        <f t="shared" si="546"/>
        <v/>
      </c>
      <c r="AB172" s="176"/>
      <c r="AC172" s="130" t="str">
        <f t="shared" si="547"/>
        <v/>
      </c>
      <c r="AD172" s="39" t="str">
        <f t="shared" si="548"/>
        <v/>
      </c>
      <c r="AE172" s="39" t="str">
        <f t="shared" si="549"/>
        <v/>
      </c>
      <c r="AF172" s="39" t="str">
        <f t="shared" si="550"/>
        <v/>
      </c>
      <c r="AG172" s="74" t="str">
        <f t="shared" si="551"/>
        <v/>
      </c>
      <c r="AI172" s="196"/>
      <c r="AJ17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2" s="136" t="str">
        <f>IF(AJ172&lt;&gt;"",IF(AJ172=0,COUNTIF(AJ$2:AJ171,0)+1,COUNTIF(AJ$2:AJ171,AJ172)+AJ172+COUNTIF(AJ:AJ,0)),"")</f>
        <v/>
      </c>
      <c r="AL172" s="136" t="str">
        <f t="shared" si="462"/>
        <v/>
      </c>
      <c r="AM172" s="155" t="str">
        <f>IF(AND(Include_study?="Yes",Sufficient_data="Yes",Input!Study_name&lt;&gt;""),Input!Study_name,"")</f>
        <v/>
      </c>
      <c r="AN172" s="136" t="str">
        <f t="shared" si="463"/>
        <v/>
      </c>
      <c r="AO172" s="19" t="str">
        <f t="shared" si="552"/>
        <v/>
      </c>
      <c r="AP172" s="158" t="str">
        <f t="shared" si="553"/>
        <v/>
      </c>
      <c r="AQ172" s="158" t="str">
        <f t="shared" si="554"/>
        <v/>
      </c>
      <c r="AR172" s="39" t="str">
        <f t="shared" si="555"/>
        <v/>
      </c>
      <c r="AS172" s="158" t="str">
        <f t="shared" si="556"/>
        <v/>
      </c>
      <c r="AT172" s="39" t="str">
        <f t="shared" si="557"/>
        <v/>
      </c>
      <c r="AU172" s="172" t="str">
        <f t="shared" si="558"/>
        <v/>
      </c>
      <c r="AV172" s="45"/>
      <c r="AW172" s="84" t="e">
        <f t="shared" si="559"/>
        <v>#N/A</v>
      </c>
      <c r="AX172" s="69" t="e">
        <f t="shared" si="560"/>
        <v>#N/A</v>
      </c>
      <c r="AY172" s="74" t="e">
        <f t="shared" si="561"/>
        <v>#N/A</v>
      </c>
      <c r="AZ172" s="45"/>
      <c r="BA172" s="45"/>
      <c r="BB172" s="45"/>
      <c r="BC172" s="45"/>
      <c r="BD172" s="196"/>
      <c r="BE172" s="182"/>
      <c r="BF172" s="69" t="str">
        <f t="shared" si="562"/>
        <v/>
      </c>
      <c r="BG172" s="69" t="str">
        <f t="shared" si="563"/>
        <v/>
      </c>
      <c r="BH172" s="69" t="str">
        <f t="shared" si="564"/>
        <v/>
      </c>
      <c r="BI172" s="39" t="str">
        <f t="shared" si="565"/>
        <v/>
      </c>
      <c r="BJ172" s="95" t="str">
        <f t="shared" si="566"/>
        <v/>
      </c>
      <c r="BO172" s="176"/>
      <c r="BP172" s="158" t="str">
        <f t="shared" si="567"/>
        <v/>
      </c>
      <c r="BQ172" s="158" t="str">
        <f t="shared" si="568"/>
        <v/>
      </c>
      <c r="BR172" s="158" t="str">
        <f t="shared" si="569"/>
        <v/>
      </c>
      <c r="BS172" s="158" t="str">
        <f>IF(AND(Sufficient_data="Yes",Include_study?="Yes"),IF(Add_0_5="Yes",(a_+d_+1)*(ab_+0.5)*(c_+0.5)/(Number_of_subjects+2)^2,(a_+d_)*b_*c_/Number_of_subjects^2),"")</f>
        <v/>
      </c>
      <c r="BT172" s="158" t="str">
        <f t="shared" si="570"/>
        <v/>
      </c>
      <c r="BU172" s="158" t="str">
        <f t="shared" si="571"/>
        <v/>
      </c>
      <c r="BV172" s="158" t="str">
        <f t="shared" si="572"/>
        <v/>
      </c>
      <c r="BW172" s="69" t="str">
        <f t="shared" si="573"/>
        <v/>
      </c>
      <c r="BX172" s="137" t="str">
        <f t="shared" si="574"/>
        <v/>
      </c>
      <c r="BY172" s="95" t="str">
        <f t="shared" si="575"/>
        <v/>
      </c>
      <c r="CD172" s="176"/>
      <c r="CE172" s="130" t="str">
        <f t="shared" si="576"/>
        <v/>
      </c>
      <c r="CF172" s="39" t="str">
        <f t="shared" si="577"/>
        <v/>
      </c>
      <c r="CG172" s="39" t="str">
        <f t="shared" si="578"/>
        <v/>
      </c>
      <c r="CH172" s="39" t="str">
        <f t="shared" si="579"/>
        <v/>
      </c>
      <c r="CI172" s="39" t="str">
        <f t="shared" si="580"/>
        <v/>
      </c>
      <c r="CJ172" s="39" t="str">
        <f t="shared" si="486"/>
        <v/>
      </c>
      <c r="CK172" s="95" t="str">
        <f t="shared" si="581"/>
        <v/>
      </c>
      <c r="CP172" s="176"/>
      <c r="CQ172" s="99" t="str">
        <f t="shared" si="582"/>
        <v/>
      </c>
      <c r="CX172" s="196"/>
      <c r="CY172" s="89" t="e">
        <f t="shared" si="583"/>
        <v>#N/A</v>
      </c>
      <c r="CZ172" s="136" t="str">
        <f t="shared" si="584"/>
        <v/>
      </c>
      <c r="DA172" s="140" t="str">
        <f t="shared" si="585"/>
        <v/>
      </c>
      <c r="DB172" s="39" t="str">
        <f t="shared" si="586"/>
        <v/>
      </c>
      <c r="DC172" s="39" t="str">
        <f t="shared" si="587"/>
        <v/>
      </c>
      <c r="DD172" s="39" t="str">
        <f t="shared" si="588"/>
        <v/>
      </c>
      <c r="DE172" s="39" t="str">
        <f t="shared" si="589"/>
        <v/>
      </c>
      <c r="DF172" s="141" t="str">
        <f t="shared" si="590"/>
        <v/>
      </c>
      <c r="DG172" s="39" t="str">
        <f t="shared" si="591"/>
        <v/>
      </c>
      <c r="DH172" s="39" t="str">
        <f t="shared" si="592"/>
        <v/>
      </c>
      <c r="DI172" s="39" t="str">
        <f t="shared" si="593"/>
        <v/>
      </c>
      <c r="DJ172" s="74" t="str">
        <f t="shared" si="594"/>
        <v/>
      </c>
      <c r="DK172" s="45"/>
      <c r="DL172" s="84" t="e">
        <f t="shared" si="423"/>
        <v>#N/A</v>
      </c>
      <c r="DM172" s="39" t="e">
        <f t="shared" si="595"/>
        <v>#N/A</v>
      </c>
      <c r="DN172" s="74" t="e">
        <f t="shared" si="596"/>
        <v>#N/A</v>
      </c>
      <c r="DO172" s="45"/>
      <c r="DP172" s="89" t="str">
        <f t="shared" si="525"/>
        <v/>
      </c>
      <c r="DQ172" s="26" t="str">
        <f>IF(AND(Sufficient_data="Yes",Subgroup&lt;&gt;""),IF(COUNTIFS(Input!J$2:J171,"="&amp;"Yes",Input!C$2:C171,"="&amp;"Yes",Input!K$2:K171,"="&amp;Subgroup)&gt;0,"",Subgroup),"")</f>
        <v/>
      </c>
      <c r="DR172" s="7" t="str">
        <f t="shared" si="526"/>
        <v/>
      </c>
      <c r="DS172" s="7" t="str">
        <f t="shared" si="597"/>
        <v/>
      </c>
      <c r="DT172" s="19" t="str">
        <f t="shared" si="598"/>
        <v/>
      </c>
      <c r="DU172" s="12" t="str">
        <f t="shared" si="424"/>
        <v/>
      </c>
      <c r="DV172" s="11" t="str">
        <f t="shared" si="425"/>
        <v/>
      </c>
      <c r="DW172" s="12" t="str">
        <f t="shared" si="426"/>
        <v/>
      </c>
      <c r="DX172" s="12" t="str">
        <f t="shared" si="599"/>
        <v/>
      </c>
      <c r="DY172" s="19" t="str">
        <f t="shared" si="427"/>
        <v/>
      </c>
      <c r="DZ172" s="12" t="str">
        <f t="shared" si="428"/>
        <v/>
      </c>
      <c r="EA172" s="19" t="str">
        <f t="shared" si="600"/>
        <v/>
      </c>
      <c r="EB172" s="7" t="str">
        <f t="shared" si="601"/>
        <v/>
      </c>
      <c r="EC172" s="19" t="str">
        <f t="shared" si="602"/>
        <v/>
      </c>
      <c r="ED172" s="19" t="str">
        <f t="shared" si="603"/>
        <v/>
      </c>
      <c r="EE172" s="19" t="str">
        <f t="shared" si="429"/>
        <v/>
      </c>
      <c r="EF172" s="19" t="str">
        <f t="shared" si="430"/>
        <v/>
      </c>
      <c r="EG172" s="19" t="str">
        <f t="shared" si="431"/>
        <v/>
      </c>
      <c r="EH172" s="19" t="str">
        <f t="shared" si="432"/>
        <v/>
      </c>
      <c r="EI172" s="19" t="str">
        <f t="shared" si="433"/>
        <v/>
      </c>
      <c r="EJ172" s="19" t="str">
        <f t="shared" si="604"/>
        <v/>
      </c>
      <c r="EK172" s="19" t="str">
        <f t="shared" si="605"/>
        <v/>
      </c>
      <c r="EL172" s="19" t="str">
        <f t="shared" si="434"/>
        <v/>
      </c>
      <c r="EM172" s="19" t="str">
        <f t="shared" si="435"/>
        <v/>
      </c>
      <c r="EN172" s="19" t="str">
        <f t="shared" si="436"/>
        <v/>
      </c>
      <c r="EO172" s="19" t="str">
        <f t="shared" si="437"/>
        <v/>
      </c>
      <c r="EP172" s="19" t="str">
        <f t="shared" si="438"/>
        <v/>
      </c>
      <c r="EQ172" s="19" t="e">
        <f t="shared" si="439"/>
        <v>#N/A</v>
      </c>
      <c r="ER172" s="11" t="str">
        <f t="shared" si="527"/>
        <v/>
      </c>
      <c r="ES172" s="19" t="str">
        <f t="shared" si="528"/>
        <v/>
      </c>
      <c r="ET172" s="156" t="str">
        <f t="shared" si="606"/>
        <v/>
      </c>
      <c r="EU172" s="39" t="str">
        <f t="shared" si="440"/>
        <v/>
      </c>
      <c r="EV172" s="74" t="str">
        <f t="shared" si="607"/>
        <v/>
      </c>
      <c r="FA172" s="196"/>
      <c r="FB172" s="84" t="e">
        <f>IF(AND(Include_study?="Yes",Sufficient_data="Yes",Moderator&lt;&gt;""),'Moderator Analysis'!E172,NA())</f>
        <v>#N/A</v>
      </c>
      <c r="FC172" s="39" t="e">
        <f>IF(AND(Include_study?="Yes",Sufficient_data="Yes",Moderator&lt;&gt;""),'Moderator Analysis'!F172,NA())</f>
        <v>#N/A</v>
      </c>
      <c r="FD172" s="39" t="str">
        <f t="shared" si="608"/>
        <v/>
      </c>
      <c r="FE172" s="39" t="str">
        <f t="shared" si="609"/>
        <v/>
      </c>
      <c r="FF172" s="39" t="str">
        <f>IF(AND(Include_study?="Yes",Sufficient_data="Yes",Moderator&lt;&gt;""),'Moderator Analysis'!F:F-FP$2,"")</f>
        <v/>
      </c>
      <c r="FG172" s="39" t="str">
        <f>IF(AND(Include_study?="Yes",Sufficient_data="Yes",Moderator&lt;&gt;""),'Moderator Analysis'!E:E-FP$3,"")</f>
        <v/>
      </c>
      <c r="FH172" s="74" t="str">
        <f>IF(AND(Include_study?="Yes",Sufficient_data="Yes",Moderator&lt;&gt;""),FE:FE*('Moderator Analysis'!F:F-FP$5-FP$4*'Moderator Analysis'!E:E)^2,"")</f>
        <v/>
      </c>
      <c r="FI172" s="128"/>
      <c r="FJ172" s="92" t="str">
        <f t="shared" si="610"/>
        <v/>
      </c>
      <c r="FK172" s="137" t="str">
        <f>IF(AND(Include_study?="Yes",Sufficient_data="Yes",Moderator&lt;&gt;""),'Moderator Analysis'!F:F-'Moderator Analysis'!J$37,"")</f>
        <v/>
      </c>
      <c r="FL172" s="137" t="str">
        <f>IF(AND(Include_study?="Yes",Sufficient_data="Yes",Moderator&lt;&gt;""),'Moderator Analysis'!E:E-SUMPRODUCT('Moderator Analysis'!E:E,FJ:FJ)/SUM(FJ:FJ),"")</f>
        <v/>
      </c>
      <c r="FM172" s="95" t="str">
        <f>IF(AND(Include_study?="Yes",Sufficient_data="Yes",Moderator&lt;&gt;""),FJ:FJ*('Moderator Analysis'!F:F-'Moderator Analysis'!J$29-'Moderator Analysis'!J$30*'Moderator Analysis'!E:E)^2,"")</f>
        <v/>
      </c>
      <c r="FR172" s="196"/>
      <c r="FS172" s="182"/>
      <c r="FT17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2" s="39" t="str">
        <f>IF(AND(Include_study?="Yes",Sufficient_data="Yes"),1/('Publication Bias Analysis'!F:F^2+IF(Additional_model="Fixed effect",0,Calculations!GH$12)),"")</f>
        <v/>
      </c>
      <c r="FV172" s="39" t="str">
        <f>IF(AND(Include_study?="Yes",Sufficient_data="Yes"),1/('Publication Bias Analysis'!F:F^2+IF(Additional_model="Fixed effect",0,'Publication Bias Analysis'!L$32)),"")</f>
        <v/>
      </c>
      <c r="FW172" s="39" t="str">
        <f>IF(AND(Include_study?="Yes",Sufficient_data="Yes"),'Publication Bias Analysis'!E:E-'Publication Bias Analysis'!I$37,"")</f>
        <v/>
      </c>
      <c r="FX172" s="39" t="str">
        <f>IF(AND(Include_study?="Yes",Sufficient_data="Yes"),IF(Additional_model="Fixed effect",1/'Publication Bias Analysis'!F:F,1/SQRT('Publication Bias Analysis'!F:F^2+GH$12)),"")</f>
        <v/>
      </c>
      <c r="FY17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2" s="136" t="str">
        <f t="shared" si="611"/>
        <v/>
      </c>
      <c r="GA172" s="144" t="str">
        <f>IF(AND(Include_study?="Yes",Sufficient_data="Yes"),FZ:FZ+IF(GL:GL&lt;0,-1,1)*COUNTIF(FZ$2:FZ171,FZ:FZ),"")</f>
        <v/>
      </c>
      <c r="GB172" s="144" t="str">
        <f>IF(AND(Include_study?="Yes",Sufficient_data="Yes"),RANK(GP:GP,GP:GP,1)*IF(GO:GO&lt;0,-1,1)+IF(GO:GO&lt;0,-1,1)*COUNTIF(FZ$2:FZ171,FZ:FZ),"")</f>
        <v/>
      </c>
      <c r="GC172" s="144" t="str">
        <f>IF(AND(Include_study?="Yes",Sufficient_data="Yes"),RANK(GS:GS,GS:GS,1)*IF(GR:GR&lt;0,-1,1)+IF(GR:GR&lt;0,-1,1)*COUNTIF(FZ$2:FZ171,FZ:FZ),"")</f>
        <v/>
      </c>
      <c r="GD172" s="39" t="e">
        <f>IF(AND(Include_study?="Yes",Sufficient_data="Yes"),'Publication Bias Analysis'!E172,NA())</f>
        <v>#N/A</v>
      </c>
      <c r="GE172" s="74" t="e">
        <f>IF(AND(Include_study?="Yes",Sufficient_data="Yes"),'Publication Bias Analysis'!F172,NA())</f>
        <v>#N/A</v>
      </c>
      <c r="GK172" s="176"/>
      <c r="GL17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2" s="39" t="str">
        <f t="shared" si="612"/>
        <v/>
      </c>
      <c r="GN17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2" s="39" t="str">
        <f>IF(AND(Include_study?="Yes",Sufficient_data="Yes"),IF('Publication Bias Analysis'!L$38="Left",'Publication Bias Analysis'!E:E-GW$3,GW$3-'Publication Bias Analysis'!E:E),"")</f>
        <v/>
      </c>
      <c r="GP172" s="39" t="str">
        <f t="shared" si="529"/>
        <v/>
      </c>
      <c r="GQ17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2" s="39" t="str">
        <f>IF(AND(Include_study?="Yes",Sufficient_data="Yes"),IF('Publication Bias Analysis'!L$38="Left",'Publication Bias Analysis'!E:E-GW$10,GW$10-'Publication Bias Analysis'!E:E),"")</f>
        <v/>
      </c>
      <c r="GS172" s="39" t="str">
        <f t="shared" si="530"/>
        <v/>
      </c>
      <c r="GT17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2" s="176"/>
      <c r="HL172" s="69" t="str">
        <f t="shared" si="518"/>
        <v/>
      </c>
      <c r="HM172" s="74" t="str">
        <f>IF(AND(Include_study?="Yes",Sufficient_data="Yes"),Z_score-('Publication Bias Analysis'!P$3+'Publication Bias Analysis'!P$4*Inverse_standard_error),"")</f>
        <v/>
      </c>
      <c r="HO172" s="176"/>
      <c r="HP172" s="69" t="str">
        <f>IF(AND(Include_study?="Yes",Sufficient_data="Yes"),(GD:GD-SUMPRODUCT(Calculations!FT:FT,'Publication Bias Analysis'!E:E)/SUM(Calculations!FT:FT))/SQRT(Calculations!HQ:HQ),"")</f>
        <v/>
      </c>
      <c r="HQ172" s="69" t="str">
        <f>IF(AND(Include_study?="Yes",Sufficient_data="Yes"),GE:GE^2-1/SUM(Calculations!FT:FT),"")</f>
        <v/>
      </c>
      <c r="HR172" s="7" t="str">
        <f t="shared" si="441"/>
        <v/>
      </c>
      <c r="HS172" s="7" t="str">
        <f t="shared" si="442"/>
        <v/>
      </c>
      <c r="HT172" s="7" t="str">
        <f>IF(AND(Include_study?="Yes",Sufficient_data="Yes"),COUNTIFS(HR$2:HR171,"&lt;"&amp;HR172,HS$2:HS171,"&lt;"&amp;HS172)+COUNTIFS(HR173:HR$201,"&lt;"&amp;HR172,HS173:HS$201,"&lt;"&amp;HS172)+COUNTIFS(HR$2:HR171,"&gt;"&amp;HR172,HS$2:HS171,"&gt;"&amp;HS172)+COUNTIFS(HR173:HR$201,"&gt;"&amp;HR172,HS173:HS$201,"&gt;"&amp;HS172),"")</f>
        <v/>
      </c>
      <c r="HU172" s="104" t="str">
        <f>IF(AND(Include_study?="Yes",Sufficient_data="Yes"),COUNTIFS(HR$2:HR171,"&lt;"&amp;HR172,HS$2:HS171,"&gt;"&amp;HS172)+COUNTIFS(HR173:HR$201,"&lt;"&amp;HR172,HS173:HS$201,"&gt;"&amp;HS172)+COUNTIFS(HR$2:HR171,"&gt;"&amp;HR172,HS$2:HS171,"&lt;"&amp;HS172)+COUNTIFS(HR173:HR$201,"&gt;"&amp;HR172,HS173:HS$201,"&lt;"&amp;HS172),"")</f>
        <v/>
      </c>
      <c r="HW172" s="176"/>
      <c r="IB172" s="176"/>
      <c r="IC172" s="146" t="e">
        <f t="shared" si="613"/>
        <v>#N/A</v>
      </c>
      <c r="ID172" s="137" t="e">
        <f t="shared" si="614"/>
        <v>#N/A</v>
      </c>
      <c r="IE172" s="137" t="str">
        <f t="shared" si="615"/>
        <v/>
      </c>
      <c r="IF172" s="95" t="str">
        <f t="shared" si="616"/>
        <v/>
      </c>
      <c r="IK172" s="176"/>
      <c r="IL172" s="69" t="e">
        <f>IF(AND(Include_study?="Yes",Sufficient_data="Yes"),'Publication Bias Analysis'!AV:AV,NA())</f>
        <v>#N/A</v>
      </c>
      <c r="IM172" s="158" t="e">
        <f>IF(AND(Sufficient_data="Yes",Include_study?="Yes"),'Publication Bias Analysis'!AU:AU,NA())</f>
        <v>#N/A</v>
      </c>
      <c r="IN172" s="69" t="str">
        <f t="shared" si="617"/>
        <v/>
      </c>
      <c r="IO172" s="74" t="str">
        <f>IF(AND(Include_study?="Yes",Sufficient_data="Yes"),Z_score-('Publication Bias Analysis'!AY$30+'Publication Bias Analysis'!AY$31*Inverse_standard_error),"")</f>
        <v/>
      </c>
      <c r="IU172" s="176"/>
      <c r="IV172" s="7" t="str">
        <f>IF('Publication Bias Analysis'!BG:BG&lt;&gt;"",RANK('Publication Bias Analysis'!BG:BG,'Publication Bias Analysis'!BG:BG,1)+COUNTIF('Publication Bias Analysis'!BG$2:BG171,'Publication Bias Analysis'!BG172),"")</f>
        <v/>
      </c>
      <c r="IW172" s="124" t="str">
        <f t="shared" si="618"/>
        <v/>
      </c>
      <c r="IX172" s="125" t="e">
        <f>IF('Publication Bias Analysis'!BF172&lt;&gt;"",'Publication Bias Analysis'!BF172,NA())</f>
        <v>#N/A</v>
      </c>
      <c r="IY172" s="125" t="e">
        <f>IF('Publication Bias Analysis'!BG172&lt;&gt;"",'Publication Bias Analysis'!BG172,NA())</f>
        <v>#N/A</v>
      </c>
      <c r="IZ172" s="69" t="str">
        <f>IF(AND(Include_study?="Yes",Sufficient_data="Yes"),'Publication Bias Analysis'!BF:BF-AVERAGE('Publication Bias Analysis'!BF:BF),"")</f>
        <v/>
      </c>
      <c r="JA172" s="74" t="str">
        <f>IF(AND(Include_study?="Yes",Sufficient_data="Yes"),'Publication Bias Analysis'!BG:BG-('Publication Bias Analysis'!BJ$30+'Publication Bias Analysis'!BJ$31*'Publication Bias Analysis'!BF:BF),"")</f>
        <v/>
      </c>
      <c r="JG172" s="176"/>
      <c r="JH172" s="39" t="str">
        <f t="shared" si="619"/>
        <v/>
      </c>
      <c r="JI172" s="148" t="str">
        <f t="shared" si="531"/>
        <v/>
      </c>
      <c r="JJ172" s="74" t="str">
        <f t="shared" si="532"/>
        <v/>
      </c>
    </row>
    <row r="173" spans="1:270" x14ac:dyDescent="0.2">
      <c r="A173" s="56" t="str">
        <f t="shared" si="533"/>
        <v/>
      </c>
      <c r="B173" s="7" t="str">
        <f>IF(AND(Include_study?="Yes",Sufficient_data="Yes"),IF(Input!a_&lt;&gt;"",Input!a_,Input!n1_-Input!b_),"")</f>
        <v/>
      </c>
      <c r="C173" s="7" t="str">
        <f>IF(AND(Include_study?="Yes",Sufficient_data="Yes"),IF(Input!b_&lt;&gt;"",Input!b_,Input!n1_-Input!a_),"")</f>
        <v/>
      </c>
      <c r="D173" s="7" t="str">
        <f>IF(AND(Include_study?="Yes",Sufficient_data="Yes"),IF(Input!c_&lt;&gt;"",Input!c_,Input!n2_-Input!d_),"")</f>
        <v/>
      </c>
      <c r="E173" s="7" t="str">
        <f>IF(AND(Include_study?="Yes",Sufficient_data="Yes"),IF(Input!d_&lt;&gt;"",Input!d_,Input!n2_-Input!c_),"")</f>
        <v/>
      </c>
      <c r="F173" s="74" t="str">
        <f t="shared" si="534"/>
        <v/>
      </c>
      <c r="H173" s="196"/>
      <c r="I173" s="182"/>
      <c r="J173" s="146" t="str">
        <f t="shared" si="444"/>
        <v/>
      </c>
      <c r="K173" s="39" t="str">
        <f t="shared" si="535"/>
        <v/>
      </c>
      <c r="L173" s="39" t="str">
        <f t="shared" si="536"/>
        <v/>
      </c>
      <c r="M173" s="39" t="str">
        <f t="shared" si="537"/>
        <v/>
      </c>
      <c r="N173" s="74" t="str">
        <f t="shared" si="538"/>
        <v/>
      </c>
      <c r="P173" s="176"/>
      <c r="Q173" s="130" t="str">
        <f t="shared" si="539"/>
        <v/>
      </c>
      <c r="R173" s="39" t="str">
        <f t="shared" si="540"/>
        <v/>
      </c>
      <c r="S173" s="39" t="str">
        <f t="shared" si="541"/>
        <v/>
      </c>
      <c r="T173" s="74" t="str">
        <f t="shared" si="542"/>
        <v/>
      </c>
      <c r="V173" s="176"/>
      <c r="W173" s="130" t="str">
        <f t="shared" si="543"/>
        <v/>
      </c>
      <c r="X173" s="39" t="str">
        <f t="shared" si="544"/>
        <v/>
      </c>
      <c r="Y173" s="39" t="str">
        <f t="shared" si="545"/>
        <v/>
      </c>
      <c r="Z173" s="74" t="str">
        <f t="shared" si="546"/>
        <v/>
      </c>
      <c r="AB173" s="176"/>
      <c r="AC173" s="130" t="str">
        <f t="shared" si="547"/>
        <v/>
      </c>
      <c r="AD173" s="39" t="str">
        <f t="shared" si="548"/>
        <v/>
      </c>
      <c r="AE173" s="39" t="str">
        <f t="shared" si="549"/>
        <v/>
      </c>
      <c r="AF173" s="39" t="str">
        <f t="shared" si="550"/>
        <v/>
      </c>
      <c r="AG173" s="74" t="str">
        <f t="shared" si="551"/>
        <v/>
      </c>
      <c r="AI173" s="196"/>
      <c r="AJ17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3" s="136" t="str">
        <f>IF(AJ173&lt;&gt;"",IF(AJ173=0,COUNTIF(AJ$2:AJ172,0)+1,COUNTIF(AJ$2:AJ172,AJ173)+AJ173+COUNTIF(AJ:AJ,0)),"")</f>
        <v/>
      </c>
      <c r="AL173" s="136" t="str">
        <f t="shared" si="462"/>
        <v/>
      </c>
      <c r="AM173" s="155" t="str">
        <f>IF(AND(Include_study?="Yes",Sufficient_data="Yes",Input!Study_name&lt;&gt;""),Input!Study_name,"")</f>
        <v/>
      </c>
      <c r="AN173" s="136" t="str">
        <f t="shared" si="463"/>
        <v/>
      </c>
      <c r="AO173" s="19" t="str">
        <f t="shared" si="552"/>
        <v/>
      </c>
      <c r="AP173" s="158" t="str">
        <f t="shared" si="553"/>
        <v/>
      </c>
      <c r="AQ173" s="158" t="str">
        <f t="shared" si="554"/>
        <v/>
      </c>
      <c r="AR173" s="39" t="str">
        <f t="shared" si="555"/>
        <v/>
      </c>
      <c r="AS173" s="158" t="str">
        <f t="shared" si="556"/>
        <v/>
      </c>
      <c r="AT173" s="39" t="str">
        <f t="shared" si="557"/>
        <v/>
      </c>
      <c r="AU173" s="172" t="str">
        <f t="shared" si="558"/>
        <v/>
      </c>
      <c r="AV173" s="45"/>
      <c r="AW173" s="84" t="e">
        <f t="shared" si="559"/>
        <v>#N/A</v>
      </c>
      <c r="AX173" s="69" t="e">
        <f t="shared" si="560"/>
        <v>#N/A</v>
      </c>
      <c r="AY173" s="74" t="e">
        <f t="shared" si="561"/>
        <v>#N/A</v>
      </c>
      <c r="AZ173" s="45"/>
      <c r="BA173" s="45"/>
      <c r="BB173" s="45"/>
      <c r="BC173" s="45"/>
      <c r="BD173" s="196"/>
      <c r="BE173" s="182"/>
      <c r="BF173" s="69" t="str">
        <f t="shared" si="562"/>
        <v/>
      </c>
      <c r="BG173" s="69" t="str">
        <f t="shared" si="563"/>
        <v/>
      </c>
      <c r="BH173" s="69" t="str">
        <f t="shared" si="564"/>
        <v/>
      </c>
      <c r="BI173" s="39" t="str">
        <f t="shared" si="565"/>
        <v/>
      </c>
      <c r="BJ173" s="95" t="str">
        <f t="shared" si="566"/>
        <v/>
      </c>
      <c r="BO173" s="176"/>
      <c r="BP173" s="158" t="str">
        <f t="shared" si="567"/>
        <v/>
      </c>
      <c r="BQ173" s="158" t="str">
        <f t="shared" si="568"/>
        <v/>
      </c>
      <c r="BR173" s="158" t="str">
        <f t="shared" si="569"/>
        <v/>
      </c>
      <c r="BS173" s="158" t="str">
        <f>IF(AND(Sufficient_data="Yes",Include_study?="Yes"),IF(Add_0_5="Yes",(a_+d_+1)*(ab_+0.5)*(c_+0.5)/(Number_of_subjects+2)^2,(a_+d_)*b_*c_/Number_of_subjects^2),"")</f>
        <v/>
      </c>
      <c r="BT173" s="158" t="str">
        <f t="shared" si="570"/>
        <v/>
      </c>
      <c r="BU173" s="158" t="str">
        <f t="shared" si="571"/>
        <v/>
      </c>
      <c r="BV173" s="158" t="str">
        <f t="shared" si="572"/>
        <v/>
      </c>
      <c r="BW173" s="69" t="str">
        <f t="shared" si="573"/>
        <v/>
      </c>
      <c r="BX173" s="137" t="str">
        <f t="shared" si="574"/>
        <v/>
      </c>
      <c r="BY173" s="95" t="str">
        <f t="shared" si="575"/>
        <v/>
      </c>
      <c r="CD173" s="176"/>
      <c r="CE173" s="130" t="str">
        <f t="shared" si="576"/>
        <v/>
      </c>
      <c r="CF173" s="39" t="str">
        <f t="shared" si="577"/>
        <v/>
      </c>
      <c r="CG173" s="39" t="str">
        <f t="shared" si="578"/>
        <v/>
      </c>
      <c r="CH173" s="39" t="str">
        <f t="shared" si="579"/>
        <v/>
      </c>
      <c r="CI173" s="39" t="str">
        <f t="shared" si="580"/>
        <v/>
      </c>
      <c r="CJ173" s="39" t="str">
        <f t="shared" si="486"/>
        <v/>
      </c>
      <c r="CK173" s="95" t="str">
        <f t="shared" si="581"/>
        <v/>
      </c>
      <c r="CP173" s="176"/>
      <c r="CQ173" s="99" t="str">
        <f t="shared" si="582"/>
        <v/>
      </c>
      <c r="CX173" s="196"/>
      <c r="CY173" s="89" t="e">
        <f t="shared" si="583"/>
        <v>#N/A</v>
      </c>
      <c r="CZ173" s="136" t="str">
        <f t="shared" si="584"/>
        <v/>
      </c>
      <c r="DA173" s="140" t="str">
        <f t="shared" si="585"/>
        <v/>
      </c>
      <c r="DB173" s="39" t="str">
        <f t="shared" si="586"/>
        <v/>
      </c>
      <c r="DC173" s="39" t="str">
        <f t="shared" si="587"/>
        <v/>
      </c>
      <c r="DD173" s="39" t="str">
        <f t="shared" si="588"/>
        <v/>
      </c>
      <c r="DE173" s="39" t="str">
        <f t="shared" si="589"/>
        <v/>
      </c>
      <c r="DF173" s="141" t="str">
        <f t="shared" si="590"/>
        <v/>
      </c>
      <c r="DG173" s="39" t="str">
        <f t="shared" si="591"/>
        <v/>
      </c>
      <c r="DH173" s="39" t="str">
        <f t="shared" si="592"/>
        <v/>
      </c>
      <c r="DI173" s="39" t="str">
        <f t="shared" si="593"/>
        <v/>
      </c>
      <c r="DJ173" s="74" t="str">
        <f t="shared" si="594"/>
        <v/>
      </c>
      <c r="DK173" s="45"/>
      <c r="DL173" s="84" t="e">
        <f t="shared" si="423"/>
        <v>#N/A</v>
      </c>
      <c r="DM173" s="39" t="e">
        <f t="shared" si="595"/>
        <v>#N/A</v>
      </c>
      <c r="DN173" s="74" t="e">
        <f t="shared" si="596"/>
        <v>#N/A</v>
      </c>
      <c r="DO173" s="45"/>
      <c r="DP173" s="89" t="str">
        <f t="shared" si="525"/>
        <v/>
      </c>
      <c r="DQ173" s="26" t="str">
        <f>IF(AND(Sufficient_data="Yes",Subgroup&lt;&gt;""),IF(COUNTIFS(Input!J$2:J172,"="&amp;"Yes",Input!C$2:C172,"="&amp;"Yes",Input!K$2:K172,"="&amp;Subgroup)&gt;0,"",Subgroup),"")</f>
        <v/>
      </c>
      <c r="DR173" s="7" t="str">
        <f t="shared" si="526"/>
        <v/>
      </c>
      <c r="DS173" s="7" t="str">
        <f t="shared" si="597"/>
        <v/>
      </c>
      <c r="DT173" s="19" t="str">
        <f t="shared" si="598"/>
        <v/>
      </c>
      <c r="DU173" s="12" t="str">
        <f t="shared" si="424"/>
        <v/>
      </c>
      <c r="DV173" s="11" t="str">
        <f t="shared" si="425"/>
        <v/>
      </c>
      <c r="DW173" s="12" t="str">
        <f t="shared" si="426"/>
        <v/>
      </c>
      <c r="DX173" s="12" t="str">
        <f t="shared" si="599"/>
        <v/>
      </c>
      <c r="DY173" s="19" t="str">
        <f t="shared" si="427"/>
        <v/>
      </c>
      <c r="DZ173" s="12" t="str">
        <f t="shared" si="428"/>
        <v/>
      </c>
      <c r="EA173" s="19" t="str">
        <f t="shared" si="600"/>
        <v/>
      </c>
      <c r="EB173" s="7" t="str">
        <f t="shared" si="601"/>
        <v/>
      </c>
      <c r="EC173" s="19" t="str">
        <f t="shared" si="602"/>
        <v/>
      </c>
      <c r="ED173" s="19" t="str">
        <f t="shared" si="603"/>
        <v/>
      </c>
      <c r="EE173" s="19" t="str">
        <f t="shared" si="429"/>
        <v/>
      </c>
      <c r="EF173" s="19" t="str">
        <f t="shared" si="430"/>
        <v/>
      </c>
      <c r="EG173" s="19" t="str">
        <f t="shared" si="431"/>
        <v/>
      </c>
      <c r="EH173" s="19" t="str">
        <f t="shared" si="432"/>
        <v/>
      </c>
      <c r="EI173" s="19" t="str">
        <f t="shared" si="433"/>
        <v/>
      </c>
      <c r="EJ173" s="19" t="str">
        <f t="shared" si="604"/>
        <v/>
      </c>
      <c r="EK173" s="19" t="str">
        <f t="shared" si="605"/>
        <v/>
      </c>
      <c r="EL173" s="19" t="str">
        <f t="shared" si="434"/>
        <v/>
      </c>
      <c r="EM173" s="19" t="str">
        <f t="shared" si="435"/>
        <v/>
      </c>
      <c r="EN173" s="19" t="str">
        <f t="shared" si="436"/>
        <v/>
      </c>
      <c r="EO173" s="19" t="str">
        <f t="shared" si="437"/>
        <v/>
      </c>
      <c r="EP173" s="19" t="str">
        <f t="shared" si="438"/>
        <v/>
      </c>
      <c r="EQ173" s="19" t="e">
        <f t="shared" si="439"/>
        <v>#N/A</v>
      </c>
      <c r="ER173" s="11" t="str">
        <f t="shared" si="527"/>
        <v/>
      </c>
      <c r="ES173" s="19" t="str">
        <f t="shared" si="528"/>
        <v/>
      </c>
      <c r="ET173" s="156" t="str">
        <f t="shared" si="606"/>
        <v/>
      </c>
      <c r="EU173" s="39" t="str">
        <f t="shared" si="440"/>
        <v/>
      </c>
      <c r="EV173" s="74" t="str">
        <f t="shared" si="607"/>
        <v/>
      </c>
      <c r="FA173" s="196"/>
      <c r="FB173" s="84" t="e">
        <f>IF(AND(Include_study?="Yes",Sufficient_data="Yes",Moderator&lt;&gt;""),'Moderator Analysis'!E173,NA())</f>
        <v>#N/A</v>
      </c>
      <c r="FC173" s="39" t="e">
        <f>IF(AND(Include_study?="Yes",Sufficient_data="Yes",Moderator&lt;&gt;""),'Moderator Analysis'!F173,NA())</f>
        <v>#N/A</v>
      </c>
      <c r="FD173" s="39" t="str">
        <f t="shared" si="608"/>
        <v/>
      </c>
      <c r="FE173" s="39" t="str">
        <f t="shared" si="609"/>
        <v/>
      </c>
      <c r="FF173" s="39" t="str">
        <f>IF(AND(Include_study?="Yes",Sufficient_data="Yes",Moderator&lt;&gt;""),'Moderator Analysis'!F:F-FP$2,"")</f>
        <v/>
      </c>
      <c r="FG173" s="39" t="str">
        <f>IF(AND(Include_study?="Yes",Sufficient_data="Yes",Moderator&lt;&gt;""),'Moderator Analysis'!E:E-FP$3,"")</f>
        <v/>
      </c>
      <c r="FH173" s="74" t="str">
        <f>IF(AND(Include_study?="Yes",Sufficient_data="Yes",Moderator&lt;&gt;""),FE:FE*('Moderator Analysis'!F:F-FP$5-FP$4*'Moderator Analysis'!E:E)^2,"")</f>
        <v/>
      </c>
      <c r="FI173" s="128"/>
      <c r="FJ173" s="92" t="str">
        <f t="shared" si="610"/>
        <v/>
      </c>
      <c r="FK173" s="137" t="str">
        <f>IF(AND(Include_study?="Yes",Sufficient_data="Yes",Moderator&lt;&gt;""),'Moderator Analysis'!F:F-'Moderator Analysis'!J$37,"")</f>
        <v/>
      </c>
      <c r="FL173" s="137" t="str">
        <f>IF(AND(Include_study?="Yes",Sufficient_data="Yes",Moderator&lt;&gt;""),'Moderator Analysis'!E:E-SUMPRODUCT('Moderator Analysis'!E:E,FJ:FJ)/SUM(FJ:FJ),"")</f>
        <v/>
      </c>
      <c r="FM173" s="95" t="str">
        <f>IF(AND(Include_study?="Yes",Sufficient_data="Yes",Moderator&lt;&gt;""),FJ:FJ*('Moderator Analysis'!F:F-'Moderator Analysis'!J$29-'Moderator Analysis'!J$30*'Moderator Analysis'!E:E)^2,"")</f>
        <v/>
      </c>
      <c r="FR173" s="196"/>
      <c r="FS173" s="182"/>
      <c r="FT17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3" s="39" t="str">
        <f>IF(AND(Include_study?="Yes",Sufficient_data="Yes"),1/('Publication Bias Analysis'!F:F^2+IF(Additional_model="Fixed effect",0,Calculations!GH$12)),"")</f>
        <v/>
      </c>
      <c r="FV173" s="39" t="str">
        <f>IF(AND(Include_study?="Yes",Sufficient_data="Yes"),1/('Publication Bias Analysis'!F:F^2+IF(Additional_model="Fixed effect",0,'Publication Bias Analysis'!L$32)),"")</f>
        <v/>
      </c>
      <c r="FW173" s="39" t="str">
        <f>IF(AND(Include_study?="Yes",Sufficient_data="Yes"),'Publication Bias Analysis'!E:E-'Publication Bias Analysis'!I$37,"")</f>
        <v/>
      </c>
      <c r="FX173" s="39" t="str">
        <f>IF(AND(Include_study?="Yes",Sufficient_data="Yes"),IF(Additional_model="Fixed effect",1/'Publication Bias Analysis'!F:F,1/SQRT('Publication Bias Analysis'!F:F^2+GH$12)),"")</f>
        <v/>
      </c>
      <c r="FY17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3" s="136" t="str">
        <f t="shared" si="611"/>
        <v/>
      </c>
      <c r="GA173" s="144" t="str">
        <f>IF(AND(Include_study?="Yes",Sufficient_data="Yes"),FZ:FZ+IF(GL:GL&lt;0,-1,1)*COUNTIF(FZ$2:FZ172,FZ:FZ),"")</f>
        <v/>
      </c>
      <c r="GB173" s="144" t="str">
        <f>IF(AND(Include_study?="Yes",Sufficient_data="Yes"),RANK(GP:GP,GP:GP,1)*IF(GO:GO&lt;0,-1,1)+IF(GO:GO&lt;0,-1,1)*COUNTIF(FZ$2:FZ172,FZ:FZ),"")</f>
        <v/>
      </c>
      <c r="GC173" s="144" t="str">
        <f>IF(AND(Include_study?="Yes",Sufficient_data="Yes"),RANK(GS:GS,GS:GS,1)*IF(GR:GR&lt;0,-1,1)+IF(GR:GR&lt;0,-1,1)*COUNTIF(FZ$2:FZ172,FZ:FZ),"")</f>
        <v/>
      </c>
      <c r="GD173" s="39" t="e">
        <f>IF(AND(Include_study?="Yes",Sufficient_data="Yes"),'Publication Bias Analysis'!E173,NA())</f>
        <v>#N/A</v>
      </c>
      <c r="GE173" s="74" t="e">
        <f>IF(AND(Include_study?="Yes",Sufficient_data="Yes"),'Publication Bias Analysis'!F173,NA())</f>
        <v>#N/A</v>
      </c>
      <c r="GK173" s="176"/>
      <c r="GL17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3" s="39" t="str">
        <f t="shared" si="612"/>
        <v/>
      </c>
      <c r="GN17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3" s="39" t="str">
        <f>IF(AND(Include_study?="Yes",Sufficient_data="Yes"),IF('Publication Bias Analysis'!L$38="Left",'Publication Bias Analysis'!E:E-GW$3,GW$3-'Publication Bias Analysis'!E:E),"")</f>
        <v/>
      </c>
      <c r="GP173" s="39" t="str">
        <f t="shared" si="529"/>
        <v/>
      </c>
      <c r="GQ17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3" s="39" t="str">
        <f>IF(AND(Include_study?="Yes",Sufficient_data="Yes"),IF('Publication Bias Analysis'!L$38="Left",'Publication Bias Analysis'!E:E-GW$10,GW$10-'Publication Bias Analysis'!E:E),"")</f>
        <v/>
      </c>
      <c r="GS173" s="39" t="str">
        <f t="shared" si="530"/>
        <v/>
      </c>
      <c r="GT17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3" s="176"/>
      <c r="HL173" s="69" t="str">
        <f t="shared" si="518"/>
        <v/>
      </c>
      <c r="HM173" s="74" t="str">
        <f>IF(AND(Include_study?="Yes",Sufficient_data="Yes"),Z_score-('Publication Bias Analysis'!P$3+'Publication Bias Analysis'!P$4*Inverse_standard_error),"")</f>
        <v/>
      </c>
      <c r="HO173" s="176"/>
      <c r="HP173" s="69" t="str">
        <f>IF(AND(Include_study?="Yes",Sufficient_data="Yes"),(GD:GD-SUMPRODUCT(Calculations!FT:FT,'Publication Bias Analysis'!E:E)/SUM(Calculations!FT:FT))/SQRT(Calculations!HQ:HQ),"")</f>
        <v/>
      </c>
      <c r="HQ173" s="69" t="str">
        <f>IF(AND(Include_study?="Yes",Sufficient_data="Yes"),GE:GE^2-1/SUM(Calculations!FT:FT),"")</f>
        <v/>
      </c>
      <c r="HR173" s="7" t="str">
        <f t="shared" si="441"/>
        <v/>
      </c>
      <c r="HS173" s="7" t="str">
        <f t="shared" si="442"/>
        <v/>
      </c>
      <c r="HT173" s="7" t="str">
        <f>IF(AND(Include_study?="Yes",Sufficient_data="Yes"),COUNTIFS(HR$2:HR172,"&lt;"&amp;HR173,HS$2:HS172,"&lt;"&amp;HS173)+COUNTIFS(HR174:HR$201,"&lt;"&amp;HR173,HS174:HS$201,"&lt;"&amp;HS173)+COUNTIFS(HR$2:HR172,"&gt;"&amp;HR173,HS$2:HS172,"&gt;"&amp;HS173)+COUNTIFS(HR174:HR$201,"&gt;"&amp;HR173,HS174:HS$201,"&gt;"&amp;HS173),"")</f>
        <v/>
      </c>
      <c r="HU173" s="104" t="str">
        <f>IF(AND(Include_study?="Yes",Sufficient_data="Yes"),COUNTIFS(HR$2:HR172,"&lt;"&amp;HR173,HS$2:HS172,"&gt;"&amp;HS173)+COUNTIFS(HR174:HR$201,"&lt;"&amp;HR173,HS174:HS$201,"&gt;"&amp;HS173)+COUNTIFS(HR$2:HR172,"&gt;"&amp;HR173,HS$2:HS172,"&lt;"&amp;HS173)+COUNTIFS(HR174:HR$201,"&gt;"&amp;HR173,HS174:HS$201,"&lt;"&amp;HS173),"")</f>
        <v/>
      </c>
      <c r="HW173" s="176"/>
      <c r="IB173" s="176"/>
      <c r="IC173" s="146" t="e">
        <f t="shared" si="613"/>
        <v>#N/A</v>
      </c>
      <c r="ID173" s="137" t="e">
        <f t="shared" si="614"/>
        <v>#N/A</v>
      </c>
      <c r="IE173" s="137" t="str">
        <f t="shared" si="615"/>
        <v/>
      </c>
      <c r="IF173" s="95" t="str">
        <f t="shared" si="616"/>
        <v/>
      </c>
      <c r="IK173" s="176"/>
      <c r="IL173" s="69" t="e">
        <f>IF(AND(Include_study?="Yes",Sufficient_data="Yes"),'Publication Bias Analysis'!AV:AV,NA())</f>
        <v>#N/A</v>
      </c>
      <c r="IM173" s="158" t="e">
        <f>IF(AND(Sufficient_data="Yes",Include_study?="Yes"),'Publication Bias Analysis'!AU:AU,NA())</f>
        <v>#N/A</v>
      </c>
      <c r="IN173" s="69" t="str">
        <f t="shared" si="617"/>
        <v/>
      </c>
      <c r="IO173" s="74" t="str">
        <f>IF(AND(Include_study?="Yes",Sufficient_data="Yes"),Z_score-('Publication Bias Analysis'!AY$30+'Publication Bias Analysis'!AY$31*Inverse_standard_error),"")</f>
        <v/>
      </c>
      <c r="IU173" s="176"/>
      <c r="IV173" s="7" t="str">
        <f>IF('Publication Bias Analysis'!BG:BG&lt;&gt;"",RANK('Publication Bias Analysis'!BG:BG,'Publication Bias Analysis'!BG:BG,1)+COUNTIF('Publication Bias Analysis'!BG$2:BG172,'Publication Bias Analysis'!BG173),"")</f>
        <v/>
      </c>
      <c r="IW173" s="124" t="str">
        <f t="shared" si="618"/>
        <v/>
      </c>
      <c r="IX173" s="125" t="e">
        <f>IF('Publication Bias Analysis'!BF173&lt;&gt;"",'Publication Bias Analysis'!BF173,NA())</f>
        <v>#N/A</v>
      </c>
      <c r="IY173" s="125" t="e">
        <f>IF('Publication Bias Analysis'!BG173&lt;&gt;"",'Publication Bias Analysis'!BG173,NA())</f>
        <v>#N/A</v>
      </c>
      <c r="IZ173" s="69" t="str">
        <f>IF(AND(Include_study?="Yes",Sufficient_data="Yes"),'Publication Bias Analysis'!BF:BF-AVERAGE('Publication Bias Analysis'!BF:BF),"")</f>
        <v/>
      </c>
      <c r="JA173" s="74" t="str">
        <f>IF(AND(Include_study?="Yes",Sufficient_data="Yes"),'Publication Bias Analysis'!BG:BG-('Publication Bias Analysis'!BJ$30+'Publication Bias Analysis'!BJ$31*'Publication Bias Analysis'!BF:BF),"")</f>
        <v/>
      </c>
      <c r="JG173" s="176"/>
      <c r="JH173" s="39" t="str">
        <f t="shared" si="619"/>
        <v/>
      </c>
      <c r="JI173" s="148" t="str">
        <f t="shared" si="531"/>
        <v/>
      </c>
      <c r="JJ173" s="74" t="str">
        <f t="shared" si="532"/>
        <v/>
      </c>
    </row>
    <row r="174" spans="1:270" x14ac:dyDescent="0.2">
      <c r="A174" s="56" t="str">
        <f t="shared" si="533"/>
        <v/>
      </c>
      <c r="B174" s="7" t="str">
        <f>IF(AND(Include_study?="Yes",Sufficient_data="Yes"),IF(Input!a_&lt;&gt;"",Input!a_,Input!n1_-Input!b_),"")</f>
        <v/>
      </c>
      <c r="C174" s="7" t="str">
        <f>IF(AND(Include_study?="Yes",Sufficient_data="Yes"),IF(Input!b_&lt;&gt;"",Input!b_,Input!n1_-Input!a_),"")</f>
        <v/>
      </c>
      <c r="D174" s="7" t="str">
        <f>IF(AND(Include_study?="Yes",Sufficient_data="Yes"),IF(Input!c_&lt;&gt;"",Input!c_,Input!n2_-Input!d_),"")</f>
        <v/>
      </c>
      <c r="E174" s="7" t="str">
        <f>IF(AND(Include_study?="Yes",Sufficient_data="Yes"),IF(Input!d_&lt;&gt;"",Input!d_,Input!n2_-Input!c_),"")</f>
        <v/>
      </c>
      <c r="F174" s="74" t="str">
        <f t="shared" si="534"/>
        <v/>
      </c>
      <c r="H174" s="196"/>
      <c r="I174" s="182"/>
      <c r="J174" s="146" t="str">
        <f t="shared" si="444"/>
        <v/>
      </c>
      <c r="K174" s="39" t="str">
        <f t="shared" si="535"/>
        <v/>
      </c>
      <c r="L174" s="39" t="str">
        <f t="shared" si="536"/>
        <v/>
      </c>
      <c r="M174" s="39" t="str">
        <f t="shared" si="537"/>
        <v/>
      </c>
      <c r="N174" s="74" t="str">
        <f t="shared" si="538"/>
        <v/>
      </c>
      <c r="P174" s="176"/>
      <c r="Q174" s="130" t="str">
        <f t="shared" si="539"/>
        <v/>
      </c>
      <c r="R174" s="39" t="str">
        <f t="shared" si="540"/>
        <v/>
      </c>
      <c r="S174" s="39" t="str">
        <f t="shared" si="541"/>
        <v/>
      </c>
      <c r="T174" s="74" t="str">
        <f t="shared" si="542"/>
        <v/>
      </c>
      <c r="V174" s="176"/>
      <c r="W174" s="130" t="str">
        <f t="shared" si="543"/>
        <v/>
      </c>
      <c r="X174" s="39" t="str">
        <f t="shared" si="544"/>
        <v/>
      </c>
      <c r="Y174" s="39" t="str">
        <f t="shared" si="545"/>
        <v/>
      </c>
      <c r="Z174" s="74" t="str">
        <f t="shared" si="546"/>
        <v/>
      </c>
      <c r="AB174" s="176"/>
      <c r="AC174" s="130" t="str">
        <f t="shared" si="547"/>
        <v/>
      </c>
      <c r="AD174" s="39" t="str">
        <f t="shared" si="548"/>
        <v/>
      </c>
      <c r="AE174" s="39" t="str">
        <f t="shared" si="549"/>
        <v/>
      </c>
      <c r="AF174" s="39" t="str">
        <f t="shared" si="550"/>
        <v/>
      </c>
      <c r="AG174" s="74" t="str">
        <f t="shared" si="551"/>
        <v/>
      </c>
      <c r="AI174" s="196"/>
      <c r="AJ17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4" s="136" t="str">
        <f>IF(AJ174&lt;&gt;"",IF(AJ174=0,COUNTIF(AJ$2:AJ173,0)+1,COUNTIF(AJ$2:AJ173,AJ174)+AJ174+COUNTIF(AJ:AJ,0)),"")</f>
        <v/>
      </c>
      <c r="AL174" s="136" t="str">
        <f t="shared" si="462"/>
        <v/>
      </c>
      <c r="AM174" s="155" t="str">
        <f>IF(AND(Include_study?="Yes",Sufficient_data="Yes",Input!Study_name&lt;&gt;""),Input!Study_name,"")</f>
        <v/>
      </c>
      <c r="AN174" s="136" t="str">
        <f t="shared" si="463"/>
        <v/>
      </c>
      <c r="AO174" s="19" t="str">
        <f t="shared" si="552"/>
        <v/>
      </c>
      <c r="AP174" s="158" t="str">
        <f t="shared" si="553"/>
        <v/>
      </c>
      <c r="AQ174" s="158" t="str">
        <f t="shared" si="554"/>
        <v/>
      </c>
      <c r="AR174" s="39" t="str">
        <f t="shared" si="555"/>
        <v/>
      </c>
      <c r="AS174" s="158" t="str">
        <f t="shared" si="556"/>
        <v/>
      </c>
      <c r="AT174" s="39" t="str">
        <f t="shared" si="557"/>
        <v/>
      </c>
      <c r="AU174" s="172" t="str">
        <f t="shared" si="558"/>
        <v/>
      </c>
      <c r="AV174" s="45"/>
      <c r="AW174" s="84" t="e">
        <f t="shared" si="559"/>
        <v>#N/A</v>
      </c>
      <c r="AX174" s="69" t="e">
        <f t="shared" si="560"/>
        <v>#N/A</v>
      </c>
      <c r="AY174" s="74" t="e">
        <f t="shared" si="561"/>
        <v>#N/A</v>
      </c>
      <c r="AZ174" s="45"/>
      <c r="BA174" s="45"/>
      <c r="BB174" s="45"/>
      <c r="BC174" s="45"/>
      <c r="BD174" s="196"/>
      <c r="BE174" s="182"/>
      <c r="BF174" s="69" t="str">
        <f t="shared" si="562"/>
        <v/>
      </c>
      <c r="BG174" s="69" t="str">
        <f t="shared" si="563"/>
        <v/>
      </c>
      <c r="BH174" s="69" t="str">
        <f t="shared" si="564"/>
        <v/>
      </c>
      <c r="BI174" s="39" t="str">
        <f t="shared" si="565"/>
        <v/>
      </c>
      <c r="BJ174" s="95" t="str">
        <f t="shared" si="566"/>
        <v/>
      </c>
      <c r="BO174" s="176"/>
      <c r="BP174" s="158" t="str">
        <f t="shared" si="567"/>
        <v/>
      </c>
      <c r="BQ174" s="158" t="str">
        <f t="shared" si="568"/>
        <v/>
      </c>
      <c r="BR174" s="158" t="str">
        <f t="shared" si="569"/>
        <v/>
      </c>
      <c r="BS174" s="158" t="str">
        <f>IF(AND(Sufficient_data="Yes",Include_study?="Yes"),IF(Add_0_5="Yes",(a_+d_+1)*(ab_+0.5)*(c_+0.5)/(Number_of_subjects+2)^2,(a_+d_)*b_*c_/Number_of_subjects^2),"")</f>
        <v/>
      </c>
      <c r="BT174" s="158" t="str">
        <f t="shared" si="570"/>
        <v/>
      </c>
      <c r="BU174" s="158" t="str">
        <f t="shared" si="571"/>
        <v/>
      </c>
      <c r="BV174" s="158" t="str">
        <f t="shared" si="572"/>
        <v/>
      </c>
      <c r="BW174" s="69" t="str">
        <f t="shared" si="573"/>
        <v/>
      </c>
      <c r="BX174" s="137" t="str">
        <f t="shared" si="574"/>
        <v/>
      </c>
      <c r="BY174" s="95" t="str">
        <f t="shared" si="575"/>
        <v/>
      </c>
      <c r="CD174" s="176"/>
      <c r="CE174" s="130" t="str">
        <f t="shared" si="576"/>
        <v/>
      </c>
      <c r="CF174" s="39" t="str">
        <f t="shared" si="577"/>
        <v/>
      </c>
      <c r="CG174" s="39" t="str">
        <f t="shared" si="578"/>
        <v/>
      </c>
      <c r="CH174" s="39" t="str">
        <f t="shared" si="579"/>
        <v/>
      </c>
      <c r="CI174" s="39" t="str">
        <f t="shared" si="580"/>
        <v/>
      </c>
      <c r="CJ174" s="39" t="str">
        <f t="shared" si="486"/>
        <v/>
      </c>
      <c r="CK174" s="95" t="str">
        <f t="shared" si="581"/>
        <v/>
      </c>
      <c r="CP174" s="176"/>
      <c r="CQ174" s="99" t="str">
        <f t="shared" si="582"/>
        <v/>
      </c>
      <c r="CX174" s="196"/>
      <c r="CY174" s="89" t="e">
        <f t="shared" si="583"/>
        <v>#N/A</v>
      </c>
      <c r="CZ174" s="136" t="str">
        <f t="shared" si="584"/>
        <v/>
      </c>
      <c r="DA174" s="140" t="str">
        <f t="shared" si="585"/>
        <v/>
      </c>
      <c r="DB174" s="39" t="str">
        <f t="shared" si="586"/>
        <v/>
      </c>
      <c r="DC174" s="39" t="str">
        <f t="shared" si="587"/>
        <v/>
      </c>
      <c r="DD174" s="39" t="str">
        <f t="shared" si="588"/>
        <v/>
      </c>
      <c r="DE174" s="39" t="str">
        <f t="shared" si="589"/>
        <v/>
      </c>
      <c r="DF174" s="141" t="str">
        <f t="shared" si="590"/>
        <v/>
      </c>
      <c r="DG174" s="39" t="str">
        <f t="shared" si="591"/>
        <v/>
      </c>
      <c r="DH174" s="39" t="str">
        <f t="shared" si="592"/>
        <v/>
      </c>
      <c r="DI174" s="39" t="str">
        <f t="shared" si="593"/>
        <v/>
      </c>
      <c r="DJ174" s="74" t="str">
        <f t="shared" si="594"/>
        <v/>
      </c>
      <c r="DK174" s="45"/>
      <c r="DL174" s="84" t="e">
        <f t="shared" si="423"/>
        <v>#N/A</v>
      </c>
      <c r="DM174" s="39" t="e">
        <f t="shared" si="595"/>
        <v>#N/A</v>
      </c>
      <c r="DN174" s="74" t="e">
        <f t="shared" si="596"/>
        <v>#N/A</v>
      </c>
      <c r="DO174" s="45"/>
      <c r="DP174" s="89" t="str">
        <f t="shared" si="525"/>
        <v/>
      </c>
      <c r="DQ174" s="26" t="str">
        <f>IF(AND(Sufficient_data="Yes",Subgroup&lt;&gt;""),IF(COUNTIFS(Input!J$2:J173,"="&amp;"Yes",Input!C$2:C173,"="&amp;"Yes",Input!K$2:K173,"="&amp;Subgroup)&gt;0,"",Subgroup),"")</f>
        <v/>
      </c>
      <c r="DR174" s="7" t="str">
        <f t="shared" si="526"/>
        <v/>
      </c>
      <c r="DS174" s="7" t="str">
        <f t="shared" si="597"/>
        <v/>
      </c>
      <c r="DT174" s="19" t="str">
        <f t="shared" si="598"/>
        <v/>
      </c>
      <c r="DU174" s="12" t="str">
        <f t="shared" si="424"/>
        <v/>
      </c>
      <c r="DV174" s="11" t="str">
        <f t="shared" si="425"/>
        <v/>
      </c>
      <c r="DW174" s="12" t="str">
        <f t="shared" si="426"/>
        <v/>
      </c>
      <c r="DX174" s="12" t="str">
        <f t="shared" si="599"/>
        <v/>
      </c>
      <c r="DY174" s="19" t="str">
        <f t="shared" si="427"/>
        <v/>
      </c>
      <c r="DZ174" s="12" t="str">
        <f t="shared" si="428"/>
        <v/>
      </c>
      <c r="EA174" s="19" t="str">
        <f t="shared" si="600"/>
        <v/>
      </c>
      <c r="EB174" s="7" t="str">
        <f t="shared" si="601"/>
        <v/>
      </c>
      <c r="EC174" s="19" t="str">
        <f t="shared" si="602"/>
        <v/>
      </c>
      <c r="ED174" s="19" t="str">
        <f t="shared" si="603"/>
        <v/>
      </c>
      <c r="EE174" s="19" t="str">
        <f t="shared" si="429"/>
        <v/>
      </c>
      <c r="EF174" s="19" t="str">
        <f t="shared" si="430"/>
        <v/>
      </c>
      <c r="EG174" s="19" t="str">
        <f t="shared" si="431"/>
        <v/>
      </c>
      <c r="EH174" s="19" t="str">
        <f t="shared" si="432"/>
        <v/>
      </c>
      <c r="EI174" s="19" t="str">
        <f t="shared" si="433"/>
        <v/>
      </c>
      <c r="EJ174" s="19" t="str">
        <f t="shared" si="604"/>
        <v/>
      </c>
      <c r="EK174" s="19" t="str">
        <f t="shared" si="605"/>
        <v/>
      </c>
      <c r="EL174" s="19" t="str">
        <f t="shared" si="434"/>
        <v/>
      </c>
      <c r="EM174" s="19" t="str">
        <f t="shared" si="435"/>
        <v/>
      </c>
      <c r="EN174" s="19" t="str">
        <f t="shared" si="436"/>
        <v/>
      </c>
      <c r="EO174" s="19" t="str">
        <f t="shared" si="437"/>
        <v/>
      </c>
      <c r="EP174" s="19" t="str">
        <f t="shared" si="438"/>
        <v/>
      </c>
      <c r="EQ174" s="19" t="e">
        <f t="shared" si="439"/>
        <v>#N/A</v>
      </c>
      <c r="ER174" s="11" t="str">
        <f t="shared" si="527"/>
        <v/>
      </c>
      <c r="ES174" s="19" t="str">
        <f t="shared" si="528"/>
        <v/>
      </c>
      <c r="ET174" s="156" t="str">
        <f t="shared" si="606"/>
        <v/>
      </c>
      <c r="EU174" s="39" t="str">
        <f t="shared" si="440"/>
        <v/>
      </c>
      <c r="EV174" s="74" t="str">
        <f t="shared" si="607"/>
        <v/>
      </c>
      <c r="FA174" s="196"/>
      <c r="FB174" s="84" t="e">
        <f>IF(AND(Include_study?="Yes",Sufficient_data="Yes",Moderator&lt;&gt;""),'Moderator Analysis'!E174,NA())</f>
        <v>#N/A</v>
      </c>
      <c r="FC174" s="39" t="e">
        <f>IF(AND(Include_study?="Yes",Sufficient_data="Yes",Moderator&lt;&gt;""),'Moderator Analysis'!F174,NA())</f>
        <v>#N/A</v>
      </c>
      <c r="FD174" s="39" t="str">
        <f t="shared" si="608"/>
        <v/>
      </c>
      <c r="FE174" s="39" t="str">
        <f t="shared" si="609"/>
        <v/>
      </c>
      <c r="FF174" s="39" t="str">
        <f>IF(AND(Include_study?="Yes",Sufficient_data="Yes",Moderator&lt;&gt;""),'Moderator Analysis'!F:F-FP$2,"")</f>
        <v/>
      </c>
      <c r="FG174" s="39" t="str">
        <f>IF(AND(Include_study?="Yes",Sufficient_data="Yes",Moderator&lt;&gt;""),'Moderator Analysis'!E:E-FP$3,"")</f>
        <v/>
      </c>
      <c r="FH174" s="74" t="str">
        <f>IF(AND(Include_study?="Yes",Sufficient_data="Yes",Moderator&lt;&gt;""),FE:FE*('Moderator Analysis'!F:F-FP$5-FP$4*'Moderator Analysis'!E:E)^2,"")</f>
        <v/>
      </c>
      <c r="FI174" s="128"/>
      <c r="FJ174" s="92" t="str">
        <f t="shared" si="610"/>
        <v/>
      </c>
      <c r="FK174" s="137" t="str">
        <f>IF(AND(Include_study?="Yes",Sufficient_data="Yes",Moderator&lt;&gt;""),'Moderator Analysis'!F:F-'Moderator Analysis'!J$37,"")</f>
        <v/>
      </c>
      <c r="FL174" s="137" t="str">
        <f>IF(AND(Include_study?="Yes",Sufficient_data="Yes",Moderator&lt;&gt;""),'Moderator Analysis'!E:E-SUMPRODUCT('Moderator Analysis'!E:E,FJ:FJ)/SUM(FJ:FJ),"")</f>
        <v/>
      </c>
      <c r="FM174" s="95" t="str">
        <f>IF(AND(Include_study?="Yes",Sufficient_data="Yes",Moderator&lt;&gt;""),FJ:FJ*('Moderator Analysis'!F:F-'Moderator Analysis'!J$29-'Moderator Analysis'!J$30*'Moderator Analysis'!E:E)^2,"")</f>
        <v/>
      </c>
      <c r="FR174" s="196"/>
      <c r="FS174" s="182"/>
      <c r="FT17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4" s="39" t="str">
        <f>IF(AND(Include_study?="Yes",Sufficient_data="Yes"),1/('Publication Bias Analysis'!F:F^2+IF(Additional_model="Fixed effect",0,Calculations!GH$12)),"")</f>
        <v/>
      </c>
      <c r="FV174" s="39" t="str">
        <f>IF(AND(Include_study?="Yes",Sufficient_data="Yes"),1/('Publication Bias Analysis'!F:F^2+IF(Additional_model="Fixed effect",0,'Publication Bias Analysis'!L$32)),"")</f>
        <v/>
      </c>
      <c r="FW174" s="39" t="str">
        <f>IF(AND(Include_study?="Yes",Sufficient_data="Yes"),'Publication Bias Analysis'!E:E-'Publication Bias Analysis'!I$37,"")</f>
        <v/>
      </c>
      <c r="FX174" s="39" t="str">
        <f>IF(AND(Include_study?="Yes",Sufficient_data="Yes"),IF(Additional_model="Fixed effect",1/'Publication Bias Analysis'!F:F,1/SQRT('Publication Bias Analysis'!F:F^2+GH$12)),"")</f>
        <v/>
      </c>
      <c r="FY17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4" s="136" t="str">
        <f t="shared" si="611"/>
        <v/>
      </c>
      <c r="GA174" s="144" t="str">
        <f>IF(AND(Include_study?="Yes",Sufficient_data="Yes"),FZ:FZ+IF(GL:GL&lt;0,-1,1)*COUNTIF(FZ$2:FZ173,FZ:FZ),"")</f>
        <v/>
      </c>
      <c r="GB174" s="144" t="str">
        <f>IF(AND(Include_study?="Yes",Sufficient_data="Yes"),RANK(GP:GP,GP:GP,1)*IF(GO:GO&lt;0,-1,1)+IF(GO:GO&lt;0,-1,1)*COUNTIF(FZ$2:FZ173,FZ:FZ),"")</f>
        <v/>
      </c>
      <c r="GC174" s="144" t="str">
        <f>IF(AND(Include_study?="Yes",Sufficient_data="Yes"),RANK(GS:GS,GS:GS,1)*IF(GR:GR&lt;0,-1,1)+IF(GR:GR&lt;0,-1,1)*COUNTIF(FZ$2:FZ173,FZ:FZ),"")</f>
        <v/>
      </c>
      <c r="GD174" s="39" t="e">
        <f>IF(AND(Include_study?="Yes",Sufficient_data="Yes"),'Publication Bias Analysis'!E174,NA())</f>
        <v>#N/A</v>
      </c>
      <c r="GE174" s="74" t="e">
        <f>IF(AND(Include_study?="Yes",Sufficient_data="Yes"),'Publication Bias Analysis'!F174,NA())</f>
        <v>#N/A</v>
      </c>
      <c r="GK174" s="176"/>
      <c r="GL17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4" s="39" t="str">
        <f t="shared" si="612"/>
        <v/>
      </c>
      <c r="GN17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4" s="39" t="str">
        <f>IF(AND(Include_study?="Yes",Sufficient_data="Yes"),IF('Publication Bias Analysis'!L$38="Left",'Publication Bias Analysis'!E:E-GW$3,GW$3-'Publication Bias Analysis'!E:E),"")</f>
        <v/>
      </c>
      <c r="GP174" s="39" t="str">
        <f t="shared" si="529"/>
        <v/>
      </c>
      <c r="GQ17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4" s="39" t="str">
        <f>IF(AND(Include_study?="Yes",Sufficient_data="Yes"),IF('Publication Bias Analysis'!L$38="Left",'Publication Bias Analysis'!E:E-GW$10,GW$10-'Publication Bias Analysis'!E:E),"")</f>
        <v/>
      </c>
      <c r="GS174" s="39" t="str">
        <f t="shared" si="530"/>
        <v/>
      </c>
      <c r="GT17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4" s="176"/>
      <c r="HL174" s="69" t="str">
        <f t="shared" si="518"/>
        <v/>
      </c>
      <c r="HM174" s="74" t="str">
        <f>IF(AND(Include_study?="Yes",Sufficient_data="Yes"),Z_score-('Publication Bias Analysis'!P$3+'Publication Bias Analysis'!P$4*Inverse_standard_error),"")</f>
        <v/>
      </c>
      <c r="HO174" s="176"/>
      <c r="HP174" s="69" t="str">
        <f>IF(AND(Include_study?="Yes",Sufficient_data="Yes"),(GD:GD-SUMPRODUCT(Calculations!FT:FT,'Publication Bias Analysis'!E:E)/SUM(Calculations!FT:FT))/SQRT(Calculations!HQ:HQ),"")</f>
        <v/>
      </c>
      <c r="HQ174" s="69" t="str">
        <f>IF(AND(Include_study?="Yes",Sufficient_data="Yes"),GE:GE^2-1/SUM(Calculations!FT:FT),"")</f>
        <v/>
      </c>
      <c r="HR174" s="7" t="str">
        <f t="shared" si="441"/>
        <v/>
      </c>
      <c r="HS174" s="7" t="str">
        <f t="shared" si="442"/>
        <v/>
      </c>
      <c r="HT174" s="7" t="str">
        <f>IF(AND(Include_study?="Yes",Sufficient_data="Yes"),COUNTIFS(HR$2:HR173,"&lt;"&amp;HR174,HS$2:HS173,"&lt;"&amp;HS174)+COUNTIFS(HR175:HR$201,"&lt;"&amp;HR174,HS175:HS$201,"&lt;"&amp;HS174)+COUNTIFS(HR$2:HR173,"&gt;"&amp;HR174,HS$2:HS173,"&gt;"&amp;HS174)+COUNTIFS(HR175:HR$201,"&gt;"&amp;HR174,HS175:HS$201,"&gt;"&amp;HS174),"")</f>
        <v/>
      </c>
      <c r="HU174" s="104" t="str">
        <f>IF(AND(Include_study?="Yes",Sufficient_data="Yes"),COUNTIFS(HR$2:HR173,"&lt;"&amp;HR174,HS$2:HS173,"&gt;"&amp;HS174)+COUNTIFS(HR175:HR$201,"&lt;"&amp;HR174,HS175:HS$201,"&gt;"&amp;HS174)+COUNTIFS(HR$2:HR173,"&gt;"&amp;HR174,HS$2:HS173,"&lt;"&amp;HS174)+COUNTIFS(HR175:HR$201,"&gt;"&amp;HR174,HS175:HS$201,"&lt;"&amp;HS174),"")</f>
        <v/>
      </c>
      <c r="HW174" s="176"/>
      <c r="IB174" s="176"/>
      <c r="IC174" s="146" t="e">
        <f t="shared" si="613"/>
        <v>#N/A</v>
      </c>
      <c r="ID174" s="137" t="e">
        <f t="shared" si="614"/>
        <v>#N/A</v>
      </c>
      <c r="IE174" s="137" t="str">
        <f t="shared" si="615"/>
        <v/>
      </c>
      <c r="IF174" s="95" t="str">
        <f t="shared" si="616"/>
        <v/>
      </c>
      <c r="IK174" s="176"/>
      <c r="IL174" s="69" t="e">
        <f>IF(AND(Include_study?="Yes",Sufficient_data="Yes"),'Publication Bias Analysis'!AV:AV,NA())</f>
        <v>#N/A</v>
      </c>
      <c r="IM174" s="158" t="e">
        <f>IF(AND(Sufficient_data="Yes",Include_study?="Yes"),'Publication Bias Analysis'!AU:AU,NA())</f>
        <v>#N/A</v>
      </c>
      <c r="IN174" s="69" t="str">
        <f t="shared" si="617"/>
        <v/>
      </c>
      <c r="IO174" s="74" t="str">
        <f>IF(AND(Include_study?="Yes",Sufficient_data="Yes"),Z_score-('Publication Bias Analysis'!AY$30+'Publication Bias Analysis'!AY$31*Inverse_standard_error),"")</f>
        <v/>
      </c>
      <c r="IU174" s="176"/>
      <c r="IV174" s="7" t="str">
        <f>IF('Publication Bias Analysis'!BG:BG&lt;&gt;"",RANK('Publication Bias Analysis'!BG:BG,'Publication Bias Analysis'!BG:BG,1)+COUNTIF('Publication Bias Analysis'!BG$2:BG173,'Publication Bias Analysis'!BG174),"")</f>
        <v/>
      </c>
      <c r="IW174" s="124" t="str">
        <f t="shared" si="618"/>
        <v/>
      </c>
      <c r="IX174" s="125" t="e">
        <f>IF('Publication Bias Analysis'!BF174&lt;&gt;"",'Publication Bias Analysis'!BF174,NA())</f>
        <v>#N/A</v>
      </c>
      <c r="IY174" s="125" t="e">
        <f>IF('Publication Bias Analysis'!BG174&lt;&gt;"",'Publication Bias Analysis'!BG174,NA())</f>
        <v>#N/A</v>
      </c>
      <c r="IZ174" s="69" t="str">
        <f>IF(AND(Include_study?="Yes",Sufficient_data="Yes"),'Publication Bias Analysis'!BF:BF-AVERAGE('Publication Bias Analysis'!BF:BF),"")</f>
        <v/>
      </c>
      <c r="JA174" s="74" t="str">
        <f>IF(AND(Include_study?="Yes",Sufficient_data="Yes"),'Publication Bias Analysis'!BG:BG-('Publication Bias Analysis'!BJ$30+'Publication Bias Analysis'!BJ$31*'Publication Bias Analysis'!BF:BF),"")</f>
        <v/>
      </c>
      <c r="JG174" s="176"/>
      <c r="JH174" s="39" t="str">
        <f t="shared" si="619"/>
        <v/>
      </c>
      <c r="JI174" s="148" t="str">
        <f t="shared" si="531"/>
        <v/>
      </c>
      <c r="JJ174" s="74" t="str">
        <f t="shared" si="532"/>
        <v/>
      </c>
    </row>
    <row r="175" spans="1:270" x14ac:dyDescent="0.2">
      <c r="A175" s="56" t="str">
        <f t="shared" si="533"/>
        <v/>
      </c>
      <c r="B175" s="7" t="str">
        <f>IF(AND(Include_study?="Yes",Sufficient_data="Yes"),IF(Input!a_&lt;&gt;"",Input!a_,Input!n1_-Input!b_),"")</f>
        <v/>
      </c>
      <c r="C175" s="7" t="str">
        <f>IF(AND(Include_study?="Yes",Sufficient_data="Yes"),IF(Input!b_&lt;&gt;"",Input!b_,Input!n1_-Input!a_),"")</f>
        <v/>
      </c>
      <c r="D175" s="7" t="str">
        <f>IF(AND(Include_study?="Yes",Sufficient_data="Yes"),IF(Input!c_&lt;&gt;"",Input!c_,Input!n2_-Input!d_),"")</f>
        <v/>
      </c>
      <c r="E175" s="7" t="str">
        <f>IF(AND(Include_study?="Yes",Sufficient_data="Yes"),IF(Input!d_&lt;&gt;"",Input!d_,Input!n2_-Input!c_),"")</f>
        <v/>
      </c>
      <c r="F175" s="74" t="str">
        <f t="shared" si="534"/>
        <v/>
      </c>
      <c r="H175" s="196"/>
      <c r="I175" s="182"/>
      <c r="J175" s="146" t="str">
        <f t="shared" si="444"/>
        <v/>
      </c>
      <c r="K175" s="39" t="str">
        <f t="shared" si="535"/>
        <v/>
      </c>
      <c r="L175" s="39" t="str">
        <f t="shared" si="536"/>
        <v/>
      </c>
      <c r="M175" s="39" t="str">
        <f t="shared" si="537"/>
        <v/>
      </c>
      <c r="N175" s="74" t="str">
        <f t="shared" si="538"/>
        <v/>
      </c>
      <c r="P175" s="176"/>
      <c r="Q175" s="130" t="str">
        <f t="shared" si="539"/>
        <v/>
      </c>
      <c r="R175" s="39" t="str">
        <f t="shared" si="540"/>
        <v/>
      </c>
      <c r="S175" s="39" t="str">
        <f t="shared" si="541"/>
        <v/>
      </c>
      <c r="T175" s="74" t="str">
        <f t="shared" si="542"/>
        <v/>
      </c>
      <c r="V175" s="176"/>
      <c r="W175" s="130" t="str">
        <f t="shared" si="543"/>
        <v/>
      </c>
      <c r="X175" s="39" t="str">
        <f t="shared" si="544"/>
        <v/>
      </c>
      <c r="Y175" s="39" t="str">
        <f t="shared" si="545"/>
        <v/>
      </c>
      <c r="Z175" s="74" t="str">
        <f t="shared" si="546"/>
        <v/>
      </c>
      <c r="AB175" s="176"/>
      <c r="AC175" s="130" t="str">
        <f t="shared" si="547"/>
        <v/>
      </c>
      <c r="AD175" s="39" t="str">
        <f t="shared" si="548"/>
        <v/>
      </c>
      <c r="AE175" s="39" t="str">
        <f t="shared" si="549"/>
        <v/>
      </c>
      <c r="AF175" s="39" t="str">
        <f t="shared" si="550"/>
        <v/>
      </c>
      <c r="AG175" s="74" t="str">
        <f t="shared" si="551"/>
        <v/>
      </c>
      <c r="AI175" s="196"/>
      <c r="AJ17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5" s="136" t="str">
        <f>IF(AJ175&lt;&gt;"",IF(AJ175=0,COUNTIF(AJ$2:AJ174,0)+1,COUNTIF(AJ$2:AJ174,AJ175)+AJ175+COUNTIF(AJ:AJ,0)),"")</f>
        <v/>
      </c>
      <c r="AL175" s="136" t="str">
        <f t="shared" si="462"/>
        <v/>
      </c>
      <c r="AM175" s="155" t="str">
        <f>IF(AND(Include_study?="Yes",Sufficient_data="Yes",Input!Study_name&lt;&gt;""),Input!Study_name,"")</f>
        <v/>
      </c>
      <c r="AN175" s="136" t="str">
        <f t="shared" si="463"/>
        <v/>
      </c>
      <c r="AO175" s="19" t="str">
        <f t="shared" si="552"/>
        <v/>
      </c>
      <c r="AP175" s="158" t="str">
        <f t="shared" si="553"/>
        <v/>
      </c>
      <c r="AQ175" s="158" t="str">
        <f t="shared" si="554"/>
        <v/>
      </c>
      <c r="AR175" s="39" t="str">
        <f t="shared" si="555"/>
        <v/>
      </c>
      <c r="AS175" s="158" t="str">
        <f t="shared" si="556"/>
        <v/>
      </c>
      <c r="AT175" s="39" t="str">
        <f t="shared" si="557"/>
        <v/>
      </c>
      <c r="AU175" s="172" t="str">
        <f t="shared" si="558"/>
        <v/>
      </c>
      <c r="AV175" s="45"/>
      <c r="AW175" s="84" t="e">
        <f t="shared" si="559"/>
        <v>#N/A</v>
      </c>
      <c r="AX175" s="69" t="e">
        <f t="shared" si="560"/>
        <v>#N/A</v>
      </c>
      <c r="AY175" s="74" t="e">
        <f t="shared" si="561"/>
        <v>#N/A</v>
      </c>
      <c r="AZ175" s="45"/>
      <c r="BA175" s="45"/>
      <c r="BB175" s="45"/>
      <c r="BC175" s="45"/>
      <c r="BD175" s="196"/>
      <c r="BE175" s="182"/>
      <c r="BF175" s="69" t="str">
        <f t="shared" si="562"/>
        <v/>
      </c>
      <c r="BG175" s="69" t="str">
        <f t="shared" si="563"/>
        <v/>
      </c>
      <c r="BH175" s="69" t="str">
        <f t="shared" si="564"/>
        <v/>
      </c>
      <c r="BI175" s="39" t="str">
        <f t="shared" si="565"/>
        <v/>
      </c>
      <c r="BJ175" s="95" t="str">
        <f t="shared" si="566"/>
        <v/>
      </c>
      <c r="BO175" s="176"/>
      <c r="BP175" s="158" t="str">
        <f t="shared" si="567"/>
        <v/>
      </c>
      <c r="BQ175" s="158" t="str">
        <f t="shared" si="568"/>
        <v/>
      </c>
      <c r="BR175" s="158" t="str">
        <f t="shared" si="569"/>
        <v/>
      </c>
      <c r="BS175" s="158" t="str">
        <f>IF(AND(Sufficient_data="Yes",Include_study?="Yes"),IF(Add_0_5="Yes",(a_+d_+1)*(ab_+0.5)*(c_+0.5)/(Number_of_subjects+2)^2,(a_+d_)*b_*c_/Number_of_subjects^2),"")</f>
        <v/>
      </c>
      <c r="BT175" s="158" t="str">
        <f t="shared" si="570"/>
        <v/>
      </c>
      <c r="BU175" s="158" t="str">
        <f t="shared" si="571"/>
        <v/>
      </c>
      <c r="BV175" s="158" t="str">
        <f t="shared" si="572"/>
        <v/>
      </c>
      <c r="BW175" s="69" t="str">
        <f t="shared" si="573"/>
        <v/>
      </c>
      <c r="BX175" s="137" t="str">
        <f t="shared" si="574"/>
        <v/>
      </c>
      <c r="BY175" s="95" t="str">
        <f t="shared" si="575"/>
        <v/>
      </c>
      <c r="CD175" s="176"/>
      <c r="CE175" s="130" t="str">
        <f t="shared" si="576"/>
        <v/>
      </c>
      <c r="CF175" s="39" t="str">
        <f t="shared" si="577"/>
        <v/>
      </c>
      <c r="CG175" s="39" t="str">
        <f t="shared" si="578"/>
        <v/>
      </c>
      <c r="CH175" s="39" t="str">
        <f t="shared" si="579"/>
        <v/>
      </c>
      <c r="CI175" s="39" t="str">
        <f t="shared" si="580"/>
        <v/>
      </c>
      <c r="CJ175" s="39" t="str">
        <f t="shared" si="486"/>
        <v/>
      </c>
      <c r="CK175" s="95" t="str">
        <f t="shared" si="581"/>
        <v/>
      </c>
      <c r="CP175" s="176"/>
      <c r="CQ175" s="99" t="str">
        <f t="shared" si="582"/>
        <v/>
      </c>
      <c r="CX175" s="196"/>
      <c r="CY175" s="89" t="e">
        <f t="shared" si="583"/>
        <v>#N/A</v>
      </c>
      <c r="CZ175" s="136" t="str">
        <f t="shared" si="584"/>
        <v/>
      </c>
      <c r="DA175" s="140" t="str">
        <f t="shared" si="585"/>
        <v/>
      </c>
      <c r="DB175" s="39" t="str">
        <f t="shared" si="586"/>
        <v/>
      </c>
      <c r="DC175" s="39" t="str">
        <f t="shared" si="587"/>
        <v/>
      </c>
      <c r="DD175" s="39" t="str">
        <f t="shared" si="588"/>
        <v/>
      </c>
      <c r="DE175" s="39" t="str">
        <f t="shared" si="589"/>
        <v/>
      </c>
      <c r="DF175" s="141" t="str">
        <f t="shared" si="590"/>
        <v/>
      </c>
      <c r="DG175" s="39" t="str">
        <f t="shared" si="591"/>
        <v/>
      </c>
      <c r="DH175" s="39" t="str">
        <f t="shared" si="592"/>
        <v/>
      </c>
      <c r="DI175" s="39" t="str">
        <f t="shared" si="593"/>
        <v/>
      </c>
      <c r="DJ175" s="74" t="str">
        <f t="shared" si="594"/>
        <v/>
      </c>
      <c r="DK175" s="45"/>
      <c r="DL175" s="84" t="e">
        <f t="shared" si="423"/>
        <v>#N/A</v>
      </c>
      <c r="DM175" s="39" t="e">
        <f t="shared" si="595"/>
        <v>#N/A</v>
      </c>
      <c r="DN175" s="74" t="e">
        <f t="shared" si="596"/>
        <v>#N/A</v>
      </c>
      <c r="DO175" s="45"/>
      <c r="DP175" s="89" t="str">
        <f t="shared" si="525"/>
        <v/>
      </c>
      <c r="DQ175" s="26" t="str">
        <f>IF(AND(Sufficient_data="Yes",Subgroup&lt;&gt;""),IF(COUNTIFS(Input!J$2:J174,"="&amp;"Yes",Input!C$2:C174,"="&amp;"Yes",Input!K$2:K174,"="&amp;Subgroup)&gt;0,"",Subgroup),"")</f>
        <v/>
      </c>
      <c r="DR175" s="7" t="str">
        <f t="shared" si="526"/>
        <v/>
      </c>
      <c r="DS175" s="7" t="str">
        <f t="shared" si="597"/>
        <v/>
      </c>
      <c r="DT175" s="19" t="str">
        <f t="shared" si="598"/>
        <v/>
      </c>
      <c r="DU175" s="12" t="str">
        <f t="shared" si="424"/>
        <v/>
      </c>
      <c r="DV175" s="11" t="str">
        <f t="shared" si="425"/>
        <v/>
      </c>
      <c r="DW175" s="12" t="str">
        <f t="shared" si="426"/>
        <v/>
      </c>
      <c r="DX175" s="12" t="str">
        <f t="shared" si="599"/>
        <v/>
      </c>
      <c r="DY175" s="19" t="str">
        <f t="shared" si="427"/>
        <v/>
      </c>
      <c r="DZ175" s="12" t="str">
        <f t="shared" si="428"/>
        <v/>
      </c>
      <c r="EA175" s="19" t="str">
        <f t="shared" si="600"/>
        <v/>
      </c>
      <c r="EB175" s="7" t="str">
        <f t="shared" si="601"/>
        <v/>
      </c>
      <c r="EC175" s="19" t="str">
        <f t="shared" si="602"/>
        <v/>
      </c>
      <c r="ED175" s="19" t="str">
        <f t="shared" si="603"/>
        <v/>
      </c>
      <c r="EE175" s="19" t="str">
        <f t="shared" si="429"/>
        <v/>
      </c>
      <c r="EF175" s="19" t="str">
        <f t="shared" si="430"/>
        <v/>
      </c>
      <c r="EG175" s="19" t="str">
        <f t="shared" si="431"/>
        <v/>
      </c>
      <c r="EH175" s="19" t="str">
        <f t="shared" si="432"/>
        <v/>
      </c>
      <c r="EI175" s="19" t="str">
        <f t="shared" si="433"/>
        <v/>
      </c>
      <c r="EJ175" s="19" t="str">
        <f t="shared" si="604"/>
        <v/>
      </c>
      <c r="EK175" s="19" t="str">
        <f t="shared" si="605"/>
        <v/>
      </c>
      <c r="EL175" s="19" t="str">
        <f t="shared" si="434"/>
        <v/>
      </c>
      <c r="EM175" s="19" t="str">
        <f t="shared" si="435"/>
        <v/>
      </c>
      <c r="EN175" s="19" t="str">
        <f t="shared" si="436"/>
        <v/>
      </c>
      <c r="EO175" s="19" t="str">
        <f t="shared" si="437"/>
        <v/>
      </c>
      <c r="EP175" s="19" t="str">
        <f t="shared" si="438"/>
        <v/>
      </c>
      <c r="EQ175" s="19" t="e">
        <f t="shared" si="439"/>
        <v>#N/A</v>
      </c>
      <c r="ER175" s="11" t="str">
        <f t="shared" si="527"/>
        <v/>
      </c>
      <c r="ES175" s="19" t="str">
        <f t="shared" si="528"/>
        <v/>
      </c>
      <c r="ET175" s="156" t="str">
        <f t="shared" si="606"/>
        <v/>
      </c>
      <c r="EU175" s="39" t="str">
        <f t="shared" si="440"/>
        <v/>
      </c>
      <c r="EV175" s="74" t="str">
        <f t="shared" si="607"/>
        <v/>
      </c>
      <c r="FA175" s="196"/>
      <c r="FB175" s="84" t="e">
        <f>IF(AND(Include_study?="Yes",Sufficient_data="Yes",Moderator&lt;&gt;""),'Moderator Analysis'!E175,NA())</f>
        <v>#N/A</v>
      </c>
      <c r="FC175" s="39" t="e">
        <f>IF(AND(Include_study?="Yes",Sufficient_data="Yes",Moderator&lt;&gt;""),'Moderator Analysis'!F175,NA())</f>
        <v>#N/A</v>
      </c>
      <c r="FD175" s="39" t="str">
        <f t="shared" si="608"/>
        <v/>
      </c>
      <c r="FE175" s="39" t="str">
        <f t="shared" si="609"/>
        <v/>
      </c>
      <c r="FF175" s="39" t="str">
        <f>IF(AND(Include_study?="Yes",Sufficient_data="Yes",Moderator&lt;&gt;""),'Moderator Analysis'!F:F-FP$2,"")</f>
        <v/>
      </c>
      <c r="FG175" s="39" t="str">
        <f>IF(AND(Include_study?="Yes",Sufficient_data="Yes",Moderator&lt;&gt;""),'Moderator Analysis'!E:E-FP$3,"")</f>
        <v/>
      </c>
      <c r="FH175" s="74" t="str">
        <f>IF(AND(Include_study?="Yes",Sufficient_data="Yes",Moderator&lt;&gt;""),FE:FE*('Moderator Analysis'!F:F-FP$5-FP$4*'Moderator Analysis'!E:E)^2,"")</f>
        <v/>
      </c>
      <c r="FI175" s="128"/>
      <c r="FJ175" s="92" t="str">
        <f t="shared" si="610"/>
        <v/>
      </c>
      <c r="FK175" s="137" t="str">
        <f>IF(AND(Include_study?="Yes",Sufficient_data="Yes",Moderator&lt;&gt;""),'Moderator Analysis'!F:F-'Moderator Analysis'!J$37,"")</f>
        <v/>
      </c>
      <c r="FL175" s="137" t="str">
        <f>IF(AND(Include_study?="Yes",Sufficient_data="Yes",Moderator&lt;&gt;""),'Moderator Analysis'!E:E-SUMPRODUCT('Moderator Analysis'!E:E,FJ:FJ)/SUM(FJ:FJ),"")</f>
        <v/>
      </c>
      <c r="FM175" s="95" t="str">
        <f>IF(AND(Include_study?="Yes",Sufficient_data="Yes",Moderator&lt;&gt;""),FJ:FJ*('Moderator Analysis'!F:F-'Moderator Analysis'!J$29-'Moderator Analysis'!J$30*'Moderator Analysis'!E:E)^2,"")</f>
        <v/>
      </c>
      <c r="FR175" s="196"/>
      <c r="FS175" s="182"/>
      <c r="FT17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5" s="39" t="str">
        <f>IF(AND(Include_study?="Yes",Sufficient_data="Yes"),1/('Publication Bias Analysis'!F:F^2+IF(Additional_model="Fixed effect",0,Calculations!GH$12)),"")</f>
        <v/>
      </c>
      <c r="FV175" s="39" t="str">
        <f>IF(AND(Include_study?="Yes",Sufficient_data="Yes"),1/('Publication Bias Analysis'!F:F^2+IF(Additional_model="Fixed effect",0,'Publication Bias Analysis'!L$32)),"")</f>
        <v/>
      </c>
      <c r="FW175" s="39" t="str">
        <f>IF(AND(Include_study?="Yes",Sufficient_data="Yes"),'Publication Bias Analysis'!E:E-'Publication Bias Analysis'!I$37,"")</f>
        <v/>
      </c>
      <c r="FX175" s="39" t="str">
        <f>IF(AND(Include_study?="Yes",Sufficient_data="Yes"),IF(Additional_model="Fixed effect",1/'Publication Bias Analysis'!F:F,1/SQRT('Publication Bias Analysis'!F:F^2+GH$12)),"")</f>
        <v/>
      </c>
      <c r="FY17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5" s="136" t="str">
        <f t="shared" si="611"/>
        <v/>
      </c>
      <c r="GA175" s="144" t="str">
        <f>IF(AND(Include_study?="Yes",Sufficient_data="Yes"),FZ:FZ+IF(GL:GL&lt;0,-1,1)*COUNTIF(FZ$2:FZ174,FZ:FZ),"")</f>
        <v/>
      </c>
      <c r="GB175" s="144" t="str">
        <f>IF(AND(Include_study?="Yes",Sufficient_data="Yes"),RANK(GP:GP,GP:GP,1)*IF(GO:GO&lt;0,-1,1)+IF(GO:GO&lt;0,-1,1)*COUNTIF(FZ$2:FZ174,FZ:FZ),"")</f>
        <v/>
      </c>
      <c r="GC175" s="144" t="str">
        <f>IF(AND(Include_study?="Yes",Sufficient_data="Yes"),RANK(GS:GS,GS:GS,1)*IF(GR:GR&lt;0,-1,1)+IF(GR:GR&lt;0,-1,1)*COUNTIF(FZ$2:FZ174,FZ:FZ),"")</f>
        <v/>
      </c>
      <c r="GD175" s="39" t="e">
        <f>IF(AND(Include_study?="Yes",Sufficient_data="Yes"),'Publication Bias Analysis'!E175,NA())</f>
        <v>#N/A</v>
      </c>
      <c r="GE175" s="74" t="e">
        <f>IF(AND(Include_study?="Yes",Sufficient_data="Yes"),'Publication Bias Analysis'!F175,NA())</f>
        <v>#N/A</v>
      </c>
      <c r="GK175" s="176"/>
      <c r="GL17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5" s="39" t="str">
        <f t="shared" si="612"/>
        <v/>
      </c>
      <c r="GN17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5" s="39" t="str">
        <f>IF(AND(Include_study?="Yes",Sufficient_data="Yes"),IF('Publication Bias Analysis'!L$38="Left",'Publication Bias Analysis'!E:E-GW$3,GW$3-'Publication Bias Analysis'!E:E),"")</f>
        <v/>
      </c>
      <c r="GP175" s="39" t="str">
        <f t="shared" si="529"/>
        <v/>
      </c>
      <c r="GQ17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5" s="39" t="str">
        <f>IF(AND(Include_study?="Yes",Sufficient_data="Yes"),IF('Publication Bias Analysis'!L$38="Left",'Publication Bias Analysis'!E:E-GW$10,GW$10-'Publication Bias Analysis'!E:E),"")</f>
        <v/>
      </c>
      <c r="GS175" s="39" t="str">
        <f t="shared" si="530"/>
        <v/>
      </c>
      <c r="GT17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5" s="176"/>
      <c r="HL175" s="69" t="str">
        <f t="shared" si="518"/>
        <v/>
      </c>
      <c r="HM175" s="74" t="str">
        <f>IF(AND(Include_study?="Yes",Sufficient_data="Yes"),Z_score-('Publication Bias Analysis'!P$3+'Publication Bias Analysis'!P$4*Inverse_standard_error),"")</f>
        <v/>
      </c>
      <c r="HO175" s="176"/>
      <c r="HP175" s="69" t="str">
        <f>IF(AND(Include_study?="Yes",Sufficient_data="Yes"),(GD:GD-SUMPRODUCT(Calculations!FT:FT,'Publication Bias Analysis'!E:E)/SUM(Calculations!FT:FT))/SQRT(Calculations!HQ:HQ),"")</f>
        <v/>
      </c>
      <c r="HQ175" s="69" t="str">
        <f>IF(AND(Include_study?="Yes",Sufficient_data="Yes"),GE:GE^2-1/SUM(Calculations!FT:FT),"")</f>
        <v/>
      </c>
      <c r="HR175" s="7" t="str">
        <f t="shared" si="441"/>
        <v/>
      </c>
      <c r="HS175" s="7" t="str">
        <f t="shared" si="442"/>
        <v/>
      </c>
      <c r="HT175" s="7" t="str">
        <f>IF(AND(Include_study?="Yes",Sufficient_data="Yes"),COUNTIFS(HR$2:HR174,"&lt;"&amp;HR175,HS$2:HS174,"&lt;"&amp;HS175)+COUNTIFS(HR176:HR$201,"&lt;"&amp;HR175,HS176:HS$201,"&lt;"&amp;HS175)+COUNTIFS(HR$2:HR174,"&gt;"&amp;HR175,HS$2:HS174,"&gt;"&amp;HS175)+COUNTIFS(HR176:HR$201,"&gt;"&amp;HR175,HS176:HS$201,"&gt;"&amp;HS175),"")</f>
        <v/>
      </c>
      <c r="HU175" s="104" t="str">
        <f>IF(AND(Include_study?="Yes",Sufficient_data="Yes"),COUNTIFS(HR$2:HR174,"&lt;"&amp;HR175,HS$2:HS174,"&gt;"&amp;HS175)+COUNTIFS(HR176:HR$201,"&lt;"&amp;HR175,HS176:HS$201,"&gt;"&amp;HS175)+COUNTIFS(HR$2:HR174,"&gt;"&amp;HR175,HS$2:HS174,"&lt;"&amp;HS175)+COUNTIFS(HR176:HR$201,"&gt;"&amp;HR175,HS176:HS$201,"&lt;"&amp;HS175),"")</f>
        <v/>
      </c>
      <c r="HW175" s="176"/>
      <c r="IB175" s="176"/>
      <c r="IC175" s="146" t="e">
        <f t="shared" si="613"/>
        <v>#N/A</v>
      </c>
      <c r="ID175" s="137" t="e">
        <f t="shared" si="614"/>
        <v>#N/A</v>
      </c>
      <c r="IE175" s="137" t="str">
        <f t="shared" si="615"/>
        <v/>
      </c>
      <c r="IF175" s="95" t="str">
        <f t="shared" si="616"/>
        <v/>
      </c>
      <c r="IK175" s="176"/>
      <c r="IL175" s="69" t="e">
        <f>IF(AND(Include_study?="Yes",Sufficient_data="Yes"),'Publication Bias Analysis'!AV:AV,NA())</f>
        <v>#N/A</v>
      </c>
      <c r="IM175" s="158" t="e">
        <f>IF(AND(Sufficient_data="Yes",Include_study?="Yes"),'Publication Bias Analysis'!AU:AU,NA())</f>
        <v>#N/A</v>
      </c>
      <c r="IN175" s="69" t="str">
        <f t="shared" si="617"/>
        <v/>
      </c>
      <c r="IO175" s="74" t="str">
        <f>IF(AND(Include_study?="Yes",Sufficient_data="Yes"),Z_score-('Publication Bias Analysis'!AY$30+'Publication Bias Analysis'!AY$31*Inverse_standard_error),"")</f>
        <v/>
      </c>
      <c r="IU175" s="176"/>
      <c r="IV175" s="7" t="str">
        <f>IF('Publication Bias Analysis'!BG:BG&lt;&gt;"",RANK('Publication Bias Analysis'!BG:BG,'Publication Bias Analysis'!BG:BG,1)+COUNTIF('Publication Bias Analysis'!BG$2:BG174,'Publication Bias Analysis'!BG175),"")</f>
        <v/>
      </c>
      <c r="IW175" s="124" t="str">
        <f t="shared" si="618"/>
        <v/>
      </c>
      <c r="IX175" s="125" t="e">
        <f>IF('Publication Bias Analysis'!BF175&lt;&gt;"",'Publication Bias Analysis'!BF175,NA())</f>
        <v>#N/A</v>
      </c>
      <c r="IY175" s="125" t="e">
        <f>IF('Publication Bias Analysis'!BG175&lt;&gt;"",'Publication Bias Analysis'!BG175,NA())</f>
        <v>#N/A</v>
      </c>
      <c r="IZ175" s="69" t="str">
        <f>IF(AND(Include_study?="Yes",Sufficient_data="Yes"),'Publication Bias Analysis'!BF:BF-AVERAGE('Publication Bias Analysis'!BF:BF),"")</f>
        <v/>
      </c>
      <c r="JA175" s="74" t="str">
        <f>IF(AND(Include_study?="Yes",Sufficient_data="Yes"),'Publication Bias Analysis'!BG:BG-('Publication Bias Analysis'!BJ$30+'Publication Bias Analysis'!BJ$31*'Publication Bias Analysis'!BF:BF),"")</f>
        <v/>
      </c>
      <c r="JG175" s="176"/>
      <c r="JH175" s="39" t="str">
        <f t="shared" si="619"/>
        <v/>
      </c>
      <c r="JI175" s="148" t="str">
        <f t="shared" si="531"/>
        <v/>
      </c>
      <c r="JJ175" s="74" t="str">
        <f t="shared" si="532"/>
        <v/>
      </c>
    </row>
    <row r="176" spans="1:270" x14ac:dyDescent="0.2">
      <c r="A176" s="56" t="str">
        <f t="shared" si="533"/>
        <v/>
      </c>
      <c r="B176" s="7" t="str">
        <f>IF(AND(Include_study?="Yes",Sufficient_data="Yes"),IF(Input!a_&lt;&gt;"",Input!a_,Input!n1_-Input!b_),"")</f>
        <v/>
      </c>
      <c r="C176" s="7" t="str">
        <f>IF(AND(Include_study?="Yes",Sufficient_data="Yes"),IF(Input!b_&lt;&gt;"",Input!b_,Input!n1_-Input!a_),"")</f>
        <v/>
      </c>
      <c r="D176" s="7" t="str">
        <f>IF(AND(Include_study?="Yes",Sufficient_data="Yes"),IF(Input!c_&lt;&gt;"",Input!c_,Input!n2_-Input!d_),"")</f>
        <v/>
      </c>
      <c r="E176" s="7" t="str">
        <f>IF(AND(Include_study?="Yes",Sufficient_data="Yes"),IF(Input!d_&lt;&gt;"",Input!d_,Input!n2_-Input!c_),"")</f>
        <v/>
      </c>
      <c r="F176" s="74" t="str">
        <f t="shared" si="534"/>
        <v/>
      </c>
      <c r="H176" s="196"/>
      <c r="I176" s="182"/>
      <c r="J176" s="146" t="str">
        <f t="shared" si="444"/>
        <v/>
      </c>
      <c r="K176" s="39" t="str">
        <f t="shared" si="535"/>
        <v/>
      </c>
      <c r="L176" s="39" t="str">
        <f t="shared" si="536"/>
        <v/>
      </c>
      <c r="M176" s="39" t="str">
        <f t="shared" si="537"/>
        <v/>
      </c>
      <c r="N176" s="74" t="str">
        <f t="shared" si="538"/>
        <v/>
      </c>
      <c r="P176" s="176"/>
      <c r="Q176" s="130" t="str">
        <f t="shared" si="539"/>
        <v/>
      </c>
      <c r="R176" s="39" t="str">
        <f t="shared" si="540"/>
        <v/>
      </c>
      <c r="S176" s="39" t="str">
        <f t="shared" si="541"/>
        <v/>
      </c>
      <c r="T176" s="74" t="str">
        <f t="shared" si="542"/>
        <v/>
      </c>
      <c r="V176" s="176"/>
      <c r="W176" s="130" t="str">
        <f t="shared" si="543"/>
        <v/>
      </c>
      <c r="X176" s="39" t="str">
        <f t="shared" si="544"/>
        <v/>
      </c>
      <c r="Y176" s="39" t="str">
        <f t="shared" si="545"/>
        <v/>
      </c>
      <c r="Z176" s="74" t="str">
        <f t="shared" si="546"/>
        <v/>
      </c>
      <c r="AB176" s="176"/>
      <c r="AC176" s="130" t="str">
        <f t="shared" si="547"/>
        <v/>
      </c>
      <c r="AD176" s="39" t="str">
        <f t="shared" si="548"/>
        <v/>
      </c>
      <c r="AE176" s="39" t="str">
        <f t="shared" si="549"/>
        <v/>
      </c>
      <c r="AF176" s="39" t="str">
        <f t="shared" si="550"/>
        <v/>
      </c>
      <c r="AG176" s="74" t="str">
        <f t="shared" si="551"/>
        <v/>
      </c>
      <c r="AI176" s="196"/>
      <c r="AJ17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6" s="136" t="str">
        <f>IF(AJ176&lt;&gt;"",IF(AJ176=0,COUNTIF(AJ$2:AJ175,0)+1,COUNTIF(AJ$2:AJ175,AJ176)+AJ176+COUNTIF(AJ:AJ,0)),"")</f>
        <v/>
      </c>
      <c r="AL176" s="136" t="str">
        <f t="shared" si="462"/>
        <v/>
      </c>
      <c r="AM176" s="155" t="str">
        <f>IF(AND(Include_study?="Yes",Sufficient_data="Yes",Input!Study_name&lt;&gt;""),Input!Study_name,"")</f>
        <v/>
      </c>
      <c r="AN176" s="136" t="str">
        <f t="shared" si="463"/>
        <v/>
      </c>
      <c r="AO176" s="19" t="str">
        <f t="shared" si="552"/>
        <v/>
      </c>
      <c r="AP176" s="158" t="str">
        <f t="shared" si="553"/>
        <v/>
      </c>
      <c r="AQ176" s="158" t="str">
        <f t="shared" si="554"/>
        <v/>
      </c>
      <c r="AR176" s="39" t="str">
        <f t="shared" si="555"/>
        <v/>
      </c>
      <c r="AS176" s="158" t="str">
        <f t="shared" si="556"/>
        <v/>
      </c>
      <c r="AT176" s="39" t="str">
        <f t="shared" si="557"/>
        <v/>
      </c>
      <c r="AU176" s="172" t="str">
        <f t="shared" si="558"/>
        <v/>
      </c>
      <c r="AV176" s="45"/>
      <c r="AW176" s="84" t="e">
        <f t="shared" si="559"/>
        <v>#N/A</v>
      </c>
      <c r="AX176" s="69" t="e">
        <f t="shared" si="560"/>
        <v>#N/A</v>
      </c>
      <c r="AY176" s="74" t="e">
        <f t="shared" si="561"/>
        <v>#N/A</v>
      </c>
      <c r="AZ176" s="45"/>
      <c r="BA176" s="45"/>
      <c r="BB176" s="45"/>
      <c r="BC176" s="45"/>
      <c r="BD176" s="196"/>
      <c r="BE176" s="182"/>
      <c r="BF176" s="69" t="str">
        <f t="shared" si="562"/>
        <v/>
      </c>
      <c r="BG176" s="69" t="str">
        <f t="shared" si="563"/>
        <v/>
      </c>
      <c r="BH176" s="69" t="str">
        <f t="shared" si="564"/>
        <v/>
      </c>
      <c r="BI176" s="39" t="str">
        <f t="shared" si="565"/>
        <v/>
      </c>
      <c r="BJ176" s="95" t="str">
        <f t="shared" si="566"/>
        <v/>
      </c>
      <c r="BO176" s="176"/>
      <c r="BP176" s="158" t="str">
        <f t="shared" si="567"/>
        <v/>
      </c>
      <c r="BQ176" s="158" t="str">
        <f t="shared" si="568"/>
        <v/>
      </c>
      <c r="BR176" s="158" t="str">
        <f t="shared" si="569"/>
        <v/>
      </c>
      <c r="BS176" s="158" t="str">
        <f>IF(AND(Sufficient_data="Yes",Include_study?="Yes"),IF(Add_0_5="Yes",(a_+d_+1)*(ab_+0.5)*(c_+0.5)/(Number_of_subjects+2)^2,(a_+d_)*b_*c_/Number_of_subjects^2),"")</f>
        <v/>
      </c>
      <c r="BT176" s="158" t="str">
        <f t="shared" si="570"/>
        <v/>
      </c>
      <c r="BU176" s="158" t="str">
        <f t="shared" si="571"/>
        <v/>
      </c>
      <c r="BV176" s="158" t="str">
        <f t="shared" si="572"/>
        <v/>
      </c>
      <c r="BW176" s="69" t="str">
        <f t="shared" si="573"/>
        <v/>
      </c>
      <c r="BX176" s="137" t="str">
        <f t="shared" si="574"/>
        <v/>
      </c>
      <c r="BY176" s="95" t="str">
        <f t="shared" si="575"/>
        <v/>
      </c>
      <c r="CD176" s="176"/>
      <c r="CE176" s="130" t="str">
        <f t="shared" si="576"/>
        <v/>
      </c>
      <c r="CF176" s="39" t="str">
        <f t="shared" si="577"/>
        <v/>
      </c>
      <c r="CG176" s="39" t="str">
        <f t="shared" si="578"/>
        <v/>
      </c>
      <c r="CH176" s="39" t="str">
        <f t="shared" si="579"/>
        <v/>
      </c>
      <c r="CI176" s="39" t="str">
        <f t="shared" si="580"/>
        <v/>
      </c>
      <c r="CJ176" s="39" t="str">
        <f t="shared" si="486"/>
        <v/>
      </c>
      <c r="CK176" s="95" t="str">
        <f t="shared" si="581"/>
        <v/>
      </c>
      <c r="CP176" s="176"/>
      <c r="CQ176" s="99" t="str">
        <f t="shared" si="582"/>
        <v/>
      </c>
      <c r="CX176" s="196"/>
      <c r="CY176" s="89" t="e">
        <f t="shared" si="583"/>
        <v>#N/A</v>
      </c>
      <c r="CZ176" s="136" t="str">
        <f t="shared" si="584"/>
        <v/>
      </c>
      <c r="DA176" s="140" t="str">
        <f t="shared" si="585"/>
        <v/>
      </c>
      <c r="DB176" s="39" t="str">
        <f t="shared" si="586"/>
        <v/>
      </c>
      <c r="DC176" s="39" t="str">
        <f t="shared" si="587"/>
        <v/>
      </c>
      <c r="DD176" s="39" t="str">
        <f t="shared" si="588"/>
        <v/>
      </c>
      <c r="DE176" s="39" t="str">
        <f t="shared" si="589"/>
        <v/>
      </c>
      <c r="DF176" s="141" t="str">
        <f t="shared" si="590"/>
        <v/>
      </c>
      <c r="DG176" s="39" t="str">
        <f t="shared" si="591"/>
        <v/>
      </c>
      <c r="DH176" s="39" t="str">
        <f t="shared" si="592"/>
        <v/>
      </c>
      <c r="DI176" s="39" t="str">
        <f t="shared" si="593"/>
        <v/>
      </c>
      <c r="DJ176" s="74" t="str">
        <f t="shared" si="594"/>
        <v/>
      </c>
      <c r="DK176" s="45"/>
      <c r="DL176" s="84" t="e">
        <f t="shared" si="423"/>
        <v>#N/A</v>
      </c>
      <c r="DM176" s="39" t="e">
        <f t="shared" si="595"/>
        <v>#N/A</v>
      </c>
      <c r="DN176" s="74" t="e">
        <f t="shared" si="596"/>
        <v>#N/A</v>
      </c>
      <c r="DO176" s="45"/>
      <c r="DP176" s="89" t="str">
        <f t="shared" si="525"/>
        <v/>
      </c>
      <c r="DQ176" s="26" t="str">
        <f>IF(AND(Sufficient_data="Yes",Subgroup&lt;&gt;""),IF(COUNTIFS(Input!J$2:J175,"="&amp;"Yes",Input!C$2:C175,"="&amp;"Yes",Input!K$2:K175,"="&amp;Subgroup)&gt;0,"",Subgroup),"")</f>
        <v/>
      </c>
      <c r="DR176" s="7" t="str">
        <f t="shared" si="526"/>
        <v/>
      </c>
      <c r="DS176" s="7" t="str">
        <f t="shared" si="597"/>
        <v/>
      </c>
      <c r="DT176" s="19" t="str">
        <f t="shared" si="598"/>
        <v/>
      </c>
      <c r="DU176" s="12" t="str">
        <f t="shared" si="424"/>
        <v/>
      </c>
      <c r="DV176" s="11" t="str">
        <f t="shared" si="425"/>
        <v/>
      </c>
      <c r="DW176" s="12" t="str">
        <f t="shared" si="426"/>
        <v/>
      </c>
      <c r="DX176" s="12" t="str">
        <f t="shared" si="599"/>
        <v/>
      </c>
      <c r="DY176" s="19" t="str">
        <f t="shared" si="427"/>
        <v/>
      </c>
      <c r="DZ176" s="12" t="str">
        <f t="shared" si="428"/>
        <v/>
      </c>
      <c r="EA176" s="19" t="str">
        <f t="shared" si="600"/>
        <v/>
      </c>
      <c r="EB176" s="7" t="str">
        <f t="shared" si="601"/>
        <v/>
      </c>
      <c r="EC176" s="19" t="str">
        <f t="shared" si="602"/>
        <v/>
      </c>
      <c r="ED176" s="19" t="str">
        <f t="shared" si="603"/>
        <v/>
      </c>
      <c r="EE176" s="19" t="str">
        <f t="shared" si="429"/>
        <v/>
      </c>
      <c r="EF176" s="19" t="str">
        <f t="shared" si="430"/>
        <v/>
      </c>
      <c r="EG176" s="19" t="str">
        <f t="shared" si="431"/>
        <v/>
      </c>
      <c r="EH176" s="19" t="str">
        <f t="shared" si="432"/>
        <v/>
      </c>
      <c r="EI176" s="19" t="str">
        <f t="shared" si="433"/>
        <v/>
      </c>
      <c r="EJ176" s="19" t="str">
        <f t="shared" si="604"/>
        <v/>
      </c>
      <c r="EK176" s="19" t="str">
        <f t="shared" si="605"/>
        <v/>
      </c>
      <c r="EL176" s="19" t="str">
        <f t="shared" si="434"/>
        <v/>
      </c>
      <c r="EM176" s="19" t="str">
        <f t="shared" si="435"/>
        <v/>
      </c>
      <c r="EN176" s="19" t="str">
        <f t="shared" si="436"/>
        <v/>
      </c>
      <c r="EO176" s="19" t="str">
        <f t="shared" si="437"/>
        <v/>
      </c>
      <c r="EP176" s="19" t="str">
        <f t="shared" si="438"/>
        <v/>
      </c>
      <c r="EQ176" s="19" t="e">
        <f t="shared" si="439"/>
        <v>#N/A</v>
      </c>
      <c r="ER176" s="11" t="str">
        <f t="shared" si="527"/>
        <v/>
      </c>
      <c r="ES176" s="19" t="str">
        <f t="shared" si="528"/>
        <v/>
      </c>
      <c r="ET176" s="156" t="str">
        <f t="shared" si="606"/>
        <v/>
      </c>
      <c r="EU176" s="39" t="str">
        <f t="shared" si="440"/>
        <v/>
      </c>
      <c r="EV176" s="74" t="str">
        <f t="shared" si="607"/>
        <v/>
      </c>
      <c r="FA176" s="196"/>
      <c r="FB176" s="84" t="e">
        <f>IF(AND(Include_study?="Yes",Sufficient_data="Yes",Moderator&lt;&gt;""),'Moderator Analysis'!E176,NA())</f>
        <v>#N/A</v>
      </c>
      <c r="FC176" s="39" t="e">
        <f>IF(AND(Include_study?="Yes",Sufficient_data="Yes",Moderator&lt;&gt;""),'Moderator Analysis'!F176,NA())</f>
        <v>#N/A</v>
      </c>
      <c r="FD176" s="39" t="str">
        <f t="shared" si="608"/>
        <v/>
      </c>
      <c r="FE176" s="39" t="str">
        <f t="shared" si="609"/>
        <v/>
      </c>
      <c r="FF176" s="39" t="str">
        <f>IF(AND(Include_study?="Yes",Sufficient_data="Yes",Moderator&lt;&gt;""),'Moderator Analysis'!F:F-FP$2,"")</f>
        <v/>
      </c>
      <c r="FG176" s="39" t="str">
        <f>IF(AND(Include_study?="Yes",Sufficient_data="Yes",Moderator&lt;&gt;""),'Moderator Analysis'!E:E-FP$3,"")</f>
        <v/>
      </c>
      <c r="FH176" s="74" t="str">
        <f>IF(AND(Include_study?="Yes",Sufficient_data="Yes",Moderator&lt;&gt;""),FE:FE*('Moderator Analysis'!F:F-FP$5-FP$4*'Moderator Analysis'!E:E)^2,"")</f>
        <v/>
      </c>
      <c r="FI176" s="128"/>
      <c r="FJ176" s="92" t="str">
        <f t="shared" si="610"/>
        <v/>
      </c>
      <c r="FK176" s="137" t="str">
        <f>IF(AND(Include_study?="Yes",Sufficient_data="Yes",Moderator&lt;&gt;""),'Moderator Analysis'!F:F-'Moderator Analysis'!J$37,"")</f>
        <v/>
      </c>
      <c r="FL176" s="137" t="str">
        <f>IF(AND(Include_study?="Yes",Sufficient_data="Yes",Moderator&lt;&gt;""),'Moderator Analysis'!E:E-SUMPRODUCT('Moderator Analysis'!E:E,FJ:FJ)/SUM(FJ:FJ),"")</f>
        <v/>
      </c>
      <c r="FM176" s="95" t="str">
        <f>IF(AND(Include_study?="Yes",Sufficient_data="Yes",Moderator&lt;&gt;""),FJ:FJ*('Moderator Analysis'!F:F-'Moderator Analysis'!J$29-'Moderator Analysis'!J$30*'Moderator Analysis'!E:E)^2,"")</f>
        <v/>
      </c>
      <c r="FR176" s="196"/>
      <c r="FS176" s="182"/>
      <c r="FT17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6" s="39" t="str">
        <f>IF(AND(Include_study?="Yes",Sufficient_data="Yes"),1/('Publication Bias Analysis'!F:F^2+IF(Additional_model="Fixed effect",0,Calculations!GH$12)),"")</f>
        <v/>
      </c>
      <c r="FV176" s="39" t="str">
        <f>IF(AND(Include_study?="Yes",Sufficient_data="Yes"),1/('Publication Bias Analysis'!F:F^2+IF(Additional_model="Fixed effect",0,'Publication Bias Analysis'!L$32)),"")</f>
        <v/>
      </c>
      <c r="FW176" s="39" t="str">
        <f>IF(AND(Include_study?="Yes",Sufficient_data="Yes"),'Publication Bias Analysis'!E:E-'Publication Bias Analysis'!I$37,"")</f>
        <v/>
      </c>
      <c r="FX176" s="39" t="str">
        <f>IF(AND(Include_study?="Yes",Sufficient_data="Yes"),IF(Additional_model="Fixed effect",1/'Publication Bias Analysis'!F:F,1/SQRT('Publication Bias Analysis'!F:F^2+GH$12)),"")</f>
        <v/>
      </c>
      <c r="FY17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6" s="136" t="str">
        <f t="shared" si="611"/>
        <v/>
      </c>
      <c r="GA176" s="144" t="str">
        <f>IF(AND(Include_study?="Yes",Sufficient_data="Yes"),FZ:FZ+IF(GL:GL&lt;0,-1,1)*COUNTIF(FZ$2:FZ175,FZ:FZ),"")</f>
        <v/>
      </c>
      <c r="GB176" s="144" t="str">
        <f>IF(AND(Include_study?="Yes",Sufficient_data="Yes"),RANK(GP:GP,GP:GP,1)*IF(GO:GO&lt;0,-1,1)+IF(GO:GO&lt;0,-1,1)*COUNTIF(FZ$2:FZ175,FZ:FZ),"")</f>
        <v/>
      </c>
      <c r="GC176" s="144" t="str">
        <f>IF(AND(Include_study?="Yes",Sufficient_data="Yes"),RANK(GS:GS,GS:GS,1)*IF(GR:GR&lt;0,-1,1)+IF(GR:GR&lt;0,-1,1)*COUNTIF(FZ$2:FZ175,FZ:FZ),"")</f>
        <v/>
      </c>
      <c r="GD176" s="39" t="e">
        <f>IF(AND(Include_study?="Yes",Sufficient_data="Yes"),'Publication Bias Analysis'!E176,NA())</f>
        <v>#N/A</v>
      </c>
      <c r="GE176" s="74" t="e">
        <f>IF(AND(Include_study?="Yes",Sufficient_data="Yes"),'Publication Bias Analysis'!F176,NA())</f>
        <v>#N/A</v>
      </c>
      <c r="GK176" s="176"/>
      <c r="GL17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6" s="39" t="str">
        <f t="shared" si="612"/>
        <v/>
      </c>
      <c r="GN17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6" s="39" t="str">
        <f>IF(AND(Include_study?="Yes",Sufficient_data="Yes"),IF('Publication Bias Analysis'!L$38="Left",'Publication Bias Analysis'!E:E-GW$3,GW$3-'Publication Bias Analysis'!E:E),"")</f>
        <v/>
      </c>
      <c r="GP176" s="39" t="str">
        <f t="shared" si="529"/>
        <v/>
      </c>
      <c r="GQ17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6" s="39" t="str">
        <f>IF(AND(Include_study?="Yes",Sufficient_data="Yes"),IF('Publication Bias Analysis'!L$38="Left",'Publication Bias Analysis'!E:E-GW$10,GW$10-'Publication Bias Analysis'!E:E),"")</f>
        <v/>
      </c>
      <c r="GS176" s="39" t="str">
        <f t="shared" si="530"/>
        <v/>
      </c>
      <c r="GT17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6" s="176"/>
      <c r="HL176" s="69" t="str">
        <f t="shared" si="518"/>
        <v/>
      </c>
      <c r="HM176" s="74" t="str">
        <f>IF(AND(Include_study?="Yes",Sufficient_data="Yes"),Z_score-('Publication Bias Analysis'!P$3+'Publication Bias Analysis'!P$4*Inverse_standard_error),"")</f>
        <v/>
      </c>
      <c r="HO176" s="176"/>
      <c r="HP176" s="69" t="str">
        <f>IF(AND(Include_study?="Yes",Sufficient_data="Yes"),(GD:GD-SUMPRODUCT(Calculations!FT:FT,'Publication Bias Analysis'!E:E)/SUM(Calculations!FT:FT))/SQRT(Calculations!HQ:HQ),"")</f>
        <v/>
      </c>
      <c r="HQ176" s="69" t="str">
        <f>IF(AND(Include_study?="Yes",Sufficient_data="Yes"),GE:GE^2-1/SUM(Calculations!FT:FT),"")</f>
        <v/>
      </c>
      <c r="HR176" s="7" t="str">
        <f t="shared" si="441"/>
        <v/>
      </c>
      <c r="HS176" s="7" t="str">
        <f t="shared" si="442"/>
        <v/>
      </c>
      <c r="HT176" s="7" t="str">
        <f>IF(AND(Include_study?="Yes",Sufficient_data="Yes"),COUNTIFS(HR$2:HR175,"&lt;"&amp;HR176,HS$2:HS175,"&lt;"&amp;HS176)+COUNTIFS(HR177:HR$201,"&lt;"&amp;HR176,HS177:HS$201,"&lt;"&amp;HS176)+COUNTIFS(HR$2:HR175,"&gt;"&amp;HR176,HS$2:HS175,"&gt;"&amp;HS176)+COUNTIFS(HR177:HR$201,"&gt;"&amp;HR176,HS177:HS$201,"&gt;"&amp;HS176),"")</f>
        <v/>
      </c>
      <c r="HU176" s="104" t="str">
        <f>IF(AND(Include_study?="Yes",Sufficient_data="Yes"),COUNTIFS(HR$2:HR175,"&lt;"&amp;HR176,HS$2:HS175,"&gt;"&amp;HS176)+COUNTIFS(HR177:HR$201,"&lt;"&amp;HR176,HS177:HS$201,"&gt;"&amp;HS176)+COUNTIFS(HR$2:HR175,"&gt;"&amp;HR176,HS$2:HS175,"&lt;"&amp;HS176)+COUNTIFS(HR177:HR$201,"&gt;"&amp;HR176,HS177:HS$201,"&lt;"&amp;HS176),"")</f>
        <v/>
      </c>
      <c r="HW176" s="176"/>
      <c r="IB176" s="176"/>
      <c r="IC176" s="146" t="e">
        <f t="shared" si="613"/>
        <v>#N/A</v>
      </c>
      <c r="ID176" s="137" t="e">
        <f t="shared" si="614"/>
        <v>#N/A</v>
      </c>
      <c r="IE176" s="137" t="str">
        <f t="shared" si="615"/>
        <v/>
      </c>
      <c r="IF176" s="95" t="str">
        <f t="shared" si="616"/>
        <v/>
      </c>
      <c r="IK176" s="176"/>
      <c r="IL176" s="69" t="e">
        <f>IF(AND(Include_study?="Yes",Sufficient_data="Yes"),'Publication Bias Analysis'!AV:AV,NA())</f>
        <v>#N/A</v>
      </c>
      <c r="IM176" s="158" t="e">
        <f>IF(AND(Sufficient_data="Yes",Include_study?="Yes"),'Publication Bias Analysis'!AU:AU,NA())</f>
        <v>#N/A</v>
      </c>
      <c r="IN176" s="69" t="str">
        <f t="shared" si="617"/>
        <v/>
      </c>
      <c r="IO176" s="74" t="str">
        <f>IF(AND(Include_study?="Yes",Sufficient_data="Yes"),Z_score-('Publication Bias Analysis'!AY$30+'Publication Bias Analysis'!AY$31*Inverse_standard_error),"")</f>
        <v/>
      </c>
      <c r="IU176" s="176"/>
      <c r="IV176" s="7" t="str">
        <f>IF('Publication Bias Analysis'!BG:BG&lt;&gt;"",RANK('Publication Bias Analysis'!BG:BG,'Publication Bias Analysis'!BG:BG,1)+COUNTIF('Publication Bias Analysis'!BG$2:BG175,'Publication Bias Analysis'!BG176),"")</f>
        <v/>
      </c>
      <c r="IW176" s="124" t="str">
        <f t="shared" si="618"/>
        <v/>
      </c>
      <c r="IX176" s="125" t="e">
        <f>IF('Publication Bias Analysis'!BF176&lt;&gt;"",'Publication Bias Analysis'!BF176,NA())</f>
        <v>#N/A</v>
      </c>
      <c r="IY176" s="125" t="e">
        <f>IF('Publication Bias Analysis'!BG176&lt;&gt;"",'Publication Bias Analysis'!BG176,NA())</f>
        <v>#N/A</v>
      </c>
      <c r="IZ176" s="69" t="str">
        <f>IF(AND(Include_study?="Yes",Sufficient_data="Yes"),'Publication Bias Analysis'!BF:BF-AVERAGE('Publication Bias Analysis'!BF:BF),"")</f>
        <v/>
      </c>
      <c r="JA176" s="74" t="str">
        <f>IF(AND(Include_study?="Yes",Sufficient_data="Yes"),'Publication Bias Analysis'!BG:BG-('Publication Bias Analysis'!BJ$30+'Publication Bias Analysis'!BJ$31*'Publication Bias Analysis'!BF:BF),"")</f>
        <v/>
      </c>
      <c r="JG176" s="176"/>
      <c r="JH176" s="39" t="str">
        <f t="shared" si="619"/>
        <v/>
      </c>
      <c r="JI176" s="148" t="str">
        <f t="shared" si="531"/>
        <v/>
      </c>
      <c r="JJ176" s="74" t="str">
        <f t="shared" si="532"/>
        <v/>
      </c>
    </row>
    <row r="177" spans="1:270" x14ac:dyDescent="0.2">
      <c r="A177" s="56" t="str">
        <f t="shared" si="533"/>
        <v/>
      </c>
      <c r="B177" s="7" t="str">
        <f>IF(AND(Include_study?="Yes",Sufficient_data="Yes"),IF(Input!a_&lt;&gt;"",Input!a_,Input!n1_-Input!b_),"")</f>
        <v/>
      </c>
      <c r="C177" s="7" t="str">
        <f>IF(AND(Include_study?="Yes",Sufficient_data="Yes"),IF(Input!b_&lt;&gt;"",Input!b_,Input!n1_-Input!a_),"")</f>
        <v/>
      </c>
      <c r="D177" s="7" t="str">
        <f>IF(AND(Include_study?="Yes",Sufficient_data="Yes"),IF(Input!c_&lt;&gt;"",Input!c_,Input!n2_-Input!d_),"")</f>
        <v/>
      </c>
      <c r="E177" s="7" t="str">
        <f>IF(AND(Include_study?="Yes",Sufficient_data="Yes"),IF(Input!d_&lt;&gt;"",Input!d_,Input!n2_-Input!c_),"")</f>
        <v/>
      </c>
      <c r="F177" s="74" t="str">
        <f t="shared" si="534"/>
        <v/>
      </c>
      <c r="H177" s="196"/>
      <c r="I177" s="182"/>
      <c r="J177" s="146" t="str">
        <f t="shared" si="444"/>
        <v/>
      </c>
      <c r="K177" s="39" t="str">
        <f t="shared" si="535"/>
        <v/>
      </c>
      <c r="L177" s="39" t="str">
        <f t="shared" si="536"/>
        <v/>
      </c>
      <c r="M177" s="39" t="str">
        <f t="shared" si="537"/>
        <v/>
      </c>
      <c r="N177" s="74" t="str">
        <f t="shared" si="538"/>
        <v/>
      </c>
      <c r="P177" s="176"/>
      <c r="Q177" s="130" t="str">
        <f t="shared" si="539"/>
        <v/>
      </c>
      <c r="R177" s="39" t="str">
        <f t="shared" si="540"/>
        <v/>
      </c>
      <c r="S177" s="39" t="str">
        <f t="shared" si="541"/>
        <v/>
      </c>
      <c r="T177" s="74" t="str">
        <f t="shared" si="542"/>
        <v/>
      </c>
      <c r="V177" s="176"/>
      <c r="W177" s="130" t="str">
        <f t="shared" si="543"/>
        <v/>
      </c>
      <c r="X177" s="39" t="str">
        <f t="shared" si="544"/>
        <v/>
      </c>
      <c r="Y177" s="39" t="str">
        <f t="shared" si="545"/>
        <v/>
      </c>
      <c r="Z177" s="74" t="str">
        <f t="shared" si="546"/>
        <v/>
      </c>
      <c r="AB177" s="176"/>
      <c r="AC177" s="130" t="str">
        <f t="shared" si="547"/>
        <v/>
      </c>
      <c r="AD177" s="39" t="str">
        <f t="shared" si="548"/>
        <v/>
      </c>
      <c r="AE177" s="39" t="str">
        <f t="shared" si="549"/>
        <v/>
      </c>
      <c r="AF177" s="39" t="str">
        <f t="shared" si="550"/>
        <v/>
      </c>
      <c r="AG177" s="74" t="str">
        <f t="shared" si="551"/>
        <v/>
      </c>
      <c r="AI177" s="196"/>
      <c r="AJ17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7" s="136" t="str">
        <f>IF(AJ177&lt;&gt;"",IF(AJ177=0,COUNTIF(AJ$2:AJ176,0)+1,COUNTIF(AJ$2:AJ176,AJ177)+AJ177+COUNTIF(AJ:AJ,0)),"")</f>
        <v/>
      </c>
      <c r="AL177" s="136" t="str">
        <f t="shared" si="462"/>
        <v/>
      </c>
      <c r="AM177" s="155" t="str">
        <f>IF(AND(Include_study?="Yes",Sufficient_data="Yes",Input!Study_name&lt;&gt;""),Input!Study_name,"")</f>
        <v/>
      </c>
      <c r="AN177" s="136" t="str">
        <f t="shared" si="463"/>
        <v/>
      </c>
      <c r="AO177" s="19" t="str">
        <f t="shared" si="552"/>
        <v/>
      </c>
      <c r="AP177" s="158" t="str">
        <f t="shared" si="553"/>
        <v/>
      </c>
      <c r="AQ177" s="158" t="str">
        <f t="shared" si="554"/>
        <v/>
      </c>
      <c r="AR177" s="39" t="str">
        <f t="shared" si="555"/>
        <v/>
      </c>
      <c r="AS177" s="158" t="str">
        <f t="shared" si="556"/>
        <v/>
      </c>
      <c r="AT177" s="39" t="str">
        <f t="shared" si="557"/>
        <v/>
      </c>
      <c r="AU177" s="172" t="str">
        <f t="shared" si="558"/>
        <v/>
      </c>
      <c r="AV177" s="45"/>
      <c r="AW177" s="84" t="e">
        <f t="shared" si="559"/>
        <v>#N/A</v>
      </c>
      <c r="AX177" s="69" t="e">
        <f t="shared" si="560"/>
        <v>#N/A</v>
      </c>
      <c r="AY177" s="74" t="e">
        <f t="shared" si="561"/>
        <v>#N/A</v>
      </c>
      <c r="AZ177" s="45"/>
      <c r="BA177" s="45"/>
      <c r="BB177" s="45"/>
      <c r="BC177" s="45"/>
      <c r="BD177" s="196"/>
      <c r="BE177" s="182"/>
      <c r="BF177" s="69" t="str">
        <f t="shared" si="562"/>
        <v/>
      </c>
      <c r="BG177" s="69" t="str">
        <f t="shared" si="563"/>
        <v/>
      </c>
      <c r="BH177" s="69" t="str">
        <f t="shared" si="564"/>
        <v/>
      </c>
      <c r="BI177" s="39" t="str">
        <f t="shared" si="565"/>
        <v/>
      </c>
      <c r="BJ177" s="95" t="str">
        <f t="shared" si="566"/>
        <v/>
      </c>
      <c r="BO177" s="176"/>
      <c r="BP177" s="158" t="str">
        <f t="shared" si="567"/>
        <v/>
      </c>
      <c r="BQ177" s="158" t="str">
        <f t="shared" si="568"/>
        <v/>
      </c>
      <c r="BR177" s="158" t="str">
        <f t="shared" si="569"/>
        <v/>
      </c>
      <c r="BS177" s="158" t="str">
        <f>IF(AND(Sufficient_data="Yes",Include_study?="Yes"),IF(Add_0_5="Yes",(a_+d_+1)*(ab_+0.5)*(c_+0.5)/(Number_of_subjects+2)^2,(a_+d_)*b_*c_/Number_of_subjects^2),"")</f>
        <v/>
      </c>
      <c r="BT177" s="158" t="str">
        <f t="shared" si="570"/>
        <v/>
      </c>
      <c r="BU177" s="158" t="str">
        <f t="shared" si="571"/>
        <v/>
      </c>
      <c r="BV177" s="158" t="str">
        <f t="shared" si="572"/>
        <v/>
      </c>
      <c r="BW177" s="69" t="str">
        <f t="shared" si="573"/>
        <v/>
      </c>
      <c r="BX177" s="137" t="str">
        <f t="shared" si="574"/>
        <v/>
      </c>
      <c r="BY177" s="95" t="str">
        <f t="shared" si="575"/>
        <v/>
      </c>
      <c r="CD177" s="176"/>
      <c r="CE177" s="130" t="str">
        <f t="shared" si="576"/>
        <v/>
      </c>
      <c r="CF177" s="39" t="str">
        <f t="shared" si="577"/>
        <v/>
      </c>
      <c r="CG177" s="39" t="str">
        <f t="shared" si="578"/>
        <v/>
      </c>
      <c r="CH177" s="39" t="str">
        <f t="shared" si="579"/>
        <v/>
      </c>
      <c r="CI177" s="39" t="str">
        <f t="shared" si="580"/>
        <v/>
      </c>
      <c r="CJ177" s="39" t="str">
        <f t="shared" si="486"/>
        <v/>
      </c>
      <c r="CK177" s="95" t="str">
        <f t="shared" si="581"/>
        <v/>
      </c>
      <c r="CP177" s="176"/>
      <c r="CQ177" s="99" t="str">
        <f t="shared" si="582"/>
        <v/>
      </c>
      <c r="CX177" s="196"/>
      <c r="CY177" s="89" t="e">
        <f t="shared" si="583"/>
        <v>#N/A</v>
      </c>
      <c r="CZ177" s="136" t="str">
        <f t="shared" si="584"/>
        <v/>
      </c>
      <c r="DA177" s="140" t="str">
        <f t="shared" si="585"/>
        <v/>
      </c>
      <c r="DB177" s="39" t="str">
        <f t="shared" si="586"/>
        <v/>
      </c>
      <c r="DC177" s="39" t="str">
        <f t="shared" si="587"/>
        <v/>
      </c>
      <c r="DD177" s="39" t="str">
        <f t="shared" si="588"/>
        <v/>
      </c>
      <c r="DE177" s="39" t="str">
        <f t="shared" si="589"/>
        <v/>
      </c>
      <c r="DF177" s="141" t="str">
        <f t="shared" si="590"/>
        <v/>
      </c>
      <c r="DG177" s="39" t="str">
        <f t="shared" si="591"/>
        <v/>
      </c>
      <c r="DH177" s="39" t="str">
        <f t="shared" si="592"/>
        <v/>
      </c>
      <c r="DI177" s="39" t="str">
        <f t="shared" si="593"/>
        <v/>
      </c>
      <c r="DJ177" s="74" t="str">
        <f t="shared" si="594"/>
        <v/>
      </c>
      <c r="DK177" s="45"/>
      <c r="DL177" s="84" t="e">
        <f t="shared" si="423"/>
        <v>#N/A</v>
      </c>
      <c r="DM177" s="39" t="e">
        <f t="shared" si="595"/>
        <v>#N/A</v>
      </c>
      <c r="DN177" s="74" t="e">
        <f t="shared" si="596"/>
        <v>#N/A</v>
      </c>
      <c r="DO177" s="45"/>
      <c r="DP177" s="89" t="str">
        <f t="shared" si="525"/>
        <v/>
      </c>
      <c r="DQ177" s="26" t="str">
        <f>IF(AND(Sufficient_data="Yes",Subgroup&lt;&gt;""),IF(COUNTIFS(Input!J$2:J176,"="&amp;"Yes",Input!C$2:C176,"="&amp;"Yes",Input!K$2:K176,"="&amp;Subgroup)&gt;0,"",Subgroup),"")</f>
        <v/>
      </c>
      <c r="DR177" s="7" t="str">
        <f t="shared" si="526"/>
        <v/>
      </c>
      <c r="DS177" s="7" t="str">
        <f t="shared" si="597"/>
        <v/>
      </c>
      <c r="DT177" s="19" t="str">
        <f t="shared" si="598"/>
        <v/>
      </c>
      <c r="DU177" s="12" t="str">
        <f t="shared" si="424"/>
        <v/>
      </c>
      <c r="DV177" s="11" t="str">
        <f t="shared" si="425"/>
        <v/>
      </c>
      <c r="DW177" s="12" t="str">
        <f t="shared" si="426"/>
        <v/>
      </c>
      <c r="DX177" s="12" t="str">
        <f t="shared" si="599"/>
        <v/>
      </c>
      <c r="DY177" s="19" t="str">
        <f t="shared" si="427"/>
        <v/>
      </c>
      <c r="DZ177" s="12" t="str">
        <f t="shared" si="428"/>
        <v/>
      </c>
      <c r="EA177" s="19" t="str">
        <f t="shared" si="600"/>
        <v/>
      </c>
      <c r="EB177" s="7" t="str">
        <f t="shared" si="601"/>
        <v/>
      </c>
      <c r="EC177" s="19" t="str">
        <f t="shared" si="602"/>
        <v/>
      </c>
      <c r="ED177" s="19" t="str">
        <f t="shared" si="603"/>
        <v/>
      </c>
      <c r="EE177" s="19" t="str">
        <f t="shared" si="429"/>
        <v/>
      </c>
      <c r="EF177" s="19" t="str">
        <f t="shared" si="430"/>
        <v/>
      </c>
      <c r="EG177" s="19" t="str">
        <f t="shared" si="431"/>
        <v/>
      </c>
      <c r="EH177" s="19" t="str">
        <f t="shared" si="432"/>
        <v/>
      </c>
      <c r="EI177" s="19" t="str">
        <f t="shared" si="433"/>
        <v/>
      </c>
      <c r="EJ177" s="19" t="str">
        <f t="shared" si="604"/>
        <v/>
      </c>
      <c r="EK177" s="19" t="str">
        <f t="shared" si="605"/>
        <v/>
      </c>
      <c r="EL177" s="19" t="str">
        <f t="shared" si="434"/>
        <v/>
      </c>
      <c r="EM177" s="19" t="str">
        <f t="shared" si="435"/>
        <v/>
      </c>
      <c r="EN177" s="19" t="str">
        <f t="shared" si="436"/>
        <v/>
      </c>
      <c r="EO177" s="19" t="str">
        <f t="shared" si="437"/>
        <v/>
      </c>
      <c r="EP177" s="19" t="str">
        <f t="shared" si="438"/>
        <v/>
      </c>
      <c r="EQ177" s="19" t="e">
        <f t="shared" si="439"/>
        <v>#N/A</v>
      </c>
      <c r="ER177" s="11" t="str">
        <f t="shared" si="527"/>
        <v/>
      </c>
      <c r="ES177" s="19" t="str">
        <f t="shared" si="528"/>
        <v/>
      </c>
      <c r="ET177" s="156" t="str">
        <f t="shared" si="606"/>
        <v/>
      </c>
      <c r="EU177" s="39" t="str">
        <f t="shared" si="440"/>
        <v/>
      </c>
      <c r="EV177" s="74" t="str">
        <f t="shared" si="607"/>
        <v/>
      </c>
      <c r="FA177" s="196"/>
      <c r="FB177" s="84" t="e">
        <f>IF(AND(Include_study?="Yes",Sufficient_data="Yes",Moderator&lt;&gt;""),'Moderator Analysis'!E177,NA())</f>
        <v>#N/A</v>
      </c>
      <c r="FC177" s="39" t="e">
        <f>IF(AND(Include_study?="Yes",Sufficient_data="Yes",Moderator&lt;&gt;""),'Moderator Analysis'!F177,NA())</f>
        <v>#N/A</v>
      </c>
      <c r="FD177" s="39" t="str">
        <f t="shared" si="608"/>
        <v/>
      </c>
      <c r="FE177" s="39" t="str">
        <f t="shared" si="609"/>
        <v/>
      </c>
      <c r="FF177" s="39" t="str">
        <f>IF(AND(Include_study?="Yes",Sufficient_data="Yes",Moderator&lt;&gt;""),'Moderator Analysis'!F:F-FP$2,"")</f>
        <v/>
      </c>
      <c r="FG177" s="39" t="str">
        <f>IF(AND(Include_study?="Yes",Sufficient_data="Yes",Moderator&lt;&gt;""),'Moderator Analysis'!E:E-FP$3,"")</f>
        <v/>
      </c>
      <c r="FH177" s="74" t="str">
        <f>IF(AND(Include_study?="Yes",Sufficient_data="Yes",Moderator&lt;&gt;""),FE:FE*('Moderator Analysis'!F:F-FP$5-FP$4*'Moderator Analysis'!E:E)^2,"")</f>
        <v/>
      </c>
      <c r="FI177" s="128"/>
      <c r="FJ177" s="92" t="str">
        <f t="shared" si="610"/>
        <v/>
      </c>
      <c r="FK177" s="137" t="str">
        <f>IF(AND(Include_study?="Yes",Sufficient_data="Yes",Moderator&lt;&gt;""),'Moderator Analysis'!F:F-'Moderator Analysis'!J$37,"")</f>
        <v/>
      </c>
      <c r="FL177" s="137" t="str">
        <f>IF(AND(Include_study?="Yes",Sufficient_data="Yes",Moderator&lt;&gt;""),'Moderator Analysis'!E:E-SUMPRODUCT('Moderator Analysis'!E:E,FJ:FJ)/SUM(FJ:FJ),"")</f>
        <v/>
      </c>
      <c r="FM177" s="95" t="str">
        <f>IF(AND(Include_study?="Yes",Sufficient_data="Yes",Moderator&lt;&gt;""),FJ:FJ*('Moderator Analysis'!F:F-'Moderator Analysis'!J$29-'Moderator Analysis'!J$30*'Moderator Analysis'!E:E)^2,"")</f>
        <v/>
      </c>
      <c r="FR177" s="196"/>
      <c r="FS177" s="182"/>
      <c r="FT17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7" s="39" t="str">
        <f>IF(AND(Include_study?="Yes",Sufficient_data="Yes"),1/('Publication Bias Analysis'!F:F^2+IF(Additional_model="Fixed effect",0,Calculations!GH$12)),"")</f>
        <v/>
      </c>
      <c r="FV177" s="39" t="str">
        <f>IF(AND(Include_study?="Yes",Sufficient_data="Yes"),1/('Publication Bias Analysis'!F:F^2+IF(Additional_model="Fixed effect",0,'Publication Bias Analysis'!L$32)),"")</f>
        <v/>
      </c>
      <c r="FW177" s="39" t="str">
        <f>IF(AND(Include_study?="Yes",Sufficient_data="Yes"),'Publication Bias Analysis'!E:E-'Publication Bias Analysis'!I$37,"")</f>
        <v/>
      </c>
      <c r="FX177" s="39" t="str">
        <f>IF(AND(Include_study?="Yes",Sufficient_data="Yes"),IF(Additional_model="Fixed effect",1/'Publication Bias Analysis'!F:F,1/SQRT('Publication Bias Analysis'!F:F^2+GH$12)),"")</f>
        <v/>
      </c>
      <c r="FY17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7" s="136" t="str">
        <f t="shared" si="611"/>
        <v/>
      </c>
      <c r="GA177" s="144" t="str">
        <f>IF(AND(Include_study?="Yes",Sufficient_data="Yes"),FZ:FZ+IF(GL:GL&lt;0,-1,1)*COUNTIF(FZ$2:FZ176,FZ:FZ),"")</f>
        <v/>
      </c>
      <c r="GB177" s="144" t="str">
        <f>IF(AND(Include_study?="Yes",Sufficient_data="Yes"),RANK(GP:GP,GP:GP,1)*IF(GO:GO&lt;0,-1,1)+IF(GO:GO&lt;0,-1,1)*COUNTIF(FZ$2:FZ176,FZ:FZ),"")</f>
        <v/>
      </c>
      <c r="GC177" s="144" t="str">
        <f>IF(AND(Include_study?="Yes",Sufficient_data="Yes"),RANK(GS:GS,GS:GS,1)*IF(GR:GR&lt;0,-1,1)+IF(GR:GR&lt;0,-1,1)*COUNTIF(FZ$2:FZ176,FZ:FZ),"")</f>
        <v/>
      </c>
      <c r="GD177" s="39" t="e">
        <f>IF(AND(Include_study?="Yes",Sufficient_data="Yes"),'Publication Bias Analysis'!E177,NA())</f>
        <v>#N/A</v>
      </c>
      <c r="GE177" s="74" t="e">
        <f>IF(AND(Include_study?="Yes",Sufficient_data="Yes"),'Publication Bias Analysis'!F177,NA())</f>
        <v>#N/A</v>
      </c>
      <c r="GK177" s="176"/>
      <c r="GL17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7" s="39" t="str">
        <f t="shared" si="612"/>
        <v/>
      </c>
      <c r="GN17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7" s="39" t="str">
        <f>IF(AND(Include_study?="Yes",Sufficient_data="Yes"),IF('Publication Bias Analysis'!L$38="Left",'Publication Bias Analysis'!E:E-GW$3,GW$3-'Publication Bias Analysis'!E:E),"")</f>
        <v/>
      </c>
      <c r="GP177" s="39" t="str">
        <f t="shared" si="529"/>
        <v/>
      </c>
      <c r="GQ17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7" s="39" t="str">
        <f>IF(AND(Include_study?="Yes",Sufficient_data="Yes"),IF('Publication Bias Analysis'!L$38="Left",'Publication Bias Analysis'!E:E-GW$10,GW$10-'Publication Bias Analysis'!E:E),"")</f>
        <v/>
      </c>
      <c r="GS177" s="39" t="str">
        <f t="shared" si="530"/>
        <v/>
      </c>
      <c r="GT17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7" s="176"/>
      <c r="HL177" s="69" t="str">
        <f t="shared" si="518"/>
        <v/>
      </c>
      <c r="HM177" s="74" t="str">
        <f>IF(AND(Include_study?="Yes",Sufficient_data="Yes"),Z_score-('Publication Bias Analysis'!P$3+'Publication Bias Analysis'!P$4*Inverse_standard_error),"")</f>
        <v/>
      </c>
      <c r="HO177" s="176"/>
      <c r="HP177" s="69" t="str">
        <f>IF(AND(Include_study?="Yes",Sufficient_data="Yes"),(GD:GD-SUMPRODUCT(Calculations!FT:FT,'Publication Bias Analysis'!E:E)/SUM(Calculations!FT:FT))/SQRT(Calculations!HQ:HQ),"")</f>
        <v/>
      </c>
      <c r="HQ177" s="69" t="str">
        <f>IF(AND(Include_study?="Yes",Sufficient_data="Yes"),GE:GE^2-1/SUM(Calculations!FT:FT),"")</f>
        <v/>
      </c>
      <c r="HR177" s="7" t="str">
        <f t="shared" si="441"/>
        <v/>
      </c>
      <c r="HS177" s="7" t="str">
        <f t="shared" si="442"/>
        <v/>
      </c>
      <c r="HT177" s="7" t="str">
        <f>IF(AND(Include_study?="Yes",Sufficient_data="Yes"),COUNTIFS(HR$2:HR176,"&lt;"&amp;HR177,HS$2:HS176,"&lt;"&amp;HS177)+COUNTIFS(HR178:HR$201,"&lt;"&amp;HR177,HS178:HS$201,"&lt;"&amp;HS177)+COUNTIFS(HR$2:HR176,"&gt;"&amp;HR177,HS$2:HS176,"&gt;"&amp;HS177)+COUNTIFS(HR178:HR$201,"&gt;"&amp;HR177,HS178:HS$201,"&gt;"&amp;HS177),"")</f>
        <v/>
      </c>
      <c r="HU177" s="104" t="str">
        <f>IF(AND(Include_study?="Yes",Sufficient_data="Yes"),COUNTIFS(HR$2:HR176,"&lt;"&amp;HR177,HS$2:HS176,"&gt;"&amp;HS177)+COUNTIFS(HR178:HR$201,"&lt;"&amp;HR177,HS178:HS$201,"&gt;"&amp;HS177)+COUNTIFS(HR$2:HR176,"&gt;"&amp;HR177,HS$2:HS176,"&lt;"&amp;HS177)+COUNTIFS(HR178:HR$201,"&gt;"&amp;HR177,HS178:HS$201,"&lt;"&amp;HS177),"")</f>
        <v/>
      </c>
      <c r="HW177" s="176"/>
      <c r="IB177" s="176"/>
      <c r="IC177" s="146" t="e">
        <f t="shared" si="613"/>
        <v>#N/A</v>
      </c>
      <c r="ID177" s="137" t="e">
        <f t="shared" si="614"/>
        <v>#N/A</v>
      </c>
      <c r="IE177" s="137" t="str">
        <f t="shared" si="615"/>
        <v/>
      </c>
      <c r="IF177" s="95" t="str">
        <f t="shared" si="616"/>
        <v/>
      </c>
      <c r="IK177" s="176"/>
      <c r="IL177" s="69" t="e">
        <f>IF(AND(Include_study?="Yes",Sufficient_data="Yes"),'Publication Bias Analysis'!AV:AV,NA())</f>
        <v>#N/A</v>
      </c>
      <c r="IM177" s="158" t="e">
        <f>IF(AND(Sufficient_data="Yes",Include_study?="Yes"),'Publication Bias Analysis'!AU:AU,NA())</f>
        <v>#N/A</v>
      </c>
      <c r="IN177" s="69" t="str">
        <f t="shared" si="617"/>
        <v/>
      </c>
      <c r="IO177" s="74" t="str">
        <f>IF(AND(Include_study?="Yes",Sufficient_data="Yes"),Z_score-('Publication Bias Analysis'!AY$30+'Publication Bias Analysis'!AY$31*Inverse_standard_error),"")</f>
        <v/>
      </c>
      <c r="IU177" s="176"/>
      <c r="IV177" s="7" t="str">
        <f>IF('Publication Bias Analysis'!BG:BG&lt;&gt;"",RANK('Publication Bias Analysis'!BG:BG,'Publication Bias Analysis'!BG:BG,1)+COUNTIF('Publication Bias Analysis'!BG$2:BG176,'Publication Bias Analysis'!BG177),"")</f>
        <v/>
      </c>
      <c r="IW177" s="124" t="str">
        <f t="shared" si="618"/>
        <v/>
      </c>
      <c r="IX177" s="125" t="e">
        <f>IF('Publication Bias Analysis'!BF177&lt;&gt;"",'Publication Bias Analysis'!BF177,NA())</f>
        <v>#N/A</v>
      </c>
      <c r="IY177" s="125" t="e">
        <f>IF('Publication Bias Analysis'!BG177&lt;&gt;"",'Publication Bias Analysis'!BG177,NA())</f>
        <v>#N/A</v>
      </c>
      <c r="IZ177" s="69" t="str">
        <f>IF(AND(Include_study?="Yes",Sufficient_data="Yes"),'Publication Bias Analysis'!BF:BF-AVERAGE('Publication Bias Analysis'!BF:BF),"")</f>
        <v/>
      </c>
      <c r="JA177" s="74" t="str">
        <f>IF(AND(Include_study?="Yes",Sufficient_data="Yes"),'Publication Bias Analysis'!BG:BG-('Publication Bias Analysis'!BJ$30+'Publication Bias Analysis'!BJ$31*'Publication Bias Analysis'!BF:BF),"")</f>
        <v/>
      </c>
      <c r="JG177" s="176"/>
      <c r="JH177" s="39" t="str">
        <f t="shared" si="619"/>
        <v/>
      </c>
      <c r="JI177" s="148" t="str">
        <f t="shared" si="531"/>
        <v/>
      </c>
      <c r="JJ177" s="74" t="str">
        <f t="shared" si="532"/>
        <v/>
      </c>
    </row>
    <row r="178" spans="1:270" x14ac:dyDescent="0.2">
      <c r="A178" s="56" t="str">
        <f t="shared" si="533"/>
        <v/>
      </c>
      <c r="B178" s="7" t="str">
        <f>IF(AND(Include_study?="Yes",Sufficient_data="Yes"),IF(Input!a_&lt;&gt;"",Input!a_,Input!n1_-Input!b_),"")</f>
        <v/>
      </c>
      <c r="C178" s="7" t="str">
        <f>IF(AND(Include_study?="Yes",Sufficient_data="Yes"),IF(Input!b_&lt;&gt;"",Input!b_,Input!n1_-Input!a_),"")</f>
        <v/>
      </c>
      <c r="D178" s="7" t="str">
        <f>IF(AND(Include_study?="Yes",Sufficient_data="Yes"),IF(Input!c_&lt;&gt;"",Input!c_,Input!n2_-Input!d_),"")</f>
        <v/>
      </c>
      <c r="E178" s="7" t="str">
        <f>IF(AND(Include_study?="Yes",Sufficient_data="Yes"),IF(Input!d_&lt;&gt;"",Input!d_,Input!n2_-Input!c_),"")</f>
        <v/>
      </c>
      <c r="F178" s="74" t="str">
        <f t="shared" si="534"/>
        <v/>
      </c>
      <c r="H178" s="196"/>
      <c r="I178" s="182"/>
      <c r="J178" s="146" t="str">
        <f t="shared" si="444"/>
        <v/>
      </c>
      <c r="K178" s="39" t="str">
        <f t="shared" si="535"/>
        <v/>
      </c>
      <c r="L178" s="39" t="str">
        <f t="shared" si="536"/>
        <v/>
      </c>
      <c r="M178" s="39" t="str">
        <f t="shared" si="537"/>
        <v/>
      </c>
      <c r="N178" s="74" t="str">
        <f t="shared" si="538"/>
        <v/>
      </c>
      <c r="P178" s="176"/>
      <c r="Q178" s="130" t="str">
        <f t="shared" si="539"/>
        <v/>
      </c>
      <c r="R178" s="39" t="str">
        <f t="shared" si="540"/>
        <v/>
      </c>
      <c r="S178" s="39" t="str">
        <f t="shared" si="541"/>
        <v/>
      </c>
      <c r="T178" s="74" t="str">
        <f t="shared" si="542"/>
        <v/>
      </c>
      <c r="V178" s="176"/>
      <c r="W178" s="130" t="str">
        <f t="shared" si="543"/>
        <v/>
      </c>
      <c r="X178" s="39" t="str">
        <f t="shared" si="544"/>
        <v/>
      </c>
      <c r="Y178" s="39" t="str">
        <f t="shared" si="545"/>
        <v/>
      </c>
      <c r="Z178" s="74" t="str">
        <f t="shared" si="546"/>
        <v/>
      </c>
      <c r="AB178" s="176"/>
      <c r="AC178" s="130" t="str">
        <f t="shared" si="547"/>
        <v/>
      </c>
      <c r="AD178" s="39" t="str">
        <f t="shared" si="548"/>
        <v/>
      </c>
      <c r="AE178" s="39" t="str">
        <f t="shared" si="549"/>
        <v/>
      </c>
      <c r="AF178" s="39" t="str">
        <f t="shared" si="550"/>
        <v/>
      </c>
      <c r="AG178" s="74" t="str">
        <f t="shared" si="551"/>
        <v/>
      </c>
      <c r="AI178" s="196"/>
      <c r="AJ17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8" s="136" t="str">
        <f>IF(AJ178&lt;&gt;"",IF(AJ178=0,COUNTIF(AJ$2:AJ177,0)+1,COUNTIF(AJ$2:AJ177,AJ178)+AJ178+COUNTIF(AJ:AJ,0)),"")</f>
        <v/>
      </c>
      <c r="AL178" s="136" t="str">
        <f t="shared" si="462"/>
        <v/>
      </c>
      <c r="AM178" s="155" t="str">
        <f>IF(AND(Include_study?="Yes",Sufficient_data="Yes",Input!Study_name&lt;&gt;""),Input!Study_name,"")</f>
        <v/>
      </c>
      <c r="AN178" s="136" t="str">
        <f t="shared" si="463"/>
        <v/>
      </c>
      <c r="AO178" s="19" t="str">
        <f t="shared" si="552"/>
        <v/>
      </c>
      <c r="AP178" s="158" t="str">
        <f t="shared" si="553"/>
        <v/>
      </c>
      <c r="AQ178" s="158" t="str">
        <f t="shared" si="554"/>
        <v/>
      </c>
      <c r="AR178" s="39" t="str">
        <f t="shared" si="555"/>
        <v/>
      </c>
      <c r="AS178" s="158" t="str">
        <f t="shared" si="556"/>
        <v/>
      </c>
      <c r="AT178" s="39" t="str">
        <f t="shared" si="557"/>
        <v/>
      </c>
      <c r="AU178" s="172" t="str">
        <f t="shared" si="558"/>
        <v/>
      </c>
      <c r="AV178" s="45"/>
      <c r="AW178" s="84" t="e">
        <f t="shared" si="559"/>
        <v>#N/A</v>
      </c>
      <c r="AX178" s="69" t="e">
        <f t="shared" si="560"/>
        <v>#N/A</v>
      </c>
      <c r="AY178" s="74" t="e">
        <f t="shared" si="561"/>
        <v>#N/A</v>
      </c>
      <c r="AZ178" s="45"/>
      <c r="BA178" s="45"/>
      <c r="BB178" s="45"/>
      <c r="BC178" s="45"/>
      <c r="BD178" s="196"/>
      <c r="BE178" s="182"/>
      <c r="BF178" s="69" t="str">
        <f t="shared" si="562"/>
        <v/>
      </c>
      <c r="BG178" s="69" t="str">
        <f t="shared" si="563"/>
        <v/>
      </c>
      <c r="BH178" s="69" t="str">
        <f t="shared" si="564"/>
        <v/>
      </c>
      <c r="BI178" s="39" t="str">
        <f t="shared" si="565"/>
        <v/>
      </c>
      <c r="BJ178" s="95" t="str">
        <f t="shared" si="566"/>
        <v/>
      </c>
      <c r="BO178" s="176"/>
      <c r="BP178" s="158" t="str">
        <f t="shared" si="567"/>
        <v/>
      </c>
      <c r="BQ178" s="158" t="str">
        <f t="shared" si="568"/>
        <v/>
      </c>
      <c r="BR178" s="158" t="str">
        <f t="shared" si="569"/>
        <v/>
      </c>
      <c r="BS178" s="158" t="str">
        <f>IF(AND(Sufficient_data="Yes",Include_study?="Yes"),IF(Add_0_5="Yes",(a_+d_+1)*(ab_+0.5)*(c_+0.5)/(Number_of_subjects+2)^2,(a_+d_)*b_*c_/Number_of_subjects^2),"")</f>
        <v/>
      </c>
      <c r="BT178" s="158" t="str">
        <f t="shared" si="570"/>
        <v/>
      </c>
      <c r="BU178" s="158" t="str">
        <f t="shared" si="571"/>
        <v/>
      </c>
      <c r="BV178" s="158" t="str">
        <f t="shared" si="572"/>
        <v/>
      </c>
      <c r="BW178" s="69" t="str">
        <f t="shared" si="573"/>
        <v/>
      </c>
      <c r="BX178" s="137" t="str">
        <f t="shared" si="574"/>
        <v/>
      </c>
      <c r="BY178" s="95" t="str">
        <f t="shared" si="575"/>
        <v/>
      </c>
      <c r="CD178" s="176"/>
      <c r="CE178" s="130" t="str">
        <f t="shared" si="576"/>
        <v/>
      </c>
      <c r="CF178" s="39" t="str">
        <f t="shared" si="577"/>
        <v/>
      </c>
      <c r="CG178" s="39" t="str">
        <f t="shared" si="578"/>
        <v/>
      </c>
      <c r="CH178" s="39" t="str">
        <f t="shared" si="579"/>
        <v/>
      </c>
      <c r="CI178" s="39" t="str">
        <f t="shared" si="580"/>
        <v/>
      </c>
      <c r="CJ178" s="39" t="str">
        <f t="shared" si="486"/>
        <v/>
      </c>
      <c r="CK178" s="95" t="str">
        <f t="shared" si="581"/>
        <v/>
      </c>
      <c r="CP178" s="176"/>
      <c r="CQ178" s="99" t="str">
        <f t="shared" si="582"/>
        <v/>
      </c>
      <c r="CX178" s="196"/>
      <c r="CY178" s="89" t="e">
        <f t="shared" si="583"/>
        <v>#N/A</v>
      </c>
      <c r="CZ178" s="136" t="str">
        <f t="shared" si="584"/>
        <v/>
      </c>
      <c r="DA178" s="140" t="str">
        <f t="shared" si="585"/>
        <v/>
      </c>
      <c r="DB178" s="39" t="str">
        <f t="shared" si="586"/>
        <v/>
      </c>
      <c r="DC178" s="39" t="str">
        <f t="shared" si="587"/>
        <v/>
      </c>
      <c r="DD178" s="39" t="str">
        <f t="shared" si="588"/>
        <v/>
      </c>
      <c r="DE178" s="39" t="str">
        <f t="shared" si="589"/>
        <v/>
      </c>
      <c r="DF178" s="141" t="str">
        <f t="shared" si="590"/>
        <v/>
      </c>
      <c r="DG178" s="39" t="str">
        <f t="shared" si="591"/>
        <v/>
      </c>
      <c r="DH178" s="39" t="str">
        <f t="shared" si="592"/>
        <v/>
      </c>
      <c r="DI178" s="39" t="str">
        <f t="shared" si="593"/>
        <v/>
      </c>
      <c r="DJ178" s="74" t="str">
        <f t="shared" si="594"/>
        <v/>
      </c>
      <c r="DK178" s="45"/>
      <c r="DL178" s="84" t="e">
        <f t="shared" si="423"/>
        <v>#N/A</v>
      </c>
      <c r="DM178" s="39" t="e">
        <f t="shared" si="595"/>
        <v>#N/A</v>
      </c>
      <c r="DN178" s="74" t="e">
        <f t="shared" si="596"/>
        <v>#N/A</v>
      </c>
      <c r="DO178" s="45"/>
      <c r="DP178" s="89" t="str">
        <f t="shared" si="525"/>
        <v/>
      </c>
      <c r="DQ178" s="26" t="str">
        <f>IF(AND(Sufficient_data="Yes",Subgroup&lt;&gt;""),IF(COUNTIFS(Input!J$2:J177,"="&amp;"Yes",Input!C$2:C177,"="&amp;"Yes",Input!K$2:K177,"="&amp;Subgroup)&gt;0,"",Subgroup),"")</f>
        <v/>
      </c>
      <c r="DR178" s="7" t="str">
        <f t="shared" si="526"/>
        <v/>
      </c>
      <c r="DS178" s="7" t="str">
        <f t="shared" si="597"/>
        <v/>
      </c>
      <c r="DT178" s="19" t="str">
        <f t="shared" si="598"/>
        <v/>
      </c>
      <c r="DU178" s="12" t="str">
        <f t="shared" si="424"/>
        <v/>
      </c>
      <c r="DV178" s="11" t="str">
        <f t="shared" si="425"/>
        <v/>
      </c>
      <c r="DW178" s="12" t="str">
        <f t="shared" si="426"/>
        <v/>
      </c>
      <c r="DX178" s="12" t="str">
        <f t="shared" si="599"/>
        <v/>
      </c>
      <c r="DY178" s="19" t="str">
        <f t="shared" si="427"/>
        <v/>
      </c>
      <c r="DZ178" s="12" t="str">
        <f t="shared" si="428"/>
        <v/>
      </c>
      <c r="EA178" s="19" t="str">
        <f t="shared" si="600"/>
        <v/>
      </c>
      <c r="EB178" s="7" t="str">
        <f t="shared" si="601"/>
        <v/>
      </c>
      <c r="EC178" s="19" t="str">
        <f t="shared" si="602"/>
        <v/>
      </c>
      <c r="ED178" s="19" t="str">
        <f t="shared" si="603"/>
        <v/>
      </c>
      <c r="EE178" s="19" t="str">
        <f t="shared" si="429"/>
        <v/>
      </c>
      <c r="EF178" s="19" t="str">
        <f t="shared" si="430"/>
        <v/>
      </c>
      <c r="EG178" s="19" t="str">
        <f t="shared" si="431"/>
        <v/>
      </c>
      <c r="EH178" s="19" t="str">
        <f t="shared" si="432"/>
        <v/>
      </c>
      <c r="EI178" s="19" t="str">
        <f t="shared" si="433"/>
        <v/>
      </c>
      <c r="EJ178" s="19" t="str">
        <f t="shared" si="604"/>
        <v/>
      </c>
      <c r="EK178" s="19" t="str">
        <f t="shared" si="605"/>
        <v/>
      </c>
      <c r="EL178" s="19" t="str">
        <f t="shared" si="434"/>
        <v/>
      </c>
      <c r="EM178" s="19" t="str">
        <f t="shared" si="435"/>
        <v/>
      </c>
      <c r="EN178" s="19" t="str">
        <f t="shared" si="436"/>
        <v/>
      </c>
      <c r="EO178" s="19" t="str">
        <f t="shared" si="437"/>
        <v/>
      </c>
      <c r="EP178" s="19" t="str">
        <f t="shared" si="438"/>
        <v/>
      </c>
      <c r="EQ178" s="19" t="e">
        <f t="shared" si="439"/>
        <v>#N/A</v>
      </c>
      <c r="ER178" s="11" t="str">
        <f t="shared" si="527"/>
        <v/>
      </c>
      <c r="ES178" s="19" t="str">
        <f t="shared" si="528"/>
        <v/>
      </c>
      <c r="ET178" s="156" t="str">
        <f t="shared" si="606"/>
        <v/>
      </c>
      <c r="EU178" s="39" t="str">
        <f t="shared" si="440"/>
        <v/>
      </c>
      <c r="EV178" s="74" t="str">
        <f t="shared" si="607"/>
        <v/>
      </c>
      <c r="FA178" s="196"/>
      <c r="FB178" s="84" t="e">
        <f>IF(AND(Include_study?="Yes",Sufficient_data="Yes",Moderator&lt;&gt;""),'Moderator Analysis'!E178,NA())</f>
        <v>#N/A</v>
      </c>
      <c r="FC178" s="39" t="e">
        <f>IF(AND(Include_study?="Yes",Sufficient_data="Yes",Moderator&lt;&gt;""),'Moderator Analysis'!F178,NA())</f>
        <v>#N/A</v>
      </c>
      <c r="FD178" s="39" t="str">
        <f t="shared" si="608"/>
        <v/>
      </c>
      <c r="FE178" s="39" t="str">
        <f t="shared" si="609"/>
        <v/>
      </c>
      <c r="FF178" s="39" t="str">
        <f>IF(AND(Include_study?="Yes",Sufficient_data="Yes",Moderator&lt;&gt;""),'Moderator Analysis'!F:F-FP$2,"")</f>
        <v/>
      </c>
      <c r="FG178" s="39" t="str">
        <f>IF(AND(Include_study?="Yes",Sufficient_data="Yes",Moderator&lt;&gt;""),'Moderator Analysis'!E:E-FP$3,"")</f>
        <v/>
      </c>
      <c r="FH178" s="74" t="str">
        <f>IF(AND(Include_study?="Yes",Sufficient_data="Yes",Moderator&lt;&gt;""),FE:FE*('Moderator Analysis'!F:F-FP$5-FP$4*'Moderator Analysis'!E:E)^2,"")</f>
        <v/>
      </c>
      <c r="FI178" s="128"/>
      <c r="FJ178" s="92" t="str">
        <f t="shared" si="610"/>
        <v/>
      </c>
      <c r="FK178" s="137" t="str">
        <f>IF(AND(Include_study?="Yes",Sufficient_data="Yes",Moderator&lt;&gt;""),'Moderator Analysis'!F:F-'Moderator Analysis'!J$37,"")</f>
        <v/>
      </c>
      <c r="FL178" s="137" t="str">
        <f>IF(AND(Include_study?="Yes",Sufficient_data="Yes",Moderator&lt;&gt;""),'Moderator Analysis'!E:E-SUMPRODUCT('Moderator Analysis'!E:E,FJ:FJ)/SUM(FJ:FJ),"")</f>
        <v/>
      </c>
      <c r="FM178" s="95" t="str">
        <f>IF(AND(Include_study?="Yes",Sufficient_data="Yes",Moderator&lt;&gt;""),FJ:FJ*('Moderator Analysis'!F:F-'Moderator Analysis'!J$29-'Moderator Analysis'!J$30*'Moderator Analysis'!E:E)^2,"")</f>
        <v/>
      </c>
      <c r="FR178" s="196"/>
      <c r="FS178" s="182"/>
      <c r="FT17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8" s="39" t="str">
        <f>IF(AND(Include_study?="Yes",Sufficient_data="Yes"),1/('Publication Bias Analysis'!F:F^2+IF(Additional_model="Fixed effect",0,Calculations!GH$12)),"")</f>
        <v/>
      </c>
      <c r="FV178" s="39" t="str">
        <f>IF(AND(Include_study?="Yes",Sufficient_data="Yes"),1/('Publication Bias Analysis'!F:F^2+IF(Additional_model="Fixed effect",0,'Publication Bias Analysis'!L$32)),"")</f>
        <v/>
      </c>
      <c r="FW178" s="39" t="str">
        <f>IF(AND(Include_study?="Yes",Sufficient_data="Yes"),'Publication Bias Analysis'!E:E-'Publication Bias Analysis'!I$37,"")</f>
        <v/>
      </c>
      <c r="FX178" s="39" t="str">
        <f>IF(AND(Include_study?="Yes",Sufficient_data="Yes"),IF(Additional_model="Fixed effect",1/'Publication Bias Analysis'!F:F,1/SQRT('Publication Bias Analysis'!F:F^2+GH$12)),"")</f>
        <v/>
      </c>
      <c r="FY17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8" s="136" t="str">
        <f t="shared" si="611"/>
        <v/>
      </c>
      <c r="GA178" s="144" t="str">
        <f>IF(AND(Include_study?="Yes",Sufficient_data="Yes"),FZ:FZ+IF(GL:GL&lt;0,-1,1)*COUNTIF(FZ$2:FZ177,FZ:FZ),"")</f>
        <v/>
      </c>
      <c r="GB178" s="144" t="str">
        <f>IF(AND(Include_study?="Yes",Sufficient_data="Yes"),RANK(GP:GP,GP:GP,1)*IF(GO:GO&lt;0,-1,1)+IF(GO:GO&lt;0,-1,1)*COUNTIF(FZ$2:FZ177,FZ:FZ),"")</f>
        <v/>
      </c>
      <c r="GC178" s="144" t="str">
        <f>IF(AND(Include_study?="Yes",Sufficient_data="Yes"),RANK(GS:GS,GS:GS,1)*IF(GR:GR&lt;0,-1,1)+IF(GR:GR&lt;0,-1,1)*COUNTIF(FZ$2:FZ177,FZ:FZ),"")</f>
        <v/>
      </c>
      <c r="GD178" s="39" t="e">
        <f>IF(AND(Include_study?="Yes",Sufficient_data="Yes"),'Publication Bias Analysis'!E178,NA())</f>
        <v>#N/A</v>
      </c>
      <c r="GE178" s="74" t="e">
        <f>IF(AND(Include_study?="Yes",Sufficient_data="Yes"),'Publication Bias Analysis'!F178,NA())</f>
        <v>#N/A</v>
      </c>
      <c r="GK178" s="176"/>
      <c r="GL17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8" s="39" t="str">
        <f t="shared" si="612"/>
        <v/>
      </c>
      <c r="GN17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8" s="39" t="str">
        <f>IF(AND(Include_study?="Yes",Sufficient_data="Yes"),IF('Publication Bias Analysis'!L$38="Left",'Publication Bias Analysis'!E:E-GW$3,GW$3-'Publication Bias Analysis'!E:E),"")</f>
        <v/>
      </c>
      <c r="GP178" s="39" t="str">
        <f t="shared" si="529"/>
        <v/>
      </c>
      <c r="GQ17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8" s="39" t="str">
        <f>IF(AND(Include_study?="Yes",Sufficient_data="Yes"),IF('Publication Bias Analysis'!L$38="Left",'Publication Bias Analysis'!E:E-GW$10,GW$10-'Publication Bias Analysis'!E:E),"")</f>
        <v/>
      </c>
      <c r="GS178" s="39" t="str">
        <f t="shared" si="530"/>
        <v/>
      </c>
      <c r="GT17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8" s="176"/>
      <c r="HL178" s="69" t="str">
        <f t="shared" si="518"/>
        <v/>
      </c>
      <c r="HM178" s="74" t="str">
        <f>IF(AND(Include_study?="Yes",Sufficient_data="Yes"),Z_score-('Publication Bias Analysis'!P$3+'Publication Bias Analysis'!P$4*Inverse_standard_error),"")</f>
        <v/>
      </c>
      <c r="HO178" s="176"/>
      <c r="HP178" s="69" t="str">
        <f>IF(AND(Include_study?="Yes",Sufficient_data="Yes"),(GD:GD-SUMPRODUCT(Calculations!FT:FT,'Publication Bias Analysis'!E:E)/SUM(Calculations!FT:FT))/SQRT(Calculations!HQ:HQ),"")</f>
        <v/>
      </c>
      <c r="HQ178" s="69" t="str">
        <f>IF(AND(Include_study?="Yes",Sufficient_data="Yes"),GE:GE^2-1/SUM(Calculations!FT:FT),"")</f>
        <v/>
      </c>
      <c r="HR178" s="7" t="str">
        <f t="shared" si="441"/>
        <v/>
      </c>
      <c r="HS178" s="7" t="str">
        <f t="shared" si="442"/>
        <v/>
      </c>
      <c r="HT178" s="7" t="str">
        <f>IF(AND(Include_study?="Yes",Sufficient_data="Yes"),COUNTIFS(HR$2:HR177,"&lt;"&amp;HR178,HS$2:HS177,"&lt;"&amp;HS178)+COUNTIFS(HR179:HR$201,"&lt;"&amp;HR178,HS179:HS$201,"&lt;"&amp;HS178)+COUNTIFS(HR$2:HR177,"&gt;"&amp;HR178,HS$2:HS177,"&gt;"&amp;HS178)+COUNTIFS(HR179:HR$201,"&gt;"&amp;HR178,HS179:HS$201,"&gt;"&amp;HS178),"")</f>
        <v/>
      </c>
      <c r="HU178" s="104" t="str">
        <f>IF(AND(Include_study?="Yes",Sufficient_data="Yes"),COUNTIFS(HR$2:HR177,"&lt;"&amp;HR178,HS$2:HS177,"&gt;"&amp;HS178)+COUNTIFS(HR179:HR$201,"&lt;"&amp;HR178,HS179:HS$201,"&gt;"&amp;HS178)+COUNTIFS(HR$2:HR177,"&gt;"&amp;HR178,HS$2:HS177,"&lt;"&amp;HS178)+COUNTIFS(HR179:HR$201,"&gt;"&amp;HR178,HS179:HS$201,"&lt;"&amp;HS178),"")</f>
        <v/>
      </c>
      <c r="HW178" s="176"/>
      <c r="IB178" s="176"/>
      <c r="IC178" s="146" t="e">
        <f t="shared" si="613"/>
        <v>#N/A</v>
      </c>
      <c r="ID178" s="137" t="e">
        <f t="shared" si="614"/>
        <v>#N/A</v>
      </c>
      <c r="IE178" s="137" t="str">
        <f t="shared" si="615"/>
        <v/>
      </c>
      <c r="IF178" s="95" t="str">
        <f t="shared" si="616"/>
        <v/>
      </c>
      <c r="IK178" s="176"/>
      <c r="IL178" s="69" t="e">
        <f>IF(AND(Include_study?="Yes",Sufficient_data="Yes"),'Publication Bias Analysis'!AV:AV,NA())</f>
        <v>#N/A</v>
      </c>
      <c r="IM178" s="158" t="e">
        <f>IF(AND(Sufficient_data="Yes",Include_study?="Yes"),'Publication Bias Analysis'!AU:AU,NA())</f>
        <v>#N/A</v>
      </c>
      <c r="IN178" s="69" t="str">
        <f t="shared" si="617"/>
        <v/>
      </c>
      <c r="IO178" s="74" t="str">
        <f>IF(AND(Include_study?="Yes",Sufficient_data="Yes"),Z_score-('Publication Bias Analysis'!AY$30+'Publication Bias Analysis'!AY$31*Inverse_standard_error),"")</f>
        <v/>
      </c>
      <c r="IU178" s="176"/>
      <c r="IV178" s="7" t="str">
        <f>IF('Publication Bias Analysis'!BG:BG&lt;&gt;"",RANK('Publication Bias Analysis'!BG:BG,'Publication Bias Analysis'!BG:BG,1)+COUNTIF('Publication Bias Analysis'!BG$2:BG177,'Publication Bias Analysis'!BG178),"")</f>
        <v/>
      </c>
      <c r="IW178" s="124" t="str">
        <f t="shared" si="618"/>
        <v/>
      </c>
      <c r="IX178" s="125" t="e">
        <f>IF('Publication Bias Analysis'!BF178&lt;&gt;"",'Publication Bias Analysis'!BF178,NA())</f>
        <v>#N/A</v>
      </c>
      <c r="IY178" s="125" t="e">
        <f>IF('Publication Bias Analysis'!BG178&lt;&gt;"",'Publication Bias Analysis'!BG178,NA())</f>
        <v>#N/A</v>
      </c>
      <c r="IZ178" s="69" t="str">
        <f>IF(AND(Include_study?="Yes",Sufficient_data="Yes"),'Publication Bias Analysis'!BF:BF-AVERAGE('Publication Bias Analysis'!BF:BF),"")</f>
        <v/>
      </c>
      <c r="JA178" s="74" t="str">
        <f>IF(AND(Include_study?="Yes",Sufficient_data="Yes"),'Publication Bias Analysis'!BG:BG-('Publication Bias Analysis'!BJ$30+'Publication Bias Analysis'!BJ$31*'Publication Bias Analysis'!BF:BF),"")</f>
        <v/>
      </c>
      <c r="JG178" s="176"/>
      <c r="JH178" s="39" t="str">
        <f t="shared" si="619"/>
        <v/>
      </c>
      <c r="JI178" s="148" t="str">
        <f t="shared" si="531"/>
        <v/>
      </c>
      <c r="JJ178" s="74" t="str">
        <f t="shared" si="532"/>
        <v/>
      </c>
    </row>
    <row r="179" spans="1:270" x14ac:dyDescent="0.2">
      <c r="A179" s="56" t="str">
        <f t="shared" si="533"/>
        <v/>
      </c>
      <c r="B179" s="7" t="str">
        <f>IF(AND(Include_study?="Yes",Sufficient_data="Yes"),IF(Input!a_&lt;&gt;"",Input!a_,Input!n1_-Input!b_),"")</f>
        <v/>
      </c>
      <c r="C179" s="7" t="str">
        <f>IF(AND(Include_study?="Yes",Sufficient_data="Yes"),IF(Input!b_&lt;&gt;"",Input!b_,Input!n1_-Input!a_),"")</f>
        <v/>
      </c>
      <c r="D179" s="7" t="str">
        <f>IF(AND(Include_study?="Yes",Sufficient_data="Yes"),IF(Input!c_&lt;&gt;"",Input!c_,Input!n2_-Input!d_),"")</f>
        <v/>
      </c>
      <c r="E179" s="7" t="str">
        <f>IF(AND(Include_study?="Yes",Sufficient_data="Yes"),IF(Input!d_&lt;&gt;"",Input!d_,Input!n2_-Input!c_),"")</f>
        <v/>
      </c>
      <c r="F179" s="74" t="str">
        <f t="shared" si="534"/>
        <v/>
      </c>
      <c r="H179" s="196"/>
      <c r="I179" s="182"/>
      <c r="J179" s="146" t="str">
        <f t="shared" si="444"/>
        <v/>
      </c>
      <c r="K179" s="39" t="str">
        <f t="shared" si="535"/>
        <v/>
      </c>
      <c r="L179" s="39" t="str">
        <f t="shared" si="536"/>
        <v/>
      </c>
      <c r="M179" s="39" t="str">
        <f t="shared" si="537"/>
        <v/>
      </c>
      <c r="N179" s="74" t="str">
        <f t="shared" si="538"/>
        <v/>
      </c>
      <c r="P179" s="176"/>
      <c r="Q179" s="130" t="str">
        <f t="shared" si="539"/>
        <v/>
      </c>
      <c r="R179" s="39" t="str">
        <f t="shared" si="540"/>
        <v/>
      </c>
      <c r="S179" s="39" t="str">
        <f t="shared" si="541"/>
        <v/>
      </c>
      <c r="T179" s="74" t="str">
        <f t="shared" si="542"/>
        <v/>
      </c>
      <c r="V179" s="176"/>
      <c r="W179" s="130" t="str">
        <f t="shared" si="543"/>
        <v/>
      </c>
      <c r="X179" s="39" t="str">
        <f t="shared" si="544"/>
        <v/>
      </c>
      <c r="Y179" s="39" t="str">
        <f t="shared" si="545"/>
        <v/>
      </c>
      <c r="Z179" s="74" t="str">
        <f t="shared" si="546"/>
        <v/>
      </c>
      <c r="AB179" s="176"/>
      <c r="AC179" s="130" t="str">
        <f t="shared" si="547"/>
        <v/>
      </c>
      <c r="AD179" s="39" t="str">
        <f t="shared" si="548"/>
        <v/>
      </c>
      <c r="AE179" s="39" t="str">
        <f t="shared" si="549"/>
        <v/>
      </c>
      <c r="AF179" s="39" t="str">
        <f t="shared" si="550"/>
        <v/>
      </c>
      <c r="AG179" s="74" t="str">
        <f t="shared" si="551"/>
        <v/>
      </c>
      <c r="AI179" s="196"/>
      <c r="AJ17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79" s="136" t="str">
        <f>IF(AJ179&lt;&gt;"",IF(AJ179=0,COUNTIF(AJ$2:AJ178,0)+1,COUNTIF(AJ$2:AJ178,AJ179)+AJ179+COUNTIF(AJ:AJ,0)),"")</f>
        <v/>
      </c>
      <c r="AL179" s="136" t="str">
        <f t="shared" si="462"/>
        <v/>
      </c>
      <c r="AM179" s="155" t="str">
        <f>IF(AND(Include_study?="Yes",Sufficient_data="Yes",Input!Study_name&lt;&gt;""),Input!Study_name,"")</f>
        <v/>
      </c>
      <c r="AN179" s="136" t="str">
        <f t="shared" si="463"/>
        <v/>
      </c>
      <c r="AO179" s="19" t="str">
        <f t="shared" si="552"/>
        <v/>
      </c>
      <c r="AP179" s="158" t="str">
        <f t="shared" si="553"/>
        <v/>
      </c>
      <c r="AQ179" s="158" t="str">
        <f t="shared" si="554"/>
        <v/>
      </c>
      <c r="AR179" s="39" t="str">
        <f t="shared" si="555"/>
        <v/>
      </c>
      <c r="AS179" s="158" t="str">
        <f t="shared" si="556"/>
        <v/>
      </c>
      <c r="AT179" s="39" t="str">
        <f t="shared" si="557"/>
        <v/>
      </c>
      <c r="AU179" s="172" t="str">
        <f t="shared" si="558"/>
        <v/>
      </c>
      <c r="AV179" s="45"/>
      <c r="AW179" s="84" t="e">
        <f t="shared" si="559"/>
        <v>#N/A</v>
      </c>
      <c r="AX179" s="69" t="e">
        <f t="shared" si="560"/>
        <v>#N/A</v>
      </c>
      <c r="AY179" s="74" t="e">
        <f t="shared" si="561"/>
        <v>#N/A</v>
      </c>
      <c r="AZ179" s="45"/>
      <c r="BA179" s="45"/>
      <c r="BB179" s="45"/>
      <c r="BC179" s="45"/>
      <c r="BD179" s="196"/>
      <c r="BE179" s="182"/>
      <c r="BF179" s="69" t="str">
        <f t="shared" si="562"/>
        <v/>
      </c>
      <c r="BG179" s="69" t="str">
        <f t="shared" si="563"/>
        <v/>
      </c>
      <c r="BH179" s="69" t="str">
        <f t="shared" si="564"/>
        <v/>
      </c>
      <c r="BI179" s="39" t="str">
        <f t="shared" si="565"/>
        <v/>
      </c>
      <c r="BJ179" s="95" t="str">
        <f t="shared" si="566"/>
        <v/>
      </c>
      <c r="BO179" s="176"/>
      <c r="BP179" s="158" t="str">
        <f t="shared" si="567"/>
        <v/>
      </c>
      <c r="BQ179" s="158" t="str">
        <f t="shared" si="568"/>
        <v/>
      </c>
      <c r="BR179" s="158" t="str">
        <f t="shared" si="569"/>
        <v/>
      </c>
      <c r="BS179" s="158" t="str">
        <f>IF(AND(Sufficient_data="Yes",Include_study?="Yes"),IF(Add_0_5="Yes",(a_+d_+1)*(ab_+0.5)*(c_+0.5)/(Number_of_subjects+2)^2,(a_+d_)*b_*c_/Number_of_subjects^2),"")</f>
        <v/>
      </c>
      <c r="BT179" s="158" t="str">
        <f t="shared" si="570"/>
        <v/>
      </c>
      <c r="BU179" s="158" t="str">
        <f t="shared" si="571"/>
        <v/>
      </c>
      <c r="BV179" s="158" t="str">
        <f t="shared" si="572"/>
        <v/>
      </c>
      <c r="BW179" s="69" t="str">
        <f t="shared" si="573"/>
        <v/>
      </c>
      <c r="BX179" s="137" t="str">
        <f t="shared" si="574"/>
        <v/>
      </c>
      <c r="BY179" s="95" t="str">
        <f t="shared" si="575"/>
        <v/>
      </c>
      <c r="CD179" s="176"/>
      <c r="CE179" s="130" t="str">
        <f t="shared" si="576"/>
        <v/>
      </c>
      <c r="CF179" s="39" t="str">
        <f t="shared" si="577"/>
        <v/>
      </c>
      <c r="CG179" s="39" t="str">
        <f t="shared" si="578"/>
        <v/>
      </c>
      <c r="CH179" s="39" t="str">
        <f t="shared" si="579"/>
        <v/>
      </c>
      <c r="CI179" s="39" t="str">
        <f t="shared" si="580"/>
        <v/>
      </c>
      <c r="CJ179" s="39" t="str">
        <f t="shared" si="486"/>
        <v/>
      </c>
      <c r="CK179" s="95" t="str">
        <f t="shared" si="581"/>
        <v/>
      </c>
      <c r="CP179" s="176"/>
      <c r="CQ179" s="99" t="str">
        <f t="shared" si="582"/>
        <v/>
      </c>
      <c r="CX179" s="196"/>
      <c r="CY179" s="89" t="e">
        <f t="shared" si="583"/>
        <v>#N/A</v>
      </c>
      <c r="CZ179" s="136" t="str">
        <f t="shared" si="584"/>
        <v/>
      </c>
      <c r="DA179" s="140" t="str">
        <f t="shared" si="585"/>
        <v/>
      </c>
      <c r="DB179" s="39" t="str">
        <f t="shared" si="586"/>
        <v/>
      </c>
      <c r="DC179" s="39" t="str">
        <f t="shared" si="587"/>
        <v/>
      </c>
      <c r="DD179" s="39" t="str">
        <f t="shared" si="588"/>
        <v/>
      </c>
      <c r="DE179" s="39" t="str">
        <f t="shared" si="589"/>
        <v/>
      </c>
      <c r="DF179" s="141" t="str">
        <f t="shared" si="590"/>
        <v/>
      </c>
      <c r="DG179" s="39" t="str">
        <f t="shared" si="591"/>
        <v/>
      </c>
      <c r="DH179" s="39" t="str">
        <f t="shared" si="592"/>
        <v/>
      </c>
      <c r="DI179" s="39" t="str">
        <f t="shared" si="593"/>
        <v/>
      </c>
      <c r="DJ179" s="74" t="str">
        <f t="shared" si="594"/>
        <v/>
      </c>
      <c r="DK179" s="45"/>
      <c r="DL179" s="84" t="e">
        <f t="shared" si="423"/>
        <v>#N/A</v>
      </c>
      <c r="DM179" s="39" t="e">
        <f t="shared" si="595"/>
        <v>#N/A</v>
      </c>
      <c r="DN179" s="74" t="e">
        <f t="shared" si="596"/>
        <v>#N/A</v>
      </c>
      <c r="DO179" s="45"/>
      <c r="DP179" s="89" t="str">
        <f t="shared" si="525"/>
        <v/>
      </c>
      <c r="DQ179" s="26" t="str">
        <f>IF(AND(Sufficient_data="Yes",Subgroup&lt;&gt;""),IF(COUNTIFS(Input!J$2:J178,"="&amp;"Yes",Input!C$2:C178,"="&amp;"Yes",Input!K$2:K178,"="&amp;Subgroup)&gt;0,"",Subgroup),"")</f>
        <v/>
      </c>
      <c r="DR179" s="7" t="str">
        <f t="shared" si="526"/>
        <v/>
      </c>
      <c r="DS179" s="7" t="str">
        <f t="shared" si="597"/>
        <v/>
      </c>
      <c r="DT179" s="19" t="str">
        <f t="shared" si="598"/>
        <v/>
      </c>
      <c r="DU179" s="12" t="str">
        <f t="shared" si="424"/>
        <v/>
      </c>
      <c r="DV179" s="11" t="str">
        <f t="shared" si="425"/>
        <v/>
      </c>
      <c r="DW179" s="12" t="str">
        <f t="shared" si="426"/>
        <v/>
      </c>
      <c r="DX179" s="12" t="str">
        <f t="shared" si="599"/>
        <v/>
      </c>
      <c r="DY179" s="19" t="str">
        <f t="shared" si="427"/>
        <v/>
      </c>
      <c r="DZ179" s="12" t="str">
        <f t="shared" si="428"/>
        <v/>
      </c>
      <c r="EA179" s="19" t="str">
        <f t="shared" si="600"/>
        <v/>
      </c>
      <c r="EB179" s="7" t="str">
        <f t="shared" si="601"/>
        <v/>
      </c>
      <c r="EC179" s="19" t="str">
        <f t="shared" si="602"/>
        <v/>
      </c>
      <c r="ED179" s="19" t="str">
        <f t="shared" si="603"/>
        <v/>
      </c>
      <c r="EE179" s="19" t="str">
        <f t="shared" si="429"/>
        <v/>
      </c>
      <c r="EF179" s="19" t="str">
        <f t="shared" si="430"/>
        <v/>
      </c>
      <c r="EG179" s="19" t="str">
        <f t="shared" si="431"/>
        <v/>
      </c>
      <c r="EH179" s="19" t="str">
        <f t="shared" si="432"/>
        <v/>
      </c>
      <c r="EI179" s="19" t="str">
        <f t="shared" si="433"/>
        <v/>
      </c>
      <c r="EJ179" s="19" t="str">
        <f t="shared" si="604"/>
        <v/>
      </c>
      <c r="EK179" s="19" t="str">
        <f t="shared" si="605"/>
        <v/>
      </c>
      <c r="EL179" s="19" t="str">
        <f t="shared" si="434"/>
        <v/>
      </c>
      <c r="EM179" s="19" t="str">
        <f t="shared" si="435"/>
        <v/>
      </c>
      <c r="EN179" s="19" t="str">
        <f t="shared" si="436"/>
        <v/>
      </c>
      <c r="EO179" s="19" t="str">
        <f t="shared" si="437"/>
        <v/>
      </c>
      <c r="EP179" s="19" t="str">
        <f t="shared" si="438"/>
        <v/>
      </c>
      <c r="EQ179" s="19" t="e">
        <f t="shared" si="439"/>
        <v>#N/A</v>
      </c>
      <c r="ER179" s="11" t="str">
        <f t="shared" si="527"/>
        <v/>
      </c>
      <c r="ES179" s="19" t="str">
        <f t="shared" si="528"/>
        <v/>
      </c>
      <c r="ET179" s="156" t="str">
        <f t="shared" si="606"/>
        <v/>
      </c>
      <c r="EU179" s="39" t="str">
        <f t="shared" si="440"/>
        <v/>
      </c>
      <c r="EV179" s="74" t="str">
        <f t="shared" si="607"/>
        <v/>
      </c>
      <c r="FA179" s="196"/>
      <c r="FB179" s="84" t="e">
        <f>IF(AND(Include_study?="Yes",Sufficient_data="Yes",Moderator&lt;&gt;""),'Moderator Analysis'!E179,NA())</f>
        <v>#N/A</v>
      </c>
      <c r="FC179" s="39" t="e">
        <f>IF(AND(Include_study?="Yes",Sufficient_data="Yes",Moderator&lt;&gt;""),'Moderator Analysis'!F179,NA())</f>
        <v>#N/A</v>
      </c>
      <c r="FD179" s="39" t="str">
        <f t="shared" si="608"/>
        <v/>
      </c>
      <c r="FE179" s="39" t="str">
        <f t="shared" si="609"/>
        <v/>
      </c>
      <c r="FF179" s="39" t="str">
        <f>IF(AND(Include_study?="Yes",Sufficient_data="Yes",Moderator&lt;&gt;""),'Moderator Analysis'!F:F-FP$2,"")</f>
        <v/>
      </c>
      <c r="FG179" s="39" t="str">
        <f>IF(AND(Include_study?="Yes",Sufficient_data="Yes",Moderator&lt;&gt;""),'Moderator Analysis'!E:E-FP$3,"")</f>
        <v/>
      </c>
      <c r="FH179" s="74" t="str">
        <f>IF(AND(Include_study?="Yes",Sufficient_data="Yes",Moderator&lt;&gt;""),FE:FE*('Moderator Analysis'!F:F-FP$5-FP$4*'Moderator Analysis'!E:E)^2,"")</f>
        <v/>
      </c>
      <c r="FI179" s="128"/>
      <c r="FJ179" s="92" t="str">
        <f t="shared" si="610"/>
        <v/>
      </c>
      <c r="FK179" s="137" t="str">
        <f>IF(AND(Include_study?="Yes",Sufficient_data="Yes",Moderator&lt;&gt;""),'Moderator Analysis'!F:F-'Moderator Analysis'!J$37,"")</f>
        <v/>
      </c>
      <c r="FL179" s="137" t="str">
        <f>IF(AND(Include_study?="Yes",Sufficient_data="Yes",Moderator&lt;&gt;""),'Moderator Analysis'!E:E-SUMPRODUCT('Moderator Analysis'!E:E,FJ:FJ)/SUM(FJ:FJ),"")</f>
        <v/>
      </c>
      <c r="FM179" s="95" t="str">
        <f>IF(AND(Include_study?="Yes",Sufficient_data="Yes",Moderator&lt;&gt;""),FJ:FJ*('Moderator Analysis'!F:F-'Moderator Analysis'!J$29-'Moderator Analysis'!J$30*'Moderator Analysis'!E:E)^2,"")</f>
        <v/>
      </c>
      <c r="FR179" s="196"/>
      <c r="FS179" s="182"/>
      <c r="FT17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79" s="39" t="str">
        <f>IF(AND(Include_study?="Yes",Sufficient_data="Yes"),1/('Publication Bias Analysis'!F:F^2+IF(Additional_model="Fixed effect",0,Calculations!GH$12)),"")</f>
        <v/>
      </c>
      <c r="FV179" s="39" t="str">
        <f>IF(AND(Include_study?="Yes",Sufficient_data="Yes"),1/('Publication Bias Analysis'!F:F^2+IF(Additional_model="Fixed effect",0,'Publication Bias Analysis'!L$32)),"")</f>
        <v/>
      </c>
      <c r="FW179" s="39" t="str">
        <f>IF(AND(Include_study?="Yes",Sufficient_data="Yes"),'Publication Bias Analysis'!E:E-'Publication Bias Analysis'!I$37,"")</f>
        <v/>
      </c>
      <c r="FX179" s="39" t="str">
        <f>IF(AND(Include_study?="Yes",Sufficient_data="Yes"),IF(Additional_model="Fixed effect",1/'Publication Bias Analysis'!F:F,1/SQRT('Publication Bias Analysis'!F:F^2+GH$12)),"")</f>
        <v/>
      </c>
      <c r="FY17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79" s="136" t="str">
        <f t="shared" si="611"/>
        <v/>
      </c>
      <c r="GA179" s="144" t="str">
        <f>IF(AND(Include_study?="Yes",Sufficient_data="Yes"),FZ:FZ+IF(GL:GL&lt;0,-1,1)*COUNTIF(FZ$2:FZ178,FZ:FZ),"")</f>
        <v/>
      </c>
      <c r="GB179" s="144" t="str">
        <f>IF(AND(Include_study?="Yes",Sufficient_data="Yes"),RANK(GP:GP,GP:GP,1)*IF(GO:GO&lt;0,-1,1)+IF(GO:GO&lt;0,-1,1)*COUNTIF(FZ$2:FZ178,FZ:FZ),"")</f>
        <v/>
      </c>
      <c r="GC179" s="144" t="str">
        <f>IF(AND(Include_study?="Yes",Sufficient_data="Yes"),RANK(GS:GS,GS:GS,1)*IF(GR:GR&lt;0,-1,1)+IF(GR:GR&lt;0,-1,1)*COUNTIF(FZ$2:FZ178,FZ:FZ),"")</f>
        <v/>
      </c>
      <c r="GD179" s="39" t="e">
        <f>IF(AND(Include_study?="Yes",Sufficient_data="Yes"),'Publication Bias Analysis'!E179,NA())</f>
        <v>#N/A</v>
      </c>
      <c r="GE179" s="74" t="e">
        <f>IF(AND(Include_study?="Yes",Sufficient_data="Yes"),'Publication Bias Analysis'!F179,NA())</f>
        <v>#N/A</v>
      </c>
      <c r="GK179" s="176"/>
      <c r="GL17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79" s="39" t="str">
        <f t="shared" si="612"/>
        <v/>
      </c>
      <c r="GN17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79" s="39" t="str">
        <f>IF(AND(Include_study?="Yes",Sufficient_data="Yes"),IF('Publication Bias Analysis'!L$38="Left",'Publication Bias Analysis'!E:E-GW$3,GW$3-'Publication Bias Analysis'!E:E),"")</f>
        <v/>
      </c>
      <c r="GP179" s="39" t="str">
        <f t="shared" si="529"/>
        <v/>
      </c>
      <c r="GQ17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79" s="39" t="str">
        <f>IF(AND(Include_study?="Yes",Sufficient_data="Yes"),IF('Publication Bias Analysis'!L$38="Left",'Publication Bias Analysis'!E:E-GW$10,GW$10-'Publication Bias Analysis'!E:E),"")</f>
        <v/>
      </c>
      <c r="GS179" s="39" t="str">
        <f t="shared" si="530"/>
        <v/>
      </c>
      <c r="GT17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79" s="176"/>
      <c r="HL179" s="69" t="str">
        <f t="shared" si="518"/>
        <v/>
      </c>
      <c r="HM179" s="74" t="str">
        <f>IF(AND(Include_study?="Yes",Sufficient_data="Yes"),Z_score-('Publication Bias Analysis'!P$3+'Publication Bias Analysis'!P$4*Inverse_standard_error),"")</f>
        <v/>
      </c>
      <c r="HO179" s="176"/>
      <c r="HP179" s="69" t="str">
        <f>IF(AND(Include_study?="Yes",Sufficient_data="Yes"),(GD:GD-SUMPRODUCT(Calculations!FT:FT,'Publication Bias Analysis'!E:E)/SUM(Calculations!FT:FT))/SQRT(Calculations!HQ:HQ),"")</f>
        <v/>
      </c>
      <c r="HQ179" s="69" t="str">
        <f>IF(AND(Include_study?="Yes",Sufficient_data="Yes"),GE:GE^2-1/SUM(Calculations!FT:FT),"")</f>
        <v/>
      </c>
      <c r="HR179" s="7" t="str">
        <f t="shared" si="441"/>
        <v/>
      </c>
      <c r="HS179" s="7" t="str">
        <f t="shared" si="442"/>
        <v/>
      </c>
      <c r="HT179" s="7" t="str">
        <f>IF(AND(Include_study?="Yes",Sufficient_data="Yes"),COUNTIFS(HR$2:HR178,"&lt;"&amp;HR179,HS$2:HS178,"&lt;"&amp;HS179)+COUNTIFS(HR180:HR$201,"&lt;"&amp;HR179,HS180:HS$201,"&lt;"&amp;HS179)+COUNTIFS(HR$2:HR178,"&gt;"&amp;HR179,HS$2:HS178,"&gt;"&amp;HS179)+COUNTIFS(HR180:HR$201,"&gt;"&amp;HR179,HS180:HS$201,"&gt;"&amp;HS179),"")</f>
        <v/>
      </c>
      <c r="HU179" s="104" t="str">
        <f>IF(AND(Include_study?="Yes",Sufficient_data="Yes"),COUNTIFS(HR$2:HR178,"&lt;"&amp;HR179,HS$2:HS178,"&gt;"&amp;HS179)+COUNTIFS(HR180:HR$201,"&lt;"&amp;HR179,HS180:HS$201,"&gt;"&amp;HS179)+COUNTIFS(HR$2:HR178,"&gt;"&amp;HR179,HS$2:HS178,"&lt;"&amp;HS179)+COUNTIFS(HR180:HR$201,"&gt;"&amp;HR179,HS180:HS$201,"&lt;"&amp;HS179),"")</f>
        <v/>
      </c>
      <c r="HW179" s="176"/>
      <c r="IB179" s="176"/>
      <c r="IC179" s="146" t="e">
        <f t="shared" si="613"/>
        <v>#N/A</v>
      </c>
      <c r="ID179" s="137" t="e">
        <f t="shared" si="614"/>
        <v>#N/A</v>
      </c>
      <c r="IE179" s="137" t="str">
        <f t="shared" si="615"/>
        <v/>
      </c>
      <c r="IF179" s="95" t="str">
        <f t="shared" si="616"/>
        <v/>
      </c>
      <c r="IK179" s="176"/>
      <c r="IL179" s="69" t="e">
        <f>IF(AND(Include_study?="Yes",Sufficient_data="Yes"),'Publication Bias Analysis'!AV:AV,NA())</f>
        <v>#N/A</v>
      </c>
      <c r="IM179" s="158" t="e">
        <f>IF(AND(Sufficient_data="Yes",Include_study?="Yes"),'Publication Bias Analysis'!AU:AU,NA())</f>
        <v>#N/A</v>
      </c>
      <c r="IN179" s="69" t="str">
        <f t="shared" si="617"/>
        <v/>
      </c>
      <c r="IO179" s="74" t="str">
        <f>IF(AND(Include_study?="Yes",Sufficient_data="Yes"),Z_score-('Publication Bias Analysis'!AY$30+'Publication Bias Analysis'!AY$31*Inverse_standard_error),"")</f>
        <v/>
      </c>
      <c r="IU179" s="176"/>
      <c r="IV179" s="7" t="str">
        <f>IF('Publication Bias Analysis'!BG:BG&lt;&gt;"",RANK('Publication Bias Analysis'!BG:BG,'Publication Bias Analysis'!BG:BG,1)+COUNTIF('Publication Bias Analysis'!BG$2:BG178,'Publication Bias Analysis'!BG179),"")</f>
        <v/>
      </c>
      <c r="IW179" s="124" t="str">
        <f t="shared" si="618"/>
        <v/>
      </c>
      <c r="IX179" s="125" t="e">
        <f>IF('Publication Bias Analysis'!BF179&lt;&gt;"",'Publication Bias Analysis'!BF179,NA())</f>
        <v>#N/A</v>
      </c>
      <c r="IY179" s="125" t="e">
        <f>IF('Publication Bias Analysis'!BG179&lt;&gt;"",'Publication Bias Analysis'!BG179,NA())</f>
        <v>#N/A</v>
      </c>
      <c r="IZ179" s="69" t="str">
        <f>IF(AND(Include_study?="Yes",Sufficient_data="Yes"),'Publication Bias Analysis'!BF:BF-AVERAGE('Publication Bias Analysis'!BF:BF),"")</f>
        <v/>
      </c>
      <c r="JA179" s="74" t="str">
        <f>IF(AND(Include_study?="Yes",Sufficient_data="Yes"),'Publication Bias Analysis'!BG:BG-('Publication Bias Analysis'!BJ$30+'Publication Bias Analysis'!BJ$31*'Publication Bias Analysis'!BF:BF),"")</f>
        <v/>
      </c>
      <c r="JG179" s="176"/>
      <c r="JH179" s="39" t="str">
        <f t="shared" si="619"/>
        <v/>
      </c>
      <c r="JI179" s="148" t="str">
        <f t="shared" si="531"/>
        <v/>
      </c>
      <c r="JJ179" s="74" t="str">
        <f t="shared" si="532"/>
        <v/>
      </c>
    </row>
    <row r="180" spans="1:270" x14ac:dyDescent="0.2">
      <c r="A180" s="56" t="str">
        <f t="shared" si="533"/>
        <v/>
      </c>
      <c r="B180" s="7" t="str">
        <f>IF(AND(Include_study?="Yes",Sufficient_data="Yes"),IF(Input!a_&lt;&gt;"",Input!a_,Input!n1_-Input!b_),"")</f>
        <v/>
      </c>
      <c r="C180" s="7" t="str">
        <f>IF(AND(Include_study?="Yes",Sufficient_data="Yes"),IF(Input!b_&lt;&gt;"",Input!b_,Input!n1_-Input!a_),"")</f>
        <v/>
      </c>
      <c r="D180" s="7" t="str">
        <f>IF(AND(Include_study?="Yes",Sufficient_data="Yes"),IF(Input!c_&lt;&gt;"",Input!c_,Input!n2_-Input!d_),"")</f>
        <v/>
      </c>
      <c r="E180" s="7" t="str">
        <f>IF(AND(Include_study?="Yes",Sufficient_data="Yes"),IF(Input!d_&lt;&gt;"",Input!d_,Input!n2_-Input!c_),"")</f>
        <v/>
      </c>
      <c r="F180" s="74" t="str">
        <f t="shared" si="534"/>
        <v/>
      </c>
      <c r="H180" s="196"/>
      <c r="I180" s="182"/>
      <c r="J180" s="146" t="str">
        <f t="shared" si="444"/>
        <v/>
      </c>
      <c r="K180" s="39" t="str">
        <f t="shared" si="535"/>
        <v/>
      </c>
      <c r="L180" s="39" t="str">
        <f t="shared" si="536"/>
        <v/>
      </c>
      <c r="M180" s="39" t="str">
        <f t="shared" si="537"/>
        <v/>
      </c>
      <c r="N180" s="74" t="str">
        <f t="shared" si="538"/>
        <v/>
      </c>
      <c r="P180" s="176"/>
      <c r="Q180" s="130" t="str">
        <f t="shared" si="539"/>
        <v/>
      </c>
      <c r="R180" s="39" t="str">
        <f t="shared" si="540"/>
        <v/>
      </c>
      <c r="S180" s="39" t="str">
        <f t="shared" si="541"/>
        <v/>
      </c>
      <c r="T180" s="74" t="str">
        <f t="shared" si="542"/>
        <v/>
      </c>
      <c r="V180" s="176"/>
      <c r="W180" s="130" t="str">
        <f t="shared" si="543"/>
        <v/>
      </c>
      <c r="X180" s="39" t="str">
        <f t="shared" si="544"/>
        <v/>
      </c>
      <c r="Y180" s="39" t="str">
        <f t="shared" si="545"/>
        <v/>
      </c>
      <c r="Z180" s="74" t="str">
        <f t="shared" si="546"/>
        <v/>
      </c>
      <c r="AB180" s="176"/>
      <c r="AC180" s="130" t="str">
        <f t="shared" si="547"/>
        <v/>
      </c>
      <c r="AD180" s="39" t="str">
        <f t="shared" si="548"/>
        <v/>
      </c>
      <c r="AE180" s="39" t="str">
        <f t="shared" si="549"/>
        <v/>
      </c>
      <c r="AF180" s="39" t="str">
        <f t="shared" si="550"/>
        <v/>
      </c>
      <c r="AG180" s="74" t="str">
        <f t="shared" si="551"/>
        <v/>
      </c>
      <c r="AI180" s="196"/>
      <c r="AJ18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0" s="136" t="str">
        <f>IF(AJ180&lt;&gt;"",IF(AJ180=0,COUNTIF(AJ$2:AJ179,0)+1,COUNTIF(AJ$2:AJ179,AJ180)+AJ180+COUNTIF(AJ:AJ,0)),"")</f>
        <v/>
      </c>
      <c r="AL180" s="136" t="str">
        <f t="shared" si="462"/>
        <v/>
      </c>
      <c r="AM180" s="155" t="str">
        <f>IF(AND(Include_study?="Yes",Sufficient_data="Yes",Input!Study_name&lt;&gt;""),Input!Study_name,"")</f>
        <v/>
      </c>
      <c r="AN180" s="136" t="str">
        <f t="shared" si="463"/>
        <v/>
      </c>
      <c r="AO180" s="19" t="str">
        <f t="shared" si="552"/>
        <v/>
      </c>
      <c r="AP180" s="158" t="str">
        <f t="shared" si="553"/>
        <v/>
      </c>
      <c r="AQ180" s="158" t="str">
        <f t="shared" si="554"/>
        <v/>
      </c>
      <c r="AR180" s="39" t="str">
        <f t="shared" si="555"/>
        <v/>
      </c>
      <c r="AS180" s="158" t="str">
        <f t="shared" si="556"/>
        <v/>
      </c>
      <c r="AT180" s="39" t="str">
        <f t="shared" si="557"/>
        <v/>
      </c>
      <c r="AU180" s="172" t="str">
        <f t="shared" si="558"/>
        <v/>
      </c>
      <c r="AV180" s="45"/>
      <c r="AW180" s="84" t="e">
        <f t="shared" si="559"/>
        <v>#N/A</v>
      </c>
      <c r="AX180" s="69" t="e">
        <f t="shared" si="560"/>
        <v>#N/A</v>
      </c>
      <c r="AY180" s="74" t="e">
        <f t="shared" si="561"/>
        <v>#N/A</v>
      </c>
      <c r="AZ180" s="45"/>
      <c r="BA180" s="45"/>
      <c r="BB180" s="45"/>
      <c r="BC180" s="45"/>
      <c r="BD180" s="196"/>
      <c r="BE180" s="182"/>
      <c r="BF180" s="69" t="str">
        <f t="shared" si="562"/>
        <v/>
      </c>
      <c r="BG180" s="69" t="str">
        <f t="shared" si="563"/>
        <v/>
      </c>
      <c r="BH180" s="69" t="str">
        <f t="shared" si="564"/>
        <v/>
      </c>
      <c r="BI180" s="39" t="str">
        <f t="shared" si="565"/>
        <v/>
      </c>
      <c r="BJ180" s="95" t="str">
        <f t="shared" si="566"/>
        <v/>
      </c>
      <c r="BO180" s="176"/>
      <c r="BP180" s="158" t="str">
        <f t="shared" si="567"/>
        <v/>
      </c>
      <c r="BQ180" s="158" t="str">
        <f t="shared" si="568"/>
        <v/>
      </c>
      <c r="BR180" s="158" t="str">
        <f t="shared" si="569"/>
        <v/>
      </c>
      <c r="BS180" s="158" t="str">
        <f>IF(AND(Sufficient_data="Yes",Include_study?="Yes"),IF(Add_0_5="Yes",(a_+d_+1)*(ab_+0.5)*(c_+0.5)/(Number_of_subjects+2)^2,(a_+d_)*b_*c_/Number_of_subjects^2),"")</f>
        <v/>
      </c>
      <c r="BT180" s="158" t="str">
        <f t="shared" si="570"/>
        <v/>
      </c>
      <c r="BU180" s="158" t="str">
        <f t="shared" si="571"/>
        <v/>
      </c>
      <c r="BV180" s="158" t="str">
        <f t="shared" si="572"/>
        <v/>
      </c>
      <c r="BW180" s="69" t="str">
        <f t="shared" si="573"/>
        <v/>
      </c>
      <c r="BX180" s="137" t="str">
        <f t="shared" si="574"/>
        <v/>
      </c>
      <c r="BY180" s="95" t="str">
        <f t="shared" si="575"/>
        <v/>
      </c>
      <c r="CD180" s="176"/>
      <c r="CE180" s="130" t="str">
        <f t="shared" si="576"/>
        <v/>
      </c>
      <c r="CF180" s="39" t="str">
        <f t="shared" si="577"/>
        <v/>
      </c>
      <c r="CG180" s="39" t="str">
        <f t="shared" si="578"/>
        <v/>
      </c>
      <c r="CH180" s="39" t="str">
        <f t="shared" si="579"/>
        <v/>
      </c>
      <c r="CI180" s="39" t="str">
        <f t="shared" si="580"/>
        <v/>
      </c>
      <c r="CJ180" s="39" t="str">
        <f t="shared" si="486"/>
        <v/>
      </c>
      <c r="CK180" s="95" t="str">
        <f t="shared" si="581"/>
        <v/>
      </c>
      <c r="CP180" s="176"/>
      <c r="CQ180" s="99" t="str">
        <f t="shared" si="582"/>
        <v/>
      </c>
      <c r="CX180" s="196"/>
      <c r="CY180" s="89" t="e">
        <f t="shared" si="583"/>
        <v>#N/A</v>
      </c>
      <c r="CZ180" s="136" t="str">
        <f t="shared" si="584"/>
        <v/>
      </c>
      <c r="DA180" s="140" t="str">
        <f t="shared" si="585"/>
        <v/>
      </c>
      <c r="DB180" s="39" t="str">
        <f t="shared" si="586"/>
        <v/>
      </c>
      <c r="DC180" s="39" t="str">
        <f t="shared" si="587"/>
        <v/>
      </c>
      <c r="DD180" s="39" t="str">
        <f t="shared" si="588"/>
        <v/>
      </c>
      <c r="DE180" s="39" t="str">
        <f t="shared" si="589"/>
        <v/>
      </c>
      <c r="DF180" s="141" t="str">
        <f t="shared" si="590"/>
        <v/>
      </c>
      <c r="DG180" s="39" t="str">
        <f t="shared" si="591"/>
        <v/>
      </c>
      <c r="DH180" s="39" t="str">
        <f t="shared" si="592"/>
        <v/>
      </c>
      <c r="DI180" s="39" t="str">
        <f t="shared" si="593"/>
        <v/>
      </c>
      <c r="DJ180" s="74" t="str">
        <f t="shared" si="594"/>
        <v/>
      </c>
      <c r="DK180" s="45"/>
      <c r="DL180" s="84" t="e">
        <f t="shared" ref="DL180:DL201" si="620">IF(Subgroup_effect_size&lt;&gt;"",IF(Subgroup_effect_size_measure="Risk Difference",Subgroup_effect_size,DG:DG),NA())</f>
        <v>#N/A</v>
      </c>
      <c r="DM180" s="39" t="e">
        <f t="shared" si="595"/>
        <v>#N/A</v>
      </c>
      <c r="DN180" s="74" t="e">
        <f t="shared" si="596"/>
        <v>#N/A</v>
      </c>
      <c r="DO180" s="45"/>
      <c r="DP180" s="89" t="str">
        <f t="shared" si="525"/>
        <v/>
      </c>
      <c r="DQ180" s="26" t="str">
        <f>IF(AND(Sufficient_data="Yes",Subgroup&lt;&gt;""),IF(COUNTIFS(Input!J$2:J179,"="&amp;"Yes",Input!C$2:C179,"="&amp;"Yes",Input!K$2:K179,"="&amp;Subgroup)&gt;0,"",Subgroup),"")</f>
        <v/>
      </c>
      <c r="DR180" s="7" t="str">
        <f t="shared" si="526"/>
        <v/>
      </c>
      <c r="DS180" s="7" t="str">
        <f t="shared" si="597"/>
        <v/>
      </c>
      <c r="DT180" s="19" t="str">
        <f t="shared" si="598"/>
        <v/>
      </c>
      <c r="DU180" s="12" t="str">
        <f t="shared" ref="DU180:DU201" si="621">IF(DT180&lt;&gt;"",CHIDIST(DT180,DS180-1),"")</f>
        <v/>
      </c>
      <c r="DV180" s="11" t="str">
        <f t="shared" ref="DV180:DV201" si="622">IF(DT180&lt;&gt;"",IF((DT180-(DS180-1))&lt;=0,0,(DT180-(DS180-1))/DT180),"")</f>
        <v/>
      </c>
      <c r="DW180" s="12" t="str">
        <f t="shared" ref="DW180:DW201" si="623">IF(DT180&lt;&gt;"",SUMIF(Subgroup,DQ180,Subgroup_weightf)-SUMPRODUCT(--(Subgroup=DQ180),Subgroup_weightf,Subgroup_weightf)/SUMIF(Subgroup,DQ180,Subgroup_weightf),"")</f>
        <v/>
      </c>
      <c r="DX180" s="12" t="str">
        <f t="shared" si="599"/>
        <v/>
      </c>
      <c r="DY180" s="19" t="str">
        <f t="shared" ref="DY180:DY201" si="624">IF(DX180&lt;&gt;"",SQRT(DX180),"")</f>
        <v/>
      </c>
      <c r="DZ180" s="12" t="str">
        <f t="shared" ref="DZ180:DZ201" si="625">IF(DT180&lt;&gt;"",SUMPRODUCT(--(Subgroup=DQ180),DE:DE,Subgroup_effect_size)/SUMIF(Subgroup,DQ180,DE:DE),"")</f>
        <v/>
      </c>
      <c r="EA180" s="19" t="str">
        <f t="shared" si="600"/>
        <v/>
      </c>
      <c r="EB180" s="7" t="str">
        <f t="shared" si="601"/>
        <v/>
      </c>
      <c r="EC180" s="19" t="str">
        <f t="shared" si="602"/>
        <v/>
      </c>
      <c r="ED180" s="19" t="str">
        <f t="shared" si="603"/>
        <v/>
      </c>
      <c r="EE180" s="19" t="str">
        <f t="shared" ref="EE180:EE201" si="626">IF(AND(EE$1&lt;&gt;"",DT180&lt;&gt;""),EXP(DZ180),"")</f>
        <v/>
      </c>
      <c r="EF180" s="19" t="str">
        <f t="shared" ref="EF180:EF201" si="627">IF(AND(EF$1&lt;&gt;"",DT180&lt;&gt;""),EXP(EC180),"")</f>
        <v/>
      </c>
      <c r="EG180" s="19" t="str">
        <f t="shared" ref="EG180:EG201" si="628">IF(AND(EG$1&lt;&gt;"",DT180&lt;&gt;""),EXP(ED180),"")</f>
        <v/>
      </c>
      <c r="EH180" s="19" t="str">
        <f t="shared" ref="EH180:EH201" si="629">IF(AND(EE$1&lt;&gt;"",DT180&lt;&gt;""),EE180-EF180,IF(DT180&lt;&gt;"",DZ180-EC180,""))</f>
        <v/>
      </c>
      <c r="EI180" s="19" t="str">
        <f t="shared" ref="EI180:EI201" si="630">IF(AND(EE$1&lt;&gt;"",DT180&lt;&gt;""),EG180-EE180,IF(DT180&lt;&gt;"",ED180-DZ180,""))</f>
        <v/>
      </c>
      <c r="EJ180" s="19" t="str">
        <f t="shared" si="604"/>
        <v/>
      </c>
      <c r="EK180" s="19" t="str">
        <f t="shared" si="605"/>
        <v/>
      </c>
      <c r="EL180" s="19" t="str">
        <f t="shared" ref="EL180:EL201" si="631">IF(AND(EL$1&lt;&gt;"",DT180&lt;&gt;""),EXP(EJ180),"")</f>
        <v/>
      </c>
      <c r="EM180" s="19" t="str">
        <f t="shared" ref="EM180:EM201" si="632">IF(AND(EM$1&lt;&gt;"",DT180&lt;&gt;""),EXP(EK180),"")</f>
        <v/>
      </c>
      <c r="EN180" s="19" t="str">
        <f t="shared" ref="EN180:EN201" si="633">IF(AND(EE$1&lt;&gt;"",DT180&lt;&gt;""),EE180-EL180,IF(DT180&lt;&gt;"",DZ180-EJ180,""))</f>
        <v/>
      </c>
      <c r="EO180" s="19" t="str">
        <f t="shared" ref="EO180:EO201" si="634">IF(AND(EE$1&lt;&gt;"",DT180&lt;&gt;""),EM180-EE180,IF(DT180&lt;&gt;"",EK180-DZ180,""))</f>
        <v/>
      </c>
      <c r="EP180" s="19" t="str">
        <f t="shared" ref="EP180:EP201" si="635">IF(DT180&lt;&gt;"",SUMPRODUCT(--(Subgroup=DQ180),DE:DE,Subgroup_effect_size,Subgroup_effect_size)-(SUMPRODUCT(--(Subgroup=DQ180),DE:DE,Subgroup_effect_size)^2/SUMIF(Subgroup,DQ180,DE:DE)),"")</f>
        <v/>
      </c>
      <c r="EQ180" s="19" t="e">
        <f t="shared" ref="EQ180:EQ201" si="636">IF(DT180&lt;&gt;"",IF(EE180&lt;&gt;"",EE180,DZ180),NA())</f>
        <v>#N/A</v>
      </c>
      <c r="ER180" s="11" t="str">
        <f t="shared" si="527"/>
        <v/>
      </c>
      <c r="ES180" s="19" t="str">
        <f t="shared" si="528"/>
        <v/>
      </c>
      <c r="ET180" s="156" t="str">
        <f t="shared" si="606"/>
        <v/>
      </c>
      <c r="EU180" s="39" t="str">
        <f t="shared" ref="EU180:EU201" si="637">IF(ES180&lt;&gt;"",IF(Subgroup_effect_size_measure="Risk Difference",(EY$9-DZ180)^2*ET180,(EY$2-DZ180)^2*ET180),"")</f>
        <v/>
      </c>
      <c r="EV180" s="74" t="str">
        <f t="shared" si="607"/>
        <v/>
      </c>
      <c r="FA180" s="196"/>
      <c r="FB180" s="84" t="e">
        <f>IF(AND(Include_study?="Yes",Sufficient_data="Yes",Moderator&lt;&gt;""),'Moderator Analysis'!E180,NA())</f>
        <v>#N/A</v>
      </c>
      <c r="FC180" s="39" t="e">
        <f>IF(AND(Include_study?="Yes",Sufficient_data="Yes",Moderator&lt;&gt;""),'Moderator Analysis'!F180,NA())</f>
        <v>#N/A</v>
      </c>
      <c r="FD180" s="39" t="str">
        <f t="shared" si="608"/>
        <v/>
      </c>
      <c r="FE180" s="39" t="str">
        <f t="shared" si="609"/>
        <v/>
      </c>
      <c r="FF180" s="39" t="str">
        <f>IF(AND(Include_study?="Yes",Sufficient_data="Yes",Moderator&lt;&gt;""),'Moderator Analysis'!F:F-FP$2,"")</f>
        <v/>
      </c>
      <c r="FG180" s="39" t="str">
        <f>IF(AND(Include_study?="Yes",Sufficient_data="Yes",Moderator&lt;&gt;""),'Moderator Analysis'!E:E-FP$3,"")</f>
        <v/>
      </c>
      <c r="FH180" s="74" t="str">
        <f>IF(AND(Include_study?="Yes",Sufficient_data="Yes",Moderator&lt;&gt;""),FE:FE*('Moderator Analysis'!F:F-FP$5-FP$4*'Moderator Analysis'!E:E)^2,"")</f>
        <v/>
      </c>
      <c r="FI180" s="128"/>
      <c r="FJ180" s="92" t="str">
        <f t="shared" si="610"/>
        <v/>
      </c>
      <c r="FK180" s="137" t="str">
        <f>IF(AND(Include_study?="Yes",Sufficient_data="Yes",Moderator&lt;&gt;""),'Moderator Analysis'!F:F-'Moderator Analysis'!J$37,"")</f>
        <v/>
      </c>
      <c r="FL180" s="137" t="str">
        <f>IF(AND(Include_study?="Yes",Sufficient_data="Yes",Moderator&lt;&gt;""),'Moderator Analysis'!E:E-SUMPRODUCT('Moderator Analysis'!E:E,FJ:FJ)/SUM(FJ:FJ),"")</f>
        <v/>
      </c>
      <c r="FM180" s="95" t="str">
        <f>IF(AND(Include_study?="Yes",Sufficient_data="Yes",Moderator&lt;&gt;""),FJ:FJ*('Moderator Analysis'!F:F-'Moderator Analysis'!J$29-'Moderator Analysis'!J$30*'Moderator Analysis'!E:E)^2,"")</f>
        <v/>
      </c>
      <c r="FR180" s="196"/>
      <c r="FS180" s="182"/>
      <c r="FT18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0" s="39" t="str">
        <f>IF(AND(Include_study?="Yes",Sufficient_data="Yes"),1/('Publication Bias Analysis'!F:F^2+IF(Additional_model="Fixed effect",0,Calculations!GH$12)),"")</f>
        <v/>
      </c>
      <c r="FV180" s="39" t="str">
        <f>IF(AND(Include_study?="Yes",Sufficient_data="Yes"),1/('Publication Bias Analysis'!F:F^2+IF(Additional_model="Fixed effect",0,'Publication Bias Analysis'!L$32)),"")</f>
        <v/>
      </c>
      <c r="FW180" s="39" t="str">
        <f>IF(AND(Include_study?="Yes",Sufficient_data="Yes"),'Publication Bias Analysis'!E:E-'Publication Bias Analysis'!I$37,"")</f>
        <v/>
      </c>
      <c r="FX180" s="39" t="str">
        <f>IF(AND(Include_study?="Yes",Sufficient_data="Yes"),IF(Additional_model="Fixed effect",1/'Publication Bias Analysis'!F:F,1/SQRT('Publication Bias Analysis'!F:F^2+GH$12)),"")</f>
        <v/>
      </c>
      <c r="FY18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0" s="136" t="str">
        <f t="shared" si="611"/>
        <v/>
      </c>
      <c r="GA180" s="144" t="str">
        <f>IF(AND(Include_study?="Yes",Sufficient_data="Yes"),FZ:FZ+IF(GL:GL&lt;0,-1,1)*COUNTIF(FZ$2:FZ179,FZ:FZ),"")</f>
        <v/>
      </c>
      <c r="GB180" s="144" t="str">
        <f>IF(AND(Include_study?="Yes",Sufficient_data="Yes"),RANK(GP:GP,GP:GP,1)*IF(GO:GO&lt;0,-1,1)+IF(GO:GO&lt;0,-1,1)*COUNTIF(FZ$2:FZ179,FZ:FZ),"")</f>
        <v/>
      </c>
      <c r="GC180" s="144" t="str">
        <f>IF(AND(Include_study?="Yes",Sufficient_data="Yes"),RANK(GS:GS,GS:GS,1)*IF(GR:GR&lt;0,-1,1)+IF(GR:GR&lt;0,-1,1)*COUNTIF(FZ$2:FZ179,FZ:FZ),"")</f>
        <v/>
      </c>
      <c r="GD180" s="39" t="e">
        <f>IF(AND(Include_study?="Yes",Sufficient_data="Yes"),'Publication Bias Analysis'!E180,NA())</f>
        <v>#N/A</v>
      </c>
      <c r="GE180" s="74" t="e">
        <f>IF(AND(Include_study?="Yes",Sufficient_data="Yes"),'Publication Bias Analysis'!F180,NA())</f>
        <v>#N/A</v>
      </c>
      <c r="GK180" s="176"/>
      <c r="GL18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0" s="39" t="str">
        <f t="shared" si="612"/>
        <v/>
      </c>
      <c r="GN18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0" s="39" t="str">
        <f>IF(AND(Include_study?="Yes",Sufficient_data="Yes"),IF('Publication Bias Analysis'!L$38="Left",'Publication Bias Analysis'!E:E-GW$3,GW$3-'Publication Bias Analysis'!E:E),"")</f>
        <v/>
      </c>
      <c r="GP180" s="39" t="str">
        <f t="shared" si="529"/>
        <v/>
      </c>
      <c r="GQ18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0" s="39" t="str">
        <f>IF(AND(Include_study?="Yes",Sufficient_data="Yes"),IF('Publication Bias Analysis'!L$38="Left",'Publication Bias Analysis'!E:E-GW$10,GW$10-'Publication Bias Analysis'!E:E),"")</f>
        <v/>
      </c>
      <c r="GS180" s="39" t="str">
        <f t="shared" si="530"/>
        <v/>
      </c>
      <c r="GT18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0" s="176"/>
      <c r="HL180" s="69" t="str">
        <f t="shared" si="518"/>
        <v/>
      </c>
      <c r="HM180" s="74" t="str">
        <f>IF(AND(Include_study?="Yes",Sufficient_data="Yes"),Z_score-('Publication Bias Analysis'!P$3+'Publication Bias Analysis'!P$4*Inverse_standard_error),"")</f>
        <v/>
      </c>
      <c r="HO180" s="176"/>
      <c r="HP180" s="69" t="str">
        <f>IF(AND(Include_study?="Yes",Sufficient_data="Yes"),(GD:GD-SUMPRODUCT(Calculations!FT:FT,'Publication Bias Analysis'!E:E)/SUM(Calculations!FT:FT))/SQRT(Calculations!HQ:HQ),"")</f>
        <v/>
      </c>
      <c r="HQ180" s="69" t="str">
        <f>IF(AND(Include_study?="Yes",Sufficient_data="Yes"),GE:GE^2-1/SUM(Calculations!FT:FT),"")</f>
        <v/>
      </c>
      <c r="HR180" s="7" t="str">
        <f t="shared" ref="HR180:HR201" si="638">IF(AND(Include_study?="Yes",Sufficient_data="Yes"),RANK(HP:HP,HP:HP,0),"")</f>
        <v/>
      </c>
      <c r="HS180" s="7" t="str">
        <f t="shared" ref="HS180:HS201" si="639">IF(AND(Include_study?="Yes",Sufficient_data="Yes"),RANK(HQ:HQ,HQ:HQ,0),"")</f>
        <v/>
      </c>
      <c r="HT180" s="7" t="str">
        <f>IF(AND(Include_study?="Yes",Sufficient_data="Yes"),COUNTIFS(HR$2:HR179,"&lt;"&amp;HR180,HS$2:HS179,"&lt;"&amp;HS180)+COUNTIFS(HR181:HR$201,"&lt;"&amp;HR180,HS181:HS$201,"&lt;"&amp;HS180)+COUNTIFS(HR$2:HR179,"&gt;"&amp;HR180,HS$2:HS179,"&gt;"&amp;HS180)+COUNTIFS(HR181:HR$201,"&gt;"&amp;HR180,HS181:HS$201,"&gt;"&amp;HS180),"")</f>
        <v/>
      </c>
      <c r="HU180" s="104" t="str">
        <f>IF(AND(Include_study?="Yes",Sufficient_data="Yes"),COUNTIFS(HR$2:HR179,"&lt;"&amp;HR180,HS$2:HS179,"&gt;"&amp;HS180)+COUNTIFS(HR181:HR$201,"&lt;"&amp;HR180,HS181:HS$201,"&gt;"&amp;HS180)+COUNTIFS(HR$2:HR179,"&gt;"&amp;HR180,HS$2:HS179,"&lt;"&amp;HS180)+COUNTIFS(HR181:HR$201,"&gt;"&amp;HR180,HS181:HS$201,"&lt;"&amp;HS180),"")</f>
        <v/>
      </c>
      <c r="HW180" s="176"/>
      <c r="IB180" s="176"/>
      <c r="IC180" s="146" t="e">
        <f t="shared" si="613"/>
        <v>#N/A</v>
      </c>
      <c r="ID180" s="137" t="e">
        <f t="shared" si="614"/>
        <v>#N/A</v>
      </c>
      <c r="IE180" s="137" t="str">
        <f t="shared" si="615"/>
        <v/>
      </c>
      <c r="IF180" s="95" t="str">
        <f t="shared" si="616"/>
        <v/>
      </c>
      <c r="IK180" s="176"/>
      <c r="IL180" s="69" t="e">
        <f>IF(AND(Include_study?="Yes",Sufficient_data="Yes"),'Publication Bias Analysis'!AV:AV,NA())</f>
        <v>#N/A</v>
      </c>
      <c r="IM180" s="158" t="e">
        <f>IF(AND(Sufficient_data="Yes",Include_study?="Yes"),'Publication Bias Analysis'!AU:AU,NA())</f>
        <v>#N/A</v>
      </c>
      <c r="IN180" s="69" t="str">
        <f t="shared" si="617"/>
        <v/>
      </c>
      <c r="IO180" s="74" t="str">
        <f>IF(AND(Include_study?="Yes",Sufficient_data="Yes"),Z_score-('Publication Bias Analysis'!AY$30+'Publication Bias Analysis'!AY$31*Inverse_standard_error),"")</f>
        <v/>
      </c>
      <c r="IU180" s="176"/>
      <c r="IV180" s="7" t="str">
        <f>IF('Publication Bias Analysis'!BG:BG&lt;&gt;"",RANK('Publication Bias Analysis'!BG:BG,'Publication Bias Analysis'!BG:BG,1)+COUNTIF('Publication Bias Analysis'!BG$2:BG179,'Publication Bias Analysis'!BG180),"")</f>
        <v/>
      </c>
      <c r="IW180" s="124" t="str">
        <f t="shared" si="618"/>
        <v/>
      </c>
      <c r="IX180" s="125" t="e">
        <f>IF('Publication Bias Analysis'!BF180&lt;&gt;"",'Publication Bias Analysis'!BF180,NA())</f>
        <v>#N/A</v>
      </c>
      <c r="IY180" s="125" t="e">
        <f>IF('Publication Bias Analysis'!BG180&lt;&gt;"",'Publication Bias Analysis'!BG180,NA())</f>
        <v>#N/A</v>
      </c>
      <c r="IZ180" s="69" t="str">
        <f>IF(AND(Include_study?="Yes",Sufficient_data="Yes"),'Publication Bias Analysis'!BF:BF-AVERAGE('Publication Bias Analysis'!BF:BF),"")</f>
        <v/>
      </c>
      <c r="JA180" s="74" t="str">
        <f>IF(AND(Include_study?="Yes",Sufficient_data="Yes"),'Publication Bias Analysis'!BG:BG-('Publication Bias Analysis'!BJ$30+'Publication Bias Analysis'!BJ$31*'Publication Bias Analysis'!BF:BF),"")</f>
        <v/>
      </c>
      <c r="JG180" s="176"/>
      <c r="JH180" s="39" t="str">
        <f t="shared" si="619"/>
        <v/>
      </c>
      <c r="JI180" s="148" t="str">
        <f t="shared" si="531"/>
        <v/>
      </c>
      <c r="JJ180" s="74" t="str">
        <f t="shared" si="532"/>
        <v/>
      </c>
    </row>
    <row r="181" spans="1:270" x14ac:dyDescent="0.2">
      <c r="A181" s="56" t="str">
        <f t="shared" si="533"/>
        <v/>
      </c>
      <c r="B181" s="7" t="str">
        <f>IF(AND(Include_study?="Yes",Sufficient_data="Yes"),IF(Input!a_&lt;&gt;"",Input!a_,Input!n1_-Input!b_),"")</f>
        <v/>
      </c>
      <c r="C181" s="7" t="str">
        <f>IF(AND(Include_study?="Yes",Sufficient_data="Yes"),IF(Input!b_&lt;&gt;"",Input!b_,Input!n1_-Input!a_),"")</f>
        <v/>
      </c>
      <c r="D181" s="7" t="str">
        <f>IF(AND(Include_study?="Yes",Sufficient_data="Yes"),IF(Input!c_&lt;&gt;"",Input!c_,Input!n2_-Input!d_),"")</f>
        <v/>
      </c>
      <c r="E181" s="7" t="str">
        <f>IF(AND(Include_study?="Yes",Sufficient_data="Yes"),IF(Input!d_&lt;&gt;"",Input!d_,Input!n2_-Input!c_),"")</f>
        <v/>
      </c>
      <c r="F181" s="74" t="str">
        <f t="shared" si="534"/>
        <v/>
      </c>
      <c r="H181" s="196"/>
      <c r="I181" s="182"/>
      <c r="J181" s="146" t="str">
        <f t="shared" si="444"/>
        <v/>
      </c>
      <c r="K181" s="39" t="str">
        <f t="shared" si="535"/>
        <v/>
      </c>
      <c r="L181" s="39" t="str">
        <f t="shared" si="536"/>
        <v/>
      </c>
      <c r="M181" s="39" t="str">
        <f t="shared" si="537"/>
        <v/>
      </c>
      <c r="N181" s="74" t="str">
        <f t="shared" si="538"/>
        <v/>
      </c>
      <c r="P181" s="176"/>
      <c r="Q181" s="130" t="str">
        <f t="shared" si="539"/>
        <v/>
      </c>
      <c r="R181" s="39" t="str">
        <f t="shared" si="540"/>
        <v/>
      </c>
      <c r="S181" s="39" t="str">
        <f t="shared" si="541"/>
        <v/>
      </c>
      <c r="T181" s="74" t="str">
        <f t="shared" si="542"/>
        <v/>
      </c>
      <c r="V181" s="176"/>
      <c r="W181" s="130" t="str">
        <f t="shared" si="543"/>
        <v/>
      </c>
      <c r="X181" s="39" t="str">
        <f t="shared" si="544"/>
        <v/>
      </c>
      <c r="Y181" s="39" t="str">
        <f t="shared" si="545"/>
        <v/>
      </c>
      <c r="Z181" s="74" t="str">
        <f t="shared" si="546"/>
        <v/>
      </c>
      <c r="AB181" s="176"/>
      <c r="AC181" s="130" t="str">
        <f t="shared" si="547"/>
        <v/>
      </c>
      <c r="AD181" s="39" t="str">
        <f t="shared" si="548"/>
        <v/>
      </c>
      <c r="AE181" s="39" t="str">
        <f t="shared" si="549"/>
        <v/>
      </c>
      <c r="AF181" s="39" t="str">
        <f t="shared" si="550"/>
        <v/>
      </c>
      <c r="AG181" s="74" t="str">
        <f t="shared" si="551"/>
        <v/>
      </c>
      <c r="AI181" s="196"/>
      <c r="AJ18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1" s="136" t="str">
        <f>IF(AJ181&lt;&gt;"",IF(AJ181=0,COUNTIF(AJ$2:AJ180,0)+1,COUNTIF(AJ$2:AJ180,AJ181)+AJ181+COUNTIF(AJ:AJ,0)),"")</f>
        <v/>
      </c>
      <c r="AL181" s="136" t="str">
        <f t="shared" si="462"/>
        <v/>
      </c>
      <c r="AM181" s="155" t="str">
        <f>IF(AND(Include_study?="Yes",Sufficient_data="Yes",Input!Study_name&lt;&gt;""),Input!Study_name,"")</f>
        <v/>
      </c>
      <c r="AN181" s="136" t="str">
        <f t="shared" si="463"/>
        <v/>
      </c>
      <c r="AO181" s="19" t="str">
        <f t="shared" si="552"/>
        <v/>
      </c>
      <c r="AP181" s="158" t="str">
        <f t="shared" si="553"/>
        <v/>
      </c>
      <c r="AQ181" s="158" t="str">
        <f t="shared" si="554"/>
        <v/>
      </c>
      <c r="AR181" s="39" t="str">
        <f t="shared" si="555"/>
        <v/>
      </c>
      <c r="AS181" s="158" t="str">
        <f t="shared" si="556"/>
        <v/>
      </c>
      <c r="AT181" s="39" t="str">
        <f t="shared" si="557"/>
        <v/>
      </c>
      <c r="AU181" s="172" t="str">
        <f t="shared" si="558"/>
        <v/>
      </c>
      <c r="AV181" s="45"/>
      <c r="AW181" s="84" t="e">
        <f t="shared" si="559"/>
        <v>#N/A</v>
      </c>
      <c r="AX181" s="69" t="e">
        <f t="shared" si="560"/>
        <v>#N/A</v>
      </c>
      <c r="AY181" s="74" t="e">
        <f t="shared" si="561"/>
        <v>#N/A</v>
      </c>
      <c r="AZ181" s="45"/>
      <c r="BA181" s="45"/>
      <c r="BB181" s="45"/>
      <c r="BC181" s="45"/>
      <c r="BD181" s="196"/>
      <c r="BE181" s="182"/>
      <c r="BF181" s="69" t="str">
        <f t="shared" si="562"/>
        <v/>
      </c>
      <c r="BG181" s="69" t="str">
        <f t="shared" si="563"/>
        <v/>
      </c>
      <c r="BH181" s="69" t="str">
        <f t="shared" si="564"/>
        <v/>
      </c>
      <c r="BI181" s="39" t="str">
        <f t="shared" si="565"/>
        <v/>
      </c>
      <c r="BJ181" s="95" t="str">
        <f t="shared" si="566"/>
        <v/>
      </c>
      <c r="BO181" s="176"/>
      <c r="BP181" s="158" t="str">
        <f t="shared" si="567"/>
        <v/>
      </c>
      <c r="BQ181" s="158" t="str">
        <f t="shared" si="568"/>
        <v/>
      </c>
      <c r="BR181" s="158" t="str">
        <f t="shared" si="569"/>
        <v/>
      </c>
      <c r="BS181" s="158" t="str">
        <f>IF(AND(Sufficient_data="Yes",Include_study?="Yes"),IF(Add_0_5="Yes",(a_+d_+1)*(ab_+0.5)*(c_+0.5)/(Number_of_subjects+2)^2,(a_+d_)*b_*c_/Number_of_subjects^2),"")</f>
        <v/>
      </c>
      <c r="BT181" s="158" t="str">
        <f t="shared" si="570"/>
        <v/>
      </c>
      <c r="BU181" s="158" t="str">
        <f t="shared" si="571"/>
        <v/>
      </c>
      <c r="BV181" s="158" t="str">
        <f t="shared" si="572"/>
        <v/>
      </c>
      <c r="BW181" s="69" t="str">
        <f t="shared" si="573"/>
        <v/>
      </c>
      <c r="BX181" s="137" t="str">
        <f t="shared" si="574"/>
        <v/>
      </c>
      <c r="BY181" s="95" t="str">
        <f t="shared" si="575"/>
        <v/>
      </c>
      <c r="CD181" s="176"/>
      <c r="CE181" s="130" t="str">
        <f t="shared" si="576"/>
        <v/>
      </c>
      <c r="CF181" s="39" t="str">
        <f t="shared" si="577"/>
        <v/>
      </c>
      <c r="CG181" s="39" t="str">
        <f t="shared" si="578"/>
        <v/>
      </c>
      <c r="CH181" s="39" t="str">
        <f t="shared" si="579"/>
        <v/>
      </c>
      <c r="CI181" s="39" t="str">
        <f t="shared" si="580"/>
        <v/>
      </c>
      <c r="CJ181" s="39" t="str">
        <f t="shared" si="486"/>
        <v/>
      </c>
      <c r="CK181" s="95" t="str">
        <f t="shared" si="581"/>
        <v/>
      </c>
      <c r="CP181" s="176"/>
      <c r="CQ181" s="99" t="str">
        <f t="shared" si="582"/>
        <v/>
      </c>
      <c r="CX181" s="196"/>
      <c r="CY181" s="89" t="e">
        <f t="shared" si="583"/>
        <v>#N/A</v>
      </c>
      <c r="CZ181" s="136" t="str">
        <f t="shared" si="584"/>
        <v/>
      </c>
      <c r="DA181" s="140" t="str">
        <f t="shared" si="585"/>
        <v/>
      </c>
      <c r="DB181" s="39" t="str">
        <f t="shared" si="586"/>
        <v/>
      </c>
      <c r="DC181" s="39" t="str">
        <f t="shared" si="587"/>
        <v/>
      </c>
      <c r="DD181" s="39" t="str">
        <f t="shared" si="588"/>
        <v/>
      </c>
      <c r="DE181" s="39" t="str">
        <f t="shared" si="589"/>
        <v/>
      </c>
      <c r="DF181" s="141" t="str">
        <f t="shared" si="590"/>
        <v/>
      </c>
      <c r="DG181" s="39" t="str">
        <f t="shared" si="591"/>
        <v/>
      </c>
      <c r="DH181" s="39" t="str">
        <f t="shared" si="592"/>
        <v/>
      </c>
      <c r="DI181" s="39" t="str">
        <f t="shared" si="593"/>
        <v/>
      </c>
      <c r="DJ181" s="74" t="str">
        <f t="shared" si="594"/>
        <v/>
      </c>
      <c r="DK181" s="45"/>
      <c r="DL181" s="84" t="e">
        <f t="shared" si="620"/>
        <v>#N/A</v>
      </c>
      <c r="DM181" s="39" t="e">
        <f t="shared" si="595"/>
        <v>#N/A</v>
      </c>
      <c r="DN181" s="74" t="e">
        <f t="shared" si="596"/>
        <v>#N/A</v>
      </c>
      <c r="DO181" s="45"/>
      <c r="DP181" s="89" t="str">
        <f t="shared" si="525"/>
        <v/>
      </c>
      <c r="DQ181" s="26" t="str">
        <f>IF(AND(Sufficient_data="Yes",Subgroup&lt;&gt;""),IF(COUNTIFS(Input!J$2:J180,"="&amp;"Yes",Input!C$2:C180,"="&amp;"Yes",Input!K$2:K180,"="&amp;Subgroup)&gt;0,"",Subgroup),"")</f>
        <v/>
      </c>
      <c r="DR181" s="7" t="str">
        <f t="shared" si="526"/>
        <v/>
      </c>
      <c r="DS181" s="7" t="str">
        <f t="shared" si="597"/>
        <v/>
      </c>
      <c r="DT181" s="19" t="str">
        <f t="shared" si="598"/>
        <v/>
      </c>
      <c r="DU181" s="12" t="str">
        <f t="shared" si="621"/>
        <v/>
      </c>
      <c r="DV181" s="11" t="str">
        <f t="shared" si="622"/>
        <v/>
      </c>
      <c r="DW181" s="12" t="str">
        <f t="shared" si="623"/>
        <v/>
      </c>
      <c r="DX181" s="12" t="str">
        <f t="shared" si="599"/>
        <v/>
      </c>
      <c r="DY181" s="19" t="str">
        <f t="shared" si="624"/>
        <v/>
      </c>
      <c r="DZ181" s="12" t="str">
        <f t="shared" si="625"/>
        <v/>
      </c>
      <c r="EA181" s="19" t="str">
        <f t="shared" si="600"/>
        <v/>
      </c>
      <c r="EB181" s="7" t="str">
        <f t="shared" si="601"/>
        <v/>
      </c>
      <c r="EC181" s="19" t="str">
        <f t="shared" si="602"/>
        <v/>
      </c>
      <c r="ED181" s="19" t="str">
        <f t="shared" si="603"/>
        <v/>
      </c>
      <c r="EE181" s="19" t="str">
        <f t="shared" si="626"/>
        <v/>
      </c>
      <c r="EF181" s="19" t="str">
        <f t="shared" si="627"/>
        <v/>
      </c>
      <c r="EG181" s="19" t="str">
        <f t="shared" si="628"/>
        <v/>
      </c>
      <c r="EH181" s="19" t="str">
        <f t="shared" si="629"/>
        <v/>
      </c>
      <c r="EI181" s="19" t="str">
        <f t="shared" si="630"/>
        <v/>
      </c>
      <c r="EJ181" s="19" t="str">
        <f t="shared" si="604"/>
        <v/>
      </c>
      <c r="EK181" s="19" t="str">
        <f t="shared" si="605"/>
        <v/>
      </c>
      <c r="EL181" s="19" t="str">
        <f t="shared" si="631"/>
        <v/>
      </c>
      <c r="EM181" s="19" t="str">
        <f t="shared" si="632"/>
        <v/>
      </c>
      <c r="EN181" s="19" t="str">
        <f t="shared" si="633"/>
        <v/>
      </c>
      <c r="EO181" s="19" t="str">
        <f t="shared" si="634"/>
        <v/>
      </c>
      <c r="EP181" s="19" t="str">
        <f t="shared" si="635"/>
        <v/>
      </c>
      <c r="EQ181" s="19" t="e">
        <f t="shared" si="636"/>
        <v>#N/A</v>
      </c>
      <c r="ER181" s="11" t="str">
        <f t="shared" si="527"/>
        <v/>
      </c>
      <c r="ES181" s="19" t="str">
        <f t="shared" si="528"/>
        <v/>
      </c>
      <c r="ET181" s="156" t="str">
        <f t="shared" si="606"/>
        <v/>
      </c>
      <c r="EU181" s="39" t="str">
        <f t="shared" si="637"/>
        <v/>
      </c>
      <c r="EV181" s="74" t="str">
        <f t="shared" si="607"/>
        <v/>
      </c>
      <c r="FA181" s="196"/>
      <c r="FB181" s="84" t="e">
        <f>IF(AND(Include_study?="Yes",Sufficient_data="Yes",Moderator&lt;&gt;""),'Moderator Analysis'!E181,NA())</f>
        <v>#N/A</v>
      </c>
      <c r="FC181" s="39" t="e">
        <f>IF(AND(Include_study?="Yes",Sufficient_data="Yes",Moderator&lt;&gt;""),'Moderator Analysis'!F181,NA())</f>
        <v>#N/A</v>
      </c>
      <c r="FD181" s="39" t="str">
        <f t="shared" si="608"/>
        <v/>
      </c>
      <c r="FE181" s="39" t="str">
        <f t="shared" si="609"/>
        <v/>
      </c>
      <c r="FF181" s="39" t="str">
        <f>IF(AND(Include_study?="Yes",Sufficient_data="Yes",Moderator&lt;&gt;""),'Moderator Analysis'!F:F-FP$2,"")</f>
        <v/>
      </c>
      <c r="FG181" s="39" t="str">
        <f>IF(AND(Include_study?="Yes",Sufficient_data="Yes",Moderator&lt;&gt;""),'Moderator Analysis'!E:E-FP$3,"")</f>
        <v/>
      </c>
      <c r="FH181" s="74" t="str">
        <f>IF(AND(Include_study?="Yes",Sufficient_data="Yes",Moderator&lt;&gt;""),FE:FE*('Moderator Analysis'!F:F-FP$5-FP$4*'Moderator Analysis'!E:E)^2,"")</f>
        <v/>
      </c>
      <c r="FI181" s="128"/>
      <c r="FJ181" s="92" t="str">
        <f t="shared" si="610"/>
        <v/>
      </c>
      <c r="FK181" s="137" t="str">
        <f>IF(AND(Include_study?="Yes",Sufficient_data="Yes",Moderator&lt;&gt;""),'Moderator Analysis'!F:F-'Moderator Analysis'!J$37,"")</f>
        <v/>
      </c>
      <c r="FL181" s="137" t="str">
        <f>IF(AND(Include_study?="Yes",Sufficient_data="Yes",Moderator&lt;&gt;""),'Moderator Analysis'!E:E-SUMPRODUCT('Moderator Analysis'!E:E,FJ:FJ)/SUM(FJ:FJ),"")</f>
        <v/>
      </c>
      <c r="FM181" s="95" t="str">
        <f>IF(AND(Include_study?="Yes",Sufficient_data="Yes",Moderator&lt;&gt;""),FJ:FJ*('Moderator Analysis'!F:F-'Moderator Analysis'!J$29-'Moderator Analysis'!J$30*'Moderator Analysis'!E:E)^2,"")</f>
        <v/>
      </c>
      <c r="FR181" s="196"/>
      <c r="FS181" s="182"/>
      <c r="FT18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1" s="39" t="str">
        <f>IF(AND(Include_study?="Yes",Sufficient_data="Yes"),1/('Publication Bias Analysis'!F:F^2+IF(Additional_model="Fixed effect",0,Calculations!GH$12)),"")</f>
        <v/>
      </c>
      <c r="FV181" s="39" t="str">
        <f>IF(AND(Include_study?="Yes",Sufficient_data="Yes"),1/('Publication Bias Analysis'!F:F^2+IF(Additional_model="Fixed effect",0,'Publication Bias Analysis'!L$32)),"")</f>
        <v/>
      </c>
      <c r="FW181" s="39" t="str">
        <f>IF(AND(Include_study?="Yes",Sufficient_data="Yes"),'Publication Bias Analysis'!E:E-'Publication Bias Analysis'!I$37,"")</f>
        <v/>
      </c>
      <c r="FX181" s="39" t="str">
        <f>IF(AND(Include_study?="Yes",Sufficient_data="Yes"),IF(Additional_model="Fixed effect",1/'Publication Bias Analysis'!F:F,1/SQRT('Publication Bias Analysis'!F:F^2+GH$12)),"")</f>
        <v/>
      </c>
      <c r="FY18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1" s="136" t="str">
        <f t="shared" si="611"/>
        <v/>
      </c>
      <c r="GA181" s="144" t="str">
        <f>IF(AND(Include_study?="Yes",Sufficient_data="Yes"),FZ:FZ+IF(GL:GL&lt;0,-1,1)*COUNTIF(FZ$2:FZ180,FZ:FZ),"")</f>
        <v/>
      </c>
      <c r="GB181" s="144" t="str">
        <f>IF(AND(Include_study?="Yes",Sufficient_data="Yes"),RANK(GP:GP,GP:GP,1)*IF(GO:GO&lt;0,-1,1)+IF(GO:GO&lt;0,-1,1)*COUNTIF(FZ$2:FZ180,FZ:FZ),"")</f>
        <v/>
      </c>
      <c r="GC181" s="144" t="str">
        <f>IF(AND(Include_study?="Yes",Sufficient_data="Yes"),RANK(GS:GS,GS:GS,1)*IF(GR:GR&lt;0,-1,1)+IF(GR:GR&lt;0,-1,1)*COUNTIF(FZ$2:FZ180,FZ:FZ),"")</f>
        <v/>
      </c>
      <c r="GD181" s="39" t="e">
        <f>IF(AND(Include_study?="Yes",Sufficient_data="Yes"),'Publication Bias Analysis'!E181,NA())</f>
        <v>#N/A</v>
      </c>
      <c r="GE181" s="74" t="e">
        <f>IF(AND(Include_study?="Yes",Sufficient_data="Yes"),'Publication Bias Analysis'!F181,NA())</f>
        <v>#N/A</v>
      </c>
      <c r="GK181" s="176"/>
      <c r="GL18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1" s="39" t="str">
        <f t="shared" si="612"/>
        <v/>
      </c>
      <c r="GN18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1" s="39" t="str">
        <f>IF(AND(Include_study?="Yes",Sufficient_data="Yes"),IF('Publication Bias Analysis'!L$38="Left",'Publication Bias Analysis'!E:E-GW$3,GW$3-'Publication Bias Analysis'!E:E),"")</f>
        <v/>
      </c>
      <c r="GP181" s="39" t="str">
        <f t="shared" si="529"/>
        <v/>
      </c>
      <c r="GQ18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1" s="39" t="str">
        <f>IF(AND(Include_study?="Yes",Sufficient_data="Yes"),IF('Publication Bias Analysis'!L$38="Left",'Publication Bias Analysis'!E:E-GW$10,GW$10-'Publication Bias Analysis'!E:E),"")</f>
        <v/>
      </c>
      <c r="GS181" s="39" t="str">
        <f t="shared" si="530"/>
        <v/>
      </c>
      <c r="GT18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1" s="176"/>
      <c r="HL181" s="69" t="str">
        <f t="shared" si="518"/>
        <v/>
      </c>
      <c r="HM181" s="74" t="str">
        <f>IF(AND(Include_study?="Yes",Sufficient_data="Yes"),Z_score-('Publication Bias Analysis'!P$3+'Publication Bias Analysis'!P$4*Inverse_standard_error),"")</f>
        <v/>
      </c>
      <c r="HO181" s="176"/>
      <c r="HP181" s="69" t="str">
        <f>IF(AND(Include_study?="Yes",Sufficient_data="Yes"),(GD:GD-SUMPRODUCT(Calculations!FT:FT,'Publication Bias Analysis'!E:E)/SUM(Calculations!FT:FT))/SQRT(Calculations!HQ:HQ),"")</f>
        <v/>
      </c>
      <c r="HQ181" s="69" t="str">
        <f>IF(AND(Include_study?="Yes",Sufficient_data="Yes"),GE:GE^2-1/SUM(Calculations!FT:FT),"")</f>
        <v/>
      </c>
      <c r="HR181" s="7" t="str">
        <f t="shared" si="638"/>
        <v/>
      </c>
      <c r="HS181" s="7" t="str">
        <f t="shared" si="639"/>
        <v/>
      </c>
      <c r="HT181" s="7" t="str">
        <f>IF(AND(Include_study?="Yes",Sufficient_data="Yes"),COUNTIFS(HR$2:HR180,"&lt;"&amp;HR181,HS$2:HS180,"&lt;"&amp;HS181)+COUNTIFS(HR182:HR$201,"&lt;"&amp;HR181,HS182:HS$201,"&lt;"&amp;HS181)+COUNTIFS(HR$2:HR180,"&gt;"&amp;HR181,HS$2:HS180,"&gt;"&amp;HS181)+COUNTIFS(HR182:HR$201,"&gt;"&amp;HR181,HS182:HS$201,"&gt;"&amp;HS181),"")</f>
        <v/>
      </c>
      <c r="HU181" s="104" t="str">
        <f>IF(AND(Include_study?="Yes",Sufficient_data="Yes"),COUNTIFS(HR$2:HR180,"&lt;"&amp;HR181,HS$2:HS180,"&gt;"&amp;HS181)+COUNTIFS(HR182:HR$201,"&lt;"&amp;HR181,HS182:HS$201,"&gt;"&amp;HS181)+COUNTIFS(HR$2:HR180,"&gt;"&amp;HR181,HS$2:HS180,"&lt;"&amp;HS181)+COUNTIFS(HR182:HR$201,"&gt;"&amp;HR181,HS182:HS$201,"&lt;"&amp;HS181),"")</f>
        <v/>
      </c>
      <c r="HW181" s="176"/>
      <c r="IB181" s="176"/>
      <c r="IC181" s="146" t="e">
        <f t="shared" si="613"/>
        <v>#N/A</v>
      </c>
      <c r="ID181" s="137" t="e">
        <f t="shared" si="614"/>
        <v>#N/A</v>
      </c>
      <c r="IE181" s="137" t="str">
        <f t="shared" si="615"/>
        <v/>
      </c>
      <c r="IF181" s="95" t="str">
        <f t="shared" si="616"/>
        <v/>
      </c>
      <c r="IK181" s="176"/>
      <c r="IL181" s="69" t="e">
        <f>IF(AND(Include_study?="Yes",Sufficient_data="Yes"),'Publication Bias Analysis'!AV:AV,NA())</f>
        <v>#N/A</v>
      </c>
      <c r="IM181" s="158" t="e">
        <f>IF(AND(Sufficient_data="Yes",Include_study?="Yes"),'Publication Bias Analysis'!AU:AU,NA())</f>
        <v>#N/A</v>
      </c>
      <c r="IN181" s="69" t="str">
        <f t="shared" si="617"/>
        <v/>
      </c>
      <c r="IO181" s="74" t="str">
        <f>IF(AND(Include_study?="Yes",Sufficient_data="Yes"),Z_score-('Publication Bias Analysis'!AY$30+'Publication Bias Analysis'!AY$31*Inverse_standard_error),"")</f>
        <v/>
      </c>
      <c r="IU181" s="176"/>
      <c r="IV181" s="7" t="str">
        <f>IF('Publication Bias Analysis'!BG:BG&lt;&gt;"",RANK('Publication Bias Analysis'!BG:BG,'Publication Bias Analysis'!BG:BG,1)+COUNTIF('Publication Bias Analysis'!BG$2:BG180,'Publication Bias Analysis'!BG181),"")</f>
        <v/>
      </c>
      <c r="IW181" s="124" t="str">
        <f t="shared" si="618"/>
        <v/>
      </c>
      <c r="IX181" s="125" t="e">
        <f>IF('Publication Bias Analysis'!BF181&lt;&gt;"",'Publication Bias Analysis'!BF181,NA())</f>
        <v>#N/A</v>
      </c>
      <c r="IY181" s="125" t="e">
        <f>IF('Publication Bias Analysis'!BG181&lt;&gt;"",'Publication Bias Analysis'!BG181,NA())</f>
        <v>#N/A</v>
      </c>
      <c r="IZ181" s="69" t="str">
        <f>IF(AND(Include_study?="Yes",Sufficient_data="Yes"),'Publication Bias Analysis'!BF:BF-AVERAGE('Publication Bias Analysis'!BF:BF),"")</f>
        <v/>
      </c>
      <c r="JA181" s="74" t="str">
        <f>IF(AND(Include_study?="Yes",Sufficient_data="Yes"),'Publication Bias Analysis'!BG:BG-('Publication Bias Analysis'!BJ$30+'Publication Bias Analysis'!BJ$31*'Publication Bias Analysis'!BF:BF),"")</f>
        <v/>
      </c>
      <c r="JG181" s="176"/>
      <c r="JH181" s="39" t="str">
        <f t="shared" si="619"/>
        <v/>
      </c>
      <c r="JI181" s="148" t="str">
        <f t="shared" si="531"/>
        <v/>
      </c>
      <c r="JJ181" s="74" t="str">
        <f t="shared" si="532"/>
        <v/>
      </c>
    </row>
    <row r="182" spans="1:270" x14ac:dyDescent="0.2">
      <c r="A182" s="56" t="str">
        <f t="shared" si="533"/>
        <v/>
      </c>
      <c r="B182" s="7" t="str">
        <f>IF(AND(Include_study?="Yes",Sufficient_data="Yes"),IF(Input!a_&lt;&gt;"",Input!a_,Input!n1_-Input!b_),"")</f>
        <v/>
      </c>
      <c r="C182" s="7" t="str">
        <f>IF(AND(Include_study?="Yes",Sufficient_data="Yes"),IF(Input!b_&lt;&gt;"",Input!b_,Input!n1_-Input!a_),"")</f>
        <v/>
      </c>
      <c r="D182" s="7" t="str">
        <f>IF(AND(Include_study?="Yes",Sufficient_data="Yes"),IF(Input!c_&lt;&gt;"",Input!c_,Input!n2_-Input!d_),"")</f>
        <v/>
      </c>
      <c r="E182" s="7" t="str">
        <f>IF(AND(Include_study?="Yes",Sufficient_data="Yes"),IF(Input!d_&lt;&gt;"",Input!d_,Input!n2_-Input!c_),"")</f>
        <v/>
      </c>
      <c r="F182" s="74" t="str">
        <f t="shared" si="534"/>
        <v/>
      </c>
      <c r="H182" s="196"/>
      <c r="I182" s="182"/>
      <c r="J182" s="146" t="str">
        <f t="shared" si="444"/>
        <v/>
      </c>
      <c r="K182" s="39" t="str">
        <f t="shared" si="535"/>
        <v/>
      </c>
      <c r="L182" s="39" t="str">
        <f t="shared" si="536"/>
        <v/>
      </c>
      <c r="M182" s="39" t="str">
        <f t="shared" si="537"/>
        <v/>
      </c>
      <c r="N182" s="74" t="str">
        <f t="shared" si="538"/>
        <v/>
      </c>
      <c r="P182" s="176"/>
      <c r="Q182" s="130" t="str">
        <f t="shared" si="539"/>
        <v/>
      </c>
      <c r="R182" s="39" t="str">
        <f t="shared" si="540"/>
        <v/>
      </c>
      <c r="S182" s="39" t="str">
        <f t="shared" si="541"/>
        <v/>
      </c>
      <c r="T182" s="74" t="str">
        <f t="shared" si="542"/>
        <v/>
      </c>
      <c r="V182" s="176"/>
      <c r="W182" s="130" t="str">
        <f t="shared" si="543"/>
        <v/>
      </c>
      <c r="X182" s="39" t="str">
        <f t="shared" si="544"/>
        <v/>
      </c>
      <c r="Y182" s="39" t="str">
        <f t="shared" si="545"/>
        <v/>
      </c>
      <c r="Z182" s="74" t="str">
        <f t="shared" si="546"/>
        <v/>
      </c>
      <c r="AB182" s="176"/>
      <c r="AC182" s="130" t="str">
        <f t="shared" si="547"/>
        <v/>
      </c>
      <c r="AD182" s="39" t="str">
        <f t="shared" si="548"/>
        <v/>
      </c>
      <c r="AE182" s="39" t="str">
        <f t="shared" si="549"/>
        <v/>
      </c>
      <c r="AF182" s="39" t="str">
        <f t="shared" si="550"/>
        <v/>
      </c>
      <c r="AG182" s="74" t="str">
        <f t="shared" si="551"/>
        <v/>
      </c>
      <c r="AI182" s="196"/>
      <c r="AJ18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2" s="136" t="str">
        <f>IF(AJ182&lt;&gt;"",IF(AJ182=0,COUNTIF(AJ$2:AJ181,0)+1,COUNTIF(AJ$2:AJ181,AJ182)+AJ182+COUNTIF(AJ:AJ,0)),"")</f>
        <v/>
      </c>
      <c r="AL182" s="136" t="str">
        <f t="shared" si="462"/>
        <v/>
      </c>
      <c r="AM182" s="155" t="str">
        <f>IF(AND(Include_study?="Yes",Sufficient_data="Yes",Input!Study_name&lt;&gt;""),Input!Study_name,"")</f>
        <v/>
      </c>
      <c r="AN182" s="136" t="str">
        <f t="shared" si="463"/>
        <v/>
      </c>
      <c r="AO182" s="19" t="str">
        <f t="shared" si="552"/>
        <v/>
      </c>
      <c r="AP182" s="158" t="str">
        <f t="shared" si="553"/>
        <v/>
      </c>
      <c r="AQ182" s="158" t="str">
        <f t="shared" si="554"/>
        <v/>
      </c>
      <c r="AR182" s="39" t="str">
        <f t="shared" si="555"/>
        <v/>
      </c>
      <c r="AS182" s="158" t="str">
        <f t="shared" si="556"/>
        <v/>
      </c>
      <c r="AT182" s="39" t="str">
        <f t="shared" si="557"/>
        <v/>
      </c>
      <c r="AU182" s="172" t="str">
        <f t="shared" si="558"/>
        <v/>
      </c>
      <c r="AV182" s="45"/>
      <c r="AW182" s="84" t="e">
        <f t="shared" si="559"/>
        <v>#N/A</v>
      </c>
      <c r="AX182" s="69" t="e">
        <f t="shared" si="560"/>
        <v>#N/A</v>
      </c>
      <c r="AY182" s="74" t="e">
        <f t="shared" si="561"/>
        <v>#N/A</v>
      </c>
      <c r="AZ182" s="45"/>
      <c r="BA182" s="45"/>
      <c r="BB182" s="45"/>
      <c r="BC182" s="45"/>
      <c r="BD182" s="196"/>
      <c r="BE182" s="182"/>
      <c r="BF182" s="69" t="str">
        <f t="shared" si="562"/>
        <v/>
      </c>
      <c r="BG182" s="69" t="str">
        <f t="shared" si="563"/>
        <v/>
      </c>
      <c r="BH182" s="69" t="str">
        <f t="shared" si="564"/>
        <v/>
      </c>
      <c r="BI182" s="39" t="str">
        <f t="shared" si="565"/>
        <v/>
      </c>
      <c r="BJ182" s="95" t="str">
        <f t="shared" si="566"/>
        <v/>
      </c>
      <c r="BO182" s="176"/>
      <c r="BP182" s="158" t="str">
        <f t="shared" si="567"/>
        <v/>
      </c>
      <c r="BQ182" s="158" t="str">
        <f t="shared" si="568"/>
        <v/>
      </c>
      <c r="BR182" s="158" t="str">
        <f t="shared" si="569"/>
        <v/>
      </c>
      <c r="BS182" s="158" t="str">
        <f>IF(AND(Sufficient_data="Yes",Include_study?="Yes"),IF(Add_0_5="Yes",(a_+d_+1)*(ab_+0.5)*(c_+0.5)/(Number_of_subjects+2)^2,(a_+d_)*b_*c_/Number_of_subjects^2),"")</f>
        <v/>
      </c>
      <c r="BT182" s="158" t="str">
        <f t="shared" si="570"/>
        <v/>
      </c>
      <c r="BU182" s="158" t="str">
        <f t="shared" si="571"/>
        <v/>
      </c>
      <c r="BV182" s="158" t="str">
        <f t="shared" si="572"/>
        <v/>
      </c>
      <c r="BW182" s="69" t="str">
        <f t="shared" si="573"/>
        <v/>
      </c>
      <c r="BX182" s="137" t="str">
        <f t="shared" si="574"/>
        <v/>
      </c>
      <c r="BY182" s="95" t="str">
        <f t="shared" si="575"/>
        <v/>
      </c>
      <c r="CD182" s="176"/>
      <c r="CE182" s="130" t="str">
        <f t="shared" si="576"/>
        <v/>
      </c>
      <c r="CF182" s="39" t="str">
        <f t="shared" si="577"/>
        <v/>
      </c>
      <c r="CG182" s="39" t="str">
        <f t="shared" si="578"/>
        <v/>
      </c>
      <c r="CH182" s="39" t="str">
        <f t="shared" si="579"/>
        <v/>
      </c>
      <c r="CI182" s="39" t="str">
        <f t="shared" si="580"/>
        <v/>
      </c>
      <c r="CJ182" s="39" t="str">
        <f t="shared" si="486"/>
        <v/>
      </c>
      <c r="CK182" s="95" t="str">
        <f t="shared" si="581"/>
        <v/>
      </c>
      <c r="CP182" s="176"/>
      <c r="CQ182" s="99" t="str">
        <f t="shared" si="582"/>
        <v/>
      </c>
      <c r="CX182" s="196"/>
      <c r="CY182" s="89" t="e">
        <f t="shared" si="583"/>
        <v>#N/A</v>
      </c>
      <c r="CZ182" s="136" t="str">
        <f t="shared" si="584"/>
        <v/>
      </c>
      <c r="DA182" s="140" t="str">
        <f t="shared" si="585"/>
        <v/>
      </c>
      <c r="DB182" s="39" t="str">
        <f t="shared" si="586"/>
        <v/>
      </c>
      <c r="DC182" s="39" t="str">
        <f t="shared" si="587"/>
        <v/>
      </c>
      <c r="DD182" s="39" t="str">
        <f t="shared" si="588"/>
        <v/>
      </c>
      <c r="DE182" s="39" t="str">
        <f t="shared" si="589"/>
        <v/>
      </c>
      <c r="DF182" s="141" t="str">
        <f t="shared" si="590"/>
        <v/>
      </c>
      <c r="DG182" s="39" t="str">
        <f t="shared" si="591"/>
        <v/>
      </c>
      <c r="DH182" s="39" t="str">
        <f t="shared" si="592"/>
        <v/>
      </c>
      <c r="DI182" s="39" t="str">
        <f t="shared" si="593"/>
        <v/>
      </c>
      <c r="DJ182" s="74" t="str">
        <f t="shared" si="594"/>
        <v/>
      </c>
      <c r="DK182" s="45"/>
      <c r="DL182" s="84" t="e">
        <f t="shared" si="620"/>
        <v>#N/A</v>
      </c>
      <c r="DM182" s="39" t="e">
        <f t="shared" si="595"/>
        <v>#N/A</v>
      </c>
      <c r="DN182" s="74" t="e">
        <f t="shared" si="596"/>
        <v>#N/A</v>
      </c>
      <c r="DO182" s="45"/>
      <c r="DP182" s="89" t="str">
        <f t="shared" si="525"/>
        <v/>
      </c>
      <c r="DQ182" s="26" t="str">
        <f>IF(AND(Sufficient_data="Yes",Subgroup&lt;&gt;""),IF(COUNTIFS(Input!J$2:J181,"="&amp;"Yes",Input!C$2:C181,"="&amp;"Yes",Input!K$2:K181,"="&amp;Subgroup)&gt;0,"",Subgroup),"")</f>
        <v/>
      </c>
      <c r="DR182" s="7" t="str">
        <f t="shared" si="526"/>
        <v/>
      </c>
      <c r="DS182" s="7" t="str">
        <f t="shared" si="597"/>
        <v/>
      </c>
      <c r="DT182" s="19" t="str">
        <f t="shared" si="598"/>
        <v/>
      </c>
      <c r="DU182" s="12" t="str">
        <f t="shared" si="621"/>
        <v/>
      </c>
      <c r="DV182" s="11" t="str">
        <f t="shared" si="622"/>
        <v/>
      </c>
      <c r="DW182" s="12" t="str">
        <f t="shared" si="623"/>
        <v/>
      </c>
      <c r="DX182" s="12" t="str">
        <f t="shared" si="599"/>
        <v/>
      </c>
      <c r="DY182" s="19" t="str">
        <f t="shared" si="624"/>
        <v/>
      </c>
      <c r="DZ182" s="12" t="str">
        <f t="shared" si="625"/>
        <v/>
      </c>
      <c r="EA182" s="19" t="str">
        <f t="shared" si="600"/>
        <v/>
      </c>
      <c r="EB182" s="7" t="str">
        <f t="shared" si="601"/>
        <v/>
      </c>
      <c r="EC182" s="19" t="str">
        <f t="shared" si="602"/>
        <v/>
      </c>
      <c r="ED182" s="19" t="str">
        <f t="shared" si="603"/>
        <v/>
      </c>
      <c r="EE182" s="19" t="str">
        <f t="shared" si="626"/>
        <v/>
      </c>
      <c r="EF182" s="19" t="str">
        <f t="shared" si="627"/>
        <v/>
      </c>
      <c r="EG182" s="19" t="str">
        <f t="shared" si="628"/>
        <v/>
      </c>
      <c r="EH182" s="19" t="str">
        <f t="shared" si="629"/>
        <v/>
      </c>
      <c r="EI182" s="19" t="str">
        <f t="shared" si="630"/>
        <v/>
      </c>
      <c r="EJ182" s="19" t="str">
        <f t="shared" si="604"/>
        <v/>
      </c>
      <c r="EK182" s="19" t="str">
        <f t="shared" si="605"/>
        <v/>
      </c>
      <c r="EL182" s="19" t="str">
        <f t="shared" si="631"/>
        <v/>
      </c>
      <c r="EM182" s="19" t="str">
        <f t="shared" si="632"/>
        <v/>
      </c>
      <c r="EN182" s="19" t="str">
        <f t="shared" si="633"/>
        <v/>
      </c>
      <c r="EO182" s="19" t="str">
        <f t="shared" si="634"/>
        <v/>
      </c>
      <c r="EP182" s="19" t="str">
        <f t="shared" si="635"/>
        <v/>
      </c>
      <c r="EQ182" s="19" t="e">
        <f t="shared" si="636"/>
        <v>#N/A</v>
      </c>
      <c r="ER182" s="11" t="str">
        <f t="shared" si="527"/>
        <v/>
      </c>
      <c r="ES182" s="19" t="str">
        <f t="shared" si="528"/>
        <v/>
      </c>
      <c r="ET182" s="156" t="str">
        <f t="shared" si="606"/>
        <v/>
      </c>
      <c r="EU182" s="39" t="str">
        <f t="shared" si="637"/>
        <v/>
      </c>
      <c r="EV182" s="74" t="str">
        <f t="shared" si="607"/>
        <v/>
      </c>
      <c r="FA182" s="196"/>
      <c r="FB182" s="84" t="e">
        <f>IF(AND(Include_study?="Yes",Sufficient_data="Yes",Moderator&lt;&gt;""),'Moderator Analysis'!E182,NA())</f>
        <v>#N/A</v>
      </c>
      <c r="FC182" s="39" t="e">
        <f>IF(AND(Include_study?="Yes",Sufficient_data="Yes",Moderator&lt;&gt;""),'Moderator Analysis'!F182,NA())</f>
        <v>#N/A</v>
      </c>
      <c r="FD182" s="39" t="str">
        <f t="shared" si="608"/>
        <v/>
      </c>
      <c r="FE182" s="39" t="str">
        <f t="shared" si="609"/>
        <v/>
      </c>
      <c r="FF182" s="39" t="str">
        <f>IF(AND(Include_study?="Yes",Sufficient_data="Yes",Moderator&lt;&gt;""),'Moderator Analysis'!F:F-FP$2,"")</f>
        <v/>
      </c>
      <c r="FG182" s="39" t="str">
        <f>IF(AND(Include_study?="Yes",Sufficient_data="Yes",Moderator&lt;&gt;""),'Moderator Analysis'!E:E-FP$3,"")</f>
        <v/>
      </c>
      <c r="FH182" s="74" t="str">
        <f>IF(AND(Include_study?="Yes",Sufficient_data="Yes",Moderator&lt;&gt;""),FE:FE*('Moderator Analysis'!F:F-FP$5-FP$4*'Moderator Analysis'!E:E)^2,"")</f>
        <v/>
      </c>
      <c r="FI182" s="128"/>
      <c r="FJ182" s="92" t="str">
        <f t="shared" si="610"/>
        <v/>
      </c>
      <c r="FK182" s="137" t="str">
        <f>IF(AND(Include_study?="Yes",Sufficient_data="Yes",Moderator&lt;&gt;""),'Moderator Analysis'!F:F-'Moderator Analysis'!J$37,"")</f>
        <v/>
      </c>
      <c r="FL182" s="137" t="str">
        <f>IF(AND(Include_study?="Yes",Sufficient_data="Yes",Moderator&lt;&gt;""),'Moderator Analysis'!E:E-SUMPRODUCT('Moderator Analysis'!E:E,FJ:FJ)/SUM(FJ:FJ),"")</f>
        <v/>
      </c>
      <c r="FM182" s="95" t="str">
        <f>IF(AND(Include_study?="Yes",Sufficient_data="Yes",Moderator&lt;&gt;""),FJ:FJ*('Moderator Analysis'!F:F-'Moderator Analysis'!J$29-'Moderator Analysis'!J$30*'Moderator Analysis'!E:E)^2,"")</f>
        <v/>
      </c>
      <c r="FR182" s="196"/>
      <c r="FS182" s="182"/>
      <c r="FT18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2" s="39" t="str">
        <f>IF(AND(Include_study?="Yes",Sufficient_data="Yes"),1/('Publication Bias Analysis'!F:F^2+IF(Additional_model="Fixed effect",0,Calculations!GH$12)),"")</f>
        <v/>
      </c>
      <c r="FV182" s="39" t="str">
        <f>IF(AND(Include_study?="Yes",Sufficient_data="Yes"),1/('Publication Bias Analysis'!F:F^2+IF(Additional_model="Fixed effect",0,'Publication Bias Analysis'!L$32)),"")</f>
        <v/>
      </c>
      <c r="FW182" s="39" t="str">
        <f>IF(AND(Include_study?="Yes",Sufficient_data="Yes"),'Publication Bias Analysis'!E:E-'Publication Bias Analysis'!I$37,"")</f>
        <v/>
      </c>
      <c r="FX182" s="39" t="str">
        <f>IF(AND(Include_study?="Yes",Sufficient_data="Yes"),IF(Additional_model="Fixed effect",1/'Publication Bias Analysis'!F:F,1/SQRT('Publication Bias Analysis'!F:F^2+GH$12)),"")</f>
        <v/>
      </c>
      <c r="FY18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2" s="136" t="str">
        <f t="shared" si="611"/>
        <v/>
      </c>
      <c r="GA182" s="144" t="str">
        <f>IF(AND(Include_study?="Yes",Sufficient_data="Yes"),FZ:FZ+IF(GL:GL&lt;0,-1,1)*COUNTIF(FZ$2:FZ181,FZ:FZ),"")</f>
        <v/>
      </c>
      <c r="GB182" s="144" t="str">
        <f>IF(AND(Include_study?="Yes",Sufficient_data="Yes"),RANK(GP:GP,GP:GP,1)*IF(GO:GO&lt;0,-1,1)+IF(GO:GO&lt;0,-1,1)*COUNTIF(FZ$2:FZ181,FZ:FZ),"")</f>
        <v/>
      </c>
      <c r="GC182" s="144" t="str">
        <f>IF(AND(Include_study?="Yes",Sufficient_data="Yes"),RANK(GS:GS,GS:GS,1)*IF(GR:GR&lt;0,-1,1)+IF(GR:GR&lt;0,-1,1)*COUNTIF(FZ$2:FZ181,FZ:FZ),"")</f>
        <v/>
      </c>
      <c r="GD182" s="39" t="e">
        <f>IF(AND(Include_study?="Yes",Sufficient_data="Yes"),'Publication Bias Analysis'!E182,NA())</f>
        <v>#N/A</v>
      </c>
      <c r="GE182" s="74" t="e">
        <f>IF(AND(Include_study?="Yes",Sufficient_data="Yes"),'Publication Bias Analysis'!F182,NA())</f>
        <v>#N/A</v>
      </c>
      <c r="GK182" s="176"/>
      <c r="GL18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2" s="39" t="str">
        <f t="shared" si="612"/>
        <v/>
      </c>
      <c r="GN18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2" s="39" t="str">
        <f>IF(AND(Include_study?="Yes",Sufficient_data="Yes"),IF('Publication Bias Analysis'!L$38="Left",'Publication Bias Analysis'!E:E-GW$3,GW$3-'Publication Bias Analysis'!E:E),"")</f>
        <v/>
      </c>
      <c r="GP182" s="39" t="str">
        <f t="shared" si="529"/>
        <v/>
      </c>
      <c r="GQ18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2" s="39" t="str">
        <f>IF(AND(Include_study?="Yes",Sufficient_data="Yes"),IF('Publication Bias Analysis'!L$38="Left",'Publication Bias Analysis'!E:E-GW$10,GW$10-'Publication Bias Analysis'!E:E),"")</f>
        <v/>
      </c>
      <c r="GS182" s="39" t="str">
        <f t="shared" si="530"/>
        <v/>
      </c>
      <c r="GT18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2" s="176"/>
      <c r="HL182" s="69" t="str">
        <f t="shared" si="518"/>
        <v/>
      </c>
      <c r="HM182" s="74" t="str">
        <f>IF(AND(Include_study?="Yes",Sufficient_data="Yes"),Z_score-('Publication Bias Analysis'!P$3+'Publication Bias Analysis'!P$4*Inverse_standard_error),"")</f>
        <v/>
      </c>
      <c r="HO182" s="176"/>
      <c r="HP182" s="69" t="str">
        <f>IF(AND(Include_study?="Yes",Sufficient_data="Yes"),(GD:GD-SUMPRODUCT(Calculations!FT:FT,'Publication Bias Analysis'!E:E)/SUM(Calculations!FT:FT))/SQRT(Calculations!HQ:HQ),"")</f>
        <v/>
      </c>
      <c r="HQ182" s="69" t="str">
        <f>IF(AND(Include_study?="Yes",Sufficient_data="Yes"),GE:GE^2-1/SUM(Calculations!FT:FT),"")</f>
        <v/>
      </c>
      <c r="HR182" s="7" t="str">
        <f t="shared" si="638"/>
        <v/>
      </c>
      <c r="HS182" s="7" t="str">
        <f t="shared" si="639"/>
        <v/>
      </c>
      <c r="HT182" s="7" t="str">
        <f>IF(AND(Include_study?="Yes",Sufficient_data="Yes"),COUNTIFS(HR$2:HR181,"&lt;"&amp;HR182,HS$2:HS181,"&lt;"&amp;HS182)+COUNTIFS(HR183:HR$201,"&lt;"&amp;HR182,HS183:HS$201,"&lt;"&amp;HS182)+COUNTIFS(HR$2:HR181,"&gt;"&amp;HR182,HS$2:HS181,"&gt;"&amp;HS182)+COUNTIFS(HR183:HR$201,"&gt;"&amp;HR182,HS183:HS$201,"&gt;"&amp;HS182),"")</f>
        <v/>
      </c>
      <c r="HU182" s="104" t="str">
        <f>IF(AND(Include_study?="Yes",Sufficient_data="Yes"),COUNTIFS(HR$2:HR181,"&lt;"&amp;HR182,HS$2:HS181,"&gt;"&amp;HS182)+COUNTIFS(HR183:HR$201,"&lt;"&amp;HR182,HS183:HS$201,"&gt;"&amp;HS182)+COUNTIFS(HR$2:HR181,"&gt;"&amp;HR182,HS$2:HS181,"&lt;"&amp;HS182)+COUNTIFS(HR183:HR$201,"&gt;"&amp;HR182,HS183:HS$201,"&lt;"&amp;HS182),"")</f>
        <v/>
      </c>
      <c r="HW182" s="176"/>
      <c r="IB182" s="176"/>
      <c r="IC182" s="146" t="e">
        <f t="shared" si="613"/>
        <v>#N/A</v>
      </c>
      <c r="ID182" s="137" t="e">
        <f t="shared" si="614"/>
        <v>#N/A</v>
      </c>
      <c r="IE182" s="137" t="str">
        <f t="shared" si="615"/>
        <v/>
      </c>
      <c r="IF182" s="95" t="str">
        <f t="shared" si="616"/>
        <v/>
      </c>
      <c r="IK182" s="176"/>
      <c r="IL182" s="69" t="e">
        <f>IF(AND(Include_study?="Yes",Sufficient_data="Yes"),'Publication Bias Analysis'!AV:AV,NA())</f>
        <v>#N/A</v>
      </c>
      <c r="IM182" s="158" t="e">
        <f>IF(AND(Sufficient_data="Yes",Include_study?="Yes"),'Publication Bias Analysis'!AU:AU,NA())</f>
        <v>#N/A</v>
      </c>
      <c r="IN182" s="69" t="str">
        <f t="shared" si="617"/>
        <v/>
      </c>
      <c r="IO182" s="74" t="str">
        <f>IF(AND(Include_study?="Yes",Sufficient_data="Yes"),Z_score-('Publication Bias Analysis'!AY$30+'Publication Bias Analysis'!AY$31*Inverse_standard_error),"")</f>
        <v/>
      </c>
      <c r="IU182" s="176"/>
      <c r="IV182" s="7" t="str">
        <f>IF('Publication Bias Analysis'!BG:BG&lt;&gt;"",RANK('Publication Bias Analysis'!BG:BG,'Publication Bias Analysis'!BG:BG,1)+COUNTIF('Publication Bias Analysis'!BG$2:BG181,'Publication Bias Analysis'!BG182),"")</f>
        <v/>
      </c>
      <c r="IW182" s="124" t="str">
        <f t="shared" si="618"/>
        <v/>
      </c>
      <c r="IX182" s="125" t="e">
        <f>IF('Publication Bias Analysis'!BF182&lt;&gt;"",'Publication Bias Analysis'!BF182,NA())</f>
        <v>#N/A</v>
      </c>
      <c r="IY182" s="125" t="e">
        <f>IF('Publication Bias Analysis'!BG182&lt;&gt;"",'Publication Bias Analysis'!BG182,NA())</f>
        <v>#N/A</v>
      </c>
      <c r="IZ182" s="69" t="str">
        <f>IF(AND(Include_study?="Yes",Sufficient_data="Yes"),'Publication Bias Analysis'!BF:BF-AVERAGE('Publication Bias Analysis'!BF:BF),"")</f>
        <v/>
      </c>
      <c r="JA182" s="74" t="str">
        <f>IF(AND(Include_study?="Yes",Sufficient_data="Yes"),'Publication Bias Analysis'!BG:BG-('Publication Bias Analysis'!BJ$30+'Publication Bias Analysis'!BJ$31*'Publication Bias Analysis'!BF:BF),"")</f>
        <v/>
      </c>
      <c r="JG182" s="176"/>
      <c r="JH182" s="39" t="str">
        <f t="shared" si="619"/>
        <v/>
      </c>
      <c r="JI182" s="148" t="str">
        <f t="shared" si="531"/>
        <v/>
      </c>
      <c r="JJ182" s="74" t="str">
        <f t="shared" si="532"/>
        <v/>
      </c>
    </row>
    <row r="183" spans="1:270" x14ac:dyDescent="0.2">
      <c r="A183" s="56" t="str">
        <f t="shared" si="533"/>
        <v/>
      </c>
      <c r="B183" s="7" t="str">
        <f>IF(AND(Include_study?="Yes",Sufficient_data="Yes"),IF(Input!a_&lt;&gt;"",Input!a_,Input!n1_-Input!b_),"")</f>
        <v/>
      </c>
      <c r="C183" s="7" t="str">
        <f>IF(AND(Include_study?="Yes",Sufficient_data="Yes"),IF(Input!b_&lt;&gt;"",Input!b_,Input!n1_-Input!a_),"")</f>
        <v/>
      </c>
      <c r="D183" s="7" t="str">
        <f>IF(AND(Include_study?="Yes",Sufficient_data="Yes"),IF(Input!c_&lt;&gt;"",Input!c_,Input!n2_-Input!d_),"")</f>
        <v/>
      </c>
      <c r="E183" s="7" t="str">
        <f>IF(AND(Include_study?="Yes",Sufficient_data="Yes"),IF(Input!d_&lt;&gt;"",Input!d_,Input!n2_-Input!c_),"")</f>
        <v/>
      </c>
      <c r="F183" s="74" t="str">
        <f t="shared" si="534"/>
        <v/>
      </c>
      <c r="H183" s="196"/>
      <c r="I183" s="182"/>
      <c r="J183" s="146" t="str">
        <f t="shared" si="444"/>
        <v/>
      </c>
      <c r="K183" s="39" t="str">
        <f t="shared" si="535"/>
        <v/>
      </c>
      <c r="L183" s="39" t="str">
        <f t="shared" si="536"/>
        <v/>
      </c>
      <c r="M183" s="39" t="str">
        <f t="shared" si="537"/>
        <v/>
      </c>
      <c r="N183" s="74" t="str">
        <f t="shared" si="538"/>
        <v/>
      </c>
      <c r="P183" s="176"/>
      <c r="Q183" s="130" t="str">
        <f t="shared" si="539"/>
        <v/>
      </c>
      <c r="R183" s="39" t="str">
        <f t="shared" si="540"/>
        <v/>
      </c>
      <c r="S183" s="39" t="str">
        <f t="shared" si="541"/>
        <v/>
      </c>
      <c r="T183" s="74" t="str">
        <f t="shared" si="542"/>
        <v/>
      </c>
      <c r="V183" s="176"/>
      <c r="W183" s="130" t="str">
        <f t="shared" si="543"/>
        <v/>
      </c>
      <c r="X183" s="39" t="str">
        <f t="shared" si="544"/>
        <v/>
      </c>
      <c r="Y183" s="39" t="str">
        <f t="shared" si="545"/>
        <v/>
      </c>
      <c r="Z183" s="74" t="str">
        <f t="shared" si="546"/>
        <v/>
      </c>
      <c r="AB183" s="176"/>
      <c r="AC183" s="130" t="str">
        <f t="shared" si="547"/>
        <v/>
      </c>
      <c r="AD183" s="39" t="str">
        <f t="shared" si="548"/>
        <v/>
      </c>
      <c r="AE183" s="39" t="str">
        <f t="shared" si="549"/>
        <v/>
      </c>
      <c r="AF183" s="39" t="str">
        <f t="shared" si="550"/>
        <v/>
      </c>
      <c r="AG183" s="74" t="str">
        <f t="shared" si="551"/>
        <v/>
      </c>
      <c r="AI183" s="196"/>
      <c r="AJ18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3" s="136" t="str">
        <f>IF(AJ183&lt;&gt;"",IF(AJ183=0,COUNTIF(AJ$2:AJ182,0)+1,COUNTIF(AJ$2:AJ182,AJ183)+AJ183+COUNTIF(AJ:AJ,0)),"")</f>
        <v/>
      </c>
      <c r="AL183" s="136" t="str">
        <f t="shared" si="462"/>
        <v/>
      </c>
      <c r="AM183" s="155" t="str">
        <f>IF(AND(Include_study?="Yes",Sufficient_data="Yes",Input!Study_name&lt;&gt;""),Input!Study_name,"")</f>
        <v/>
      </c>
      <c r="AN183" s="136" t="str">
        <f t="shared" si="463"/>
        <v/>
      </c>
      <c r="AO183" s="19" t="str">
        <f t="shared" si="552"/>
        <v/>
      </c>
      <c r="AP183" s="158" t="str">
        <f t="shared" si="553"/>
        <v/>
      </c>
      <c r="AQ183" s="158" t="str">
        <f t="shared" si="554"/>
        <v/>
      </c>
      <c r="AR183" s="39" t="str">
        <f t="shared" si="555"/>
        <v/>
      </c>
      <c r="AS183" s="158" t="str">
        <f t="shared" si="556"/>
        <v/>
      </c>
      <c r="AT183" s="39" t="str">
        <f t="shared" si="557"/>
        <v/>
      </c>
      <c r="AU183" s="172" t="str">
        <f t="shared" si="558"/>
        <v/>
      </c>
      <c r="AV183" s="45"/>
      <c r="AW183" s="84" t="e">
        <f t="shared" si="559"/>
        <v>#N/A</v>
      </c>
      <c r="AX183" s="69" t="e">
        <f t="shared" si="560"/>
        <v>#N/A</v>
      </c>
      <c r="AY183" s="74" t="e">
        <f t="shared" si="561"/>
        <v>#N/A</v>
      </c>
      <c r="AZ183" s="45"/>
      <c r="BA183" s="45"/>
      <c r="BB183" s="45"/>
      <c r="BC183" s="45"/>
      <c r="BD183" s="196"/>
      <c r="BE183" s="182"/>
      <c r="BF183" s="69" t="str">
        <f t="shared" si="562"/>
        <v/>
      </c>
      <c r="BG183" s="69" t="str">
        <f t="shared" si="563"/>
        <v/>
      </c>
      <c r="BH183" s="69" t="str">
        <f t="shared" si="564"/>
        <v/>
      </c>
      <c r="BI183" s="39" t="str">
        <f t="shared" si="565"/>
        <v/>
      </c>
      <c r="BJ183" s="95" t="str">
        <f t="shared" si="566"/>
        <v/>
      </c>
      <c r="BO183" s="176"/>
      <c r="BP183" s="158" t="str">
        <f t="shared" si="567"/>
        <v/>
      </c>
      <c r="BQ183" s="158" t="str">
        <f t="shared" si="568"/>
        <v/>
      </c>
      <c r="BR183" s="158" t="str">
        <f t="shared" si="569"/>
        <v/>
      </c>
      <c r="BS183" s="158" t="str">
        <f>IF(AND(Sufficient_data="Yes",Include_study?="Yes"),IF(Add_0_5="Yes",(a_+d_+1)*(ab_+0.5)*(c_+0.5)/(Number_of_subjects+2)^2,(a_+d_)*b_*c_/Number_of_subjects^2),"")</f>
        <v/>
      </c>
      <c r="BT183" s="158" t="str">
        <f t="shared" si="570"/>
        <v/>
      </c>
      <c r="BU183" s="158" t="str">
        <f t="shared" si="571"/>
        <v/>
      </c>
      <c r="BV183" s="158" t="str">
        <f t="shared" si="572"/>
        <v/>
      </c>
      <c r="BW183" s="69" t="str">
        <f t="shared" si="573"/>
        <v/>
      </c>
      <c r="BX183" s="137" t="str">
        <f t="shared" si="574"/>
        <v/>
      </c>
      <c r="BY183" s="95" t="str">
        <f t="shared" si="575"/>
        <v/>
      </c>
      <c r="CD183" s="176"/>
      <c r="CE183" s="130" t="str">
        <f t="shared" si="576"/>
        <v/>
      </c>
      <c r="CF183" s="39" t="str">
        <f t="shared" si="577"/>
        <v/>
      </c>
      <c r="CG183" s="39" t="str">
        <f t="shared" si="578"/>
        <v/>
      </c>
      <c r="CH183" s="39" t="str">
        <f t="shared" si="579"/>
        <v/>
      </c>
      <c r="CI183" s="39" t="str">
        <f t="shared" si="580"/>
        <v/>
      </c>
      <c r="CJ183" s="39" t="str">
        <f t="shared" si="486"/>
        <v/>
      </c>
      <c r="CK183" s="95" t="str">
        <f t="shared" si="581"/>
        <v/>
      </c>
      <c r="CP183" s="176"/>
      <c r="CQ183" s="99" t="str">
        <f t="shared" si="582"/>
        <v/>
      </c>
      <c r="CX183" s="196"/>
      <c r="CY183" s="89" t="e">
        <f t="shared" si="583"/>
        <v>#N/A</v>
      </c>
      <c r="CZ183" s="136" t="str">
        <f t="shared" si="584"/>
        <v/>
      </c>
      <c r="DA183" s="140" t="str">
        <f t="shared" si="585"/>
        <v/>
      </c>
      <c r="DB183" s="39" t="str">
        <f t="shared" si="586"/>
        <v/>
      </c>
      <c r="DC183" s="39" t="str">
        <f t="shared" si="587"/>
        <v/>
      </c>
      <c r="DD183" s="39" t="str">
        <f t="shared" si="588"/>
        <v/>
      </c>
      <c r="DE183" s="39" t="str">
        <f t="shared" si="589"/>
        <v/>
      </c>
      <c r="DF183" s="141" t="str">
        <f t="shared" si="590"/>
        <v/>
      </c>
      <c r="DG183" s="39" t="str">
        <f t="shared" si="591"/>
        <v/>
      </c>
      <c r="DH183" s="39" t="str">
        <f t="shared" si="592"/>
        <v/>
      </c>
      <c r="DI183" s="39" t="str">
        <f t="shared" si="593"/>
        <v/>
      </c>
      <c r="DJ183" s="74" t="str">
        <f t="shared" si="594"/>
        <v/>
      </c>
      <c r="DK183" s="45"/>
      <c r="DL183" s="84" t="e">
        <f t="shared" si="620"/>
        <v>#N/A</v>
      </c>
      <c r="DM183" s="39" t="e">
        <f t="shared" si="595"/>
        <v>#N/A</v>
      </c>
      <c r="DN183" s="74" t="e">
        <f t="shared" si="596"/>
        <v>#N/A</v>
      </c>
      <c r="DO183" s="45"/>
      <c r="DP183" s="89" t="str">
        <f t="shared" si="525"/>
        <v/>
      </c>
      <c r="DQ183" s="26" t="str">
        <f>IF(AND(Sufficient_data="Yes",Subgroup&lt;&gt;""),IF(COUNTIFS(Input!J$2:J182,"="&amp;"Yes",Input!C$2:C182,"="&amp;"Yes",Input!K$2:K182,"="&amp;Subgroup)&gt;0,"",Subgroup),"")</f>
        <v/>
      </c>
      <c r="DR183" s="7" t="str">
        <f t="shared" si="526"/>
        <v/>
      </c>
      <c r="DS183" s="7" t="str">
        <f t="shared" si="597"/>
        <v/>
      </c>
      <c r="DT183" s="19" t="str">
        <f t="shared" si="598"/>
        <v/>
      </c>
      <c r="DU183" s="12" t="str">
        <f t="shared" si="621"/>
        <v/>
      </c>
      <c r="DV183" s="11" t="str">
        <f t="shared" si="622"/>
        <v/>
      </c>
      <c r="DW183" s="12" t="str">
        <f t="shared" si="623"/>
        <v/>
      </c>
      <c r="DX183" s="12" t="str">
        <f t="shared" si="599"/>
        <v/>
      </c>
      <c r="DY183" s="19" t="str">
        <f t="shared" si="624"/>
        <v/>
      </c>
      <c r="DZ183" s="12" t="str">
        <f t="shared" si="625"/>
        <v/>
      </c>
      <c r="EA183" s="19" t="str">
        <f t="shared" si="600"/>
        <v/>
      </c>
      <c r="EB183" s="7" t="str">
        <f t="shared" si="601"/>
        <v/>
      </c>
      <c r="EC183" s="19" t="str">
        <f t="shared" si="602"/>
        <v/>
      </c>
      <c r="ED183" s="19" t="str">
        <f t="shared" si="603"/>
        <v/>
      </c>
      <c r="EE183" s="19" t="str">
        <f t="shared" si="626"/>
        <v/>
      </c>
      <c r="EF183" s="19" t="str">
        <f t="shared" si="627"/>
        <v/>
      </c>
      <c r="EG183" s="19" t="str">
        <f t="shared" si="628"/>
        <v/>
      </c>
      <c r="EH183" s="19" t="str">
        <f t="shared" si="629"/>
        <v/>
      </c>
      <c r="EI183" s="19" t="str">
        <f t="shared" si="630"/>
        <v/>
      </c>
      <c r="EJ183" s="19" t="str">
        <f t="shared" si="604"/>
        <v/>
      </c>
      <c r="EK183" s="19" t="str">
        <f t="shared" si="605"/>
        <v/>
      </c>
      <c r="EL183" s="19" t="str">
        <f t="shared" si="631"/>
        <v/>
      </c>
      <c r="EM183" s="19" t="str">
        <f t="shared" si="632"/>
        <v/>
      </c>
      <c r="EN183" s="19" t="str">
        <f t="shared" si="633"/>
        <v/>
      </c>
      <c r="EO183" s="19" t="str">
        <f t="shared" si="634"/>
        <v/>
      </c>
      <c r="EP183" s="19" t="str">
        <f t="shared" si="635"/>
        <v/>
      </c>
      <c r="EQ183" s="19" t="e">
        <f t="shared" si="636"/>
        <v>#N/A</v>
      </c>
      <c r="ER183" s="11" t="str">
        <f t="shared" si="527"/>
        <v/>
      </c>
      <c r="ES183" s="19" t="str">
        <f t="shared" si="528"/>
        <v/>
      </c>
      <c r="ET183" s="156" t="str">
        <f t="shared" si="606"/>
        <v/>
      </c>
      <c r="EU183" s="39" t="str">
        <f t="shared" si="637"/>
        <v/>
      </c>
      <c r="EV183" s="74" t="str">
        <f t="shared" si="607"/>
        <v/>
      </c>
      <c r="FA183" s="196"/>
      <c r="FB183" s="84" t="e">
        <f>IF(AND(Include_study?="Yes",Sufficient_data="Yes",Moderator&lt;&gt;""),'Moderator Analysis'!E183,NA())</f>
        <v>#N/A</v>
      </c>
      <c r="FC183" s="39" t="e">
        <f>IF(AND(Include_study?="Yes",Sufficient_data="Yes",Moderator&lt;&gt;""),'Moderator Analysis'!F183,NA())</f>
        <v>#N/A</v>
      </c>
      <c r="FD183" s="39" t="str">
        <f t="shared" si="608"/>
        <v/>
      </c>
      <c r="FE183" s="39" t="str">
        <f t="shared" si="609"/>
        <v/>
      </c>
      <c r="FF183" s="39" t="str">
        <f>IF(AND(Include_study?="Yes",Sufficient_data="Yes",Moderator&lt;&gt;""),'Moderator Analysis'!F:F-FP$2,"")</f>
        <v/>
      </c>
      <c r="FG183" s="39" t="str">
        <f>IF(AND(Include_study?="Yes",Sufficient_data="Yes",Moderator&lt;&gt;""),'Moderator Analysis'!E:E-FP$3,"")</f>
        <v/>
      </c>
      <c r="FH183" s="74" t="str">
        <f>IF(AND(Include_study?="Yes",Sufficient_data="Yes",Moderator&lt;&gt;""),FE:FE*('Moderator Analysis'!F:F-FP$5-FP$4*'Moderator Analysis'!E:E)^2,"")</f>
        <v/>
      </c>
      <c r="FI183" s="128"/>
      <c r="FJ183" s="92" t="str">
        <f t="shared" si="610"/>
        <v/>
      </c>
      <c r="FK183" s="137" t="str">
        <f>IF(AND(Include_study?="Yes",Sufficient_data="Yes",Moderator&lt;&gt;""),'Moderator Analysis'!F:F-'Moderator Analysis'!J$37,"")</f>
        <v/>
      </c>
      <c r="FL183" s="137" t="str">
        <f>IF(AND(Include_study?="Yes",Sufficient_data="Yes",Moderator&lt;&gt;""),'Moderator Analysis'!E:E-SUMPRODUCT('Moderator Analysis'!E:E,FJ:FJ)/SUM(FJ:FJ),"")</f>
        <v/>
      </c>
      <c r="FM183" s="95" t="str">
        <f>IF(AND(Include_study?="Yes",Sufficient_data="Yes",Moderator&lt;&gt;""),FJ:FJ*('Moderator Analysis'!F:F-'Moderator Analysis'!J$29-'Moderator Analysis'!J$30*'Moderator Analysis'!E:E)^2,"")</f>
        <v/>
      </c>
      <c r="FR183" s="196"/>
      <c r="FS183" s="182"/>
      <c r="FT18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3" s="39" t="str">
        <f>IF(AND(Include_study?="Yes",Sufficient_data="Yes"),1/('Publication Bias Analysis'!F:F^2+IF(Additional_model="Fixed effect",0,Calculations!GH$12)),"")</f>
        <v/>
      </c>
      <c r="FV183" s="39" t="str">
        <f>IF(AND(Include_study?="Yes",Sufficient_data="Yes"),1/('Publication Bias Analysis'!F:F^2+IF(Additional_model="Fixed effect",0,'Publication Bias Analysis'!L$32)),"")</f>
        <v/>
      </c>
      <c r="FW183" s="39" t="str">
        <f>IF(AND(Include_study?="Yes",Sufficient_data="Yes"),'Publication Bias Analysis'!E:E-'Publication Bias Analysis'!I$37,"")</f>
        <v/>
      </c>
      <c r="FX183" s="39" t="str">
        <f>IF(AND(Include_study?="Yes",Sufficient_data="Yes"),IF(Additional_model="Fixed effect",1/'Publication Bias Analysis'!F:F,1/SQRT('Publication Bias Analysis'!F:F^2+GH$12)),"")</f>
        <v/>
      </c>
      <c r="FY18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3" s="136" t="str">
        <f t="shared" si="611"/>
        <v/>
      </c>
      <c r="GA183" s="144" t="str">
        <f>IF(AND(Include_study?="Yes",Sufficient_data="Yes"),FZ:FZ+IF(GL:GL&lt;0,-1,1)*COUNTIF(FZ$2:FZ182,FZ:FZ),"")</f>
        <v/>
      </c>
      <c r="GB183" s="144" t="str">
        <f>IF(AND(Include_study?="Yes",Sufficient_data="Yes"),RANK(GP:GP,GP:GP,1)*IF(GO:GO&lt;0,-1,1)+IF(GO:GO&lt;0,-1,1)*COUNTIF(FZ$2:FZ182,FZ:FZ),"")</f>
        <v/>
      </c>
      <c r="GC183" s="144" t="str">
        <f>IF(AND(Include_study?="Yes",Sufficient_data="Yes"),RANK(GS:GS,GS:GS,1)*IF(GR:GR&lt;0,-1,1)+IF(GR:GR&lt;0,-1,1)*COUNTIF(FZ$2:FZ182,FZ:FZ),"")</f>
        <v/>
      </c>
      <c r="GD183" s="39" t="e">
        <f>IF(AND(Include_study?="Yes",Sufficient_data="Yes"),'Publication Bias Analysis'!E183,NA())</f>
        <v>#N/A</v>
      </c>
      <c r="GE183" s="74" t="e">
        <f>IF(AND(Include_study?="Yes",Sufficient_data="Yes"),'Publication Bias Analysis'!F183,NA())</f>
        <v>#N/A</v>
      </c>
      <c r="GK183" s="176"/>
      <c r="GL18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3" s="39" t="str">
        <f t="shared" si="612"/>
        <v/>
      </c>
      <c r="GN18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3" s="39" t="str">
        <f>IF(AND(Include_study?="Yes",Sufficient_data="Yes"),IF('Publication Bias Analysis'!L$38="Left",'Publication Bias Analysis'!E:E-GW$3,GW$3-'Publication Bias Analysis'!E:E),"")</f>
        <v/>
      </c>
      <c r="GP183" s="39" t="str">
        <f t="shared" si="529"/>
        <v/>
      </c>
      <c r="GQ18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3" s="39" t="str">
        <f>IF(AND(Include_study?="Yes",Sufficient_data="Yes"),IF('Publication Bias Analysis'!L$38="Left",'Publication Bias Analysis'!E:E-GW$10,GW$10-'Publication Bias Analysis'!E:E),"")</f>
        <v/>
      </c>
      <c r="GS183" s="39" t="str">
        <f t="shared" si="530"/>
        <v/>
      </c>
      <c r="GT18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3" s="176"/>
      <c r="HL183" s="69" t="str">
        <f t="shared" si="518"/>
        <v/>
      </c>
      <c r="HM183" s="74" t="str">
        <f>IF(AND(Include_study?="Yes",Sufficient_data="Yes"),Z_score-('Publication Bias Analysis'!P$3+'Publication Bias Analysis'!P$4*Inverse_standard_error),"")</f>
        <v/>
      </c>
      <c r="HO183" s="176"/>
      <c r="HP183" s="69" t="str">
        <f>IF(AND(Include_study?="Yes",Sufficient_data="Yes"),(GD:GD-SUMPRODUCT(Calculations!FT:FT,'Publication Bias Analysis'!E:E)/SUM(Calculations!FT:FT))/SQRT(Calculations!HQ:HQ),"")</f>
        <v/>
      </c>
      <c r="HQ183" s="69" t="str">
        <f>IF(AND(Include_study?="Yes",Sufficient_data="Yes"),GE:GE^2-1/SUM(Calculations!FT:FT),"")</f>
        <v/>
      </c>
      <c r="HR183" s="7" t="str">
        <f t="shared" si="638"/>
        <v/>
      </c>
      <c r="HS183" s="7" t="str">
        <f t="shared" si="639"/>
        <v/>
      </c>
      <c r="HT183" s="7" t="str">
        <f>IF(AND(Include_study?="Yes",Sufficient_data="Yes"),COUNTIFS(HR$2:HR182,"&lt;"&amp;HR183,HS$2:HS182,"&lt;"&amp;HS183)+COUNTIFS(HR184:HR$201,"&lt;"&amp;HR183,HS184:HS$201,"&lt;"&amp;HS183)+COUNTIFS(HR$2:HR182,"&gt;"&amp;HR183,HS$2:HS182,"&gt;"&amp;HS183)+COUNTIFS(HR184:HR$201,"&gt;"&amp;HR183,HS184:HS$201,"&gt;"&amp;HS183),"")</f>
        <v/>
      </c>
      <c r="HU183" s="104" t="str">
        <f>IF(AND(Include_study?="Yes",Sufficient_data="Yes"),COUNTIFS(HR$2:HR182,"&lt;"&amp;HR183,HS$2:HS182,"&gt;"&amp;HS183)+COUNTIFS(HR184:HR$201,"&lt;"&amp;HR183,HS184:HS$201,"&gt;"&amp;HS183)+COUNTIFS(HR$2:HR182,"&gt;"&amp;HR183,HS$2:HS182,"&lt;"&amp;HS183)+COUNTIFS(HR184:HR$201,"&gt;"&amp;HR183,HS184:HS$201,"&lt;"&amp;HS183),"")</f>
        <v/>
      </c>
      <c r="HW183" s="176"/>
      <c r="IB183" s="176"/>
      <c r="IC183" s="146" t="e">
        <f t="shared" si="613"/>
        <v>#N/A</v>
      </c>
      <c r="ID183" s="137" t="e">
        <f t="shared" si="614"/>
        <v>#N/A</v>
      </c>
      <c r="IE183" s="137" t="str">
        <f t="shared" si="615"/>
        <v/>
      </c>
      <c r="IF183" s="95" t="str">
        <f t="shared" si="616"/>
        <v/>
      </c>
      <c r="IK183" s="176"/>
      <c r="IL183" s="69" t="e">
        <f>IF(AND(Include_study?="Yes",Sufficient_data="Yes"),'Publication Bias Analysis'!AV:AV,NA())</f>
        <v>#N/A</v>
      </c>
      <c r="IM183" s="158" t="e">
        <f>IF(AND(Sufficient_data="Yes",Include_study?="Yes"),'Publication Bias Analysis'!AU:AU,NA())</f>
        <v>#N/A</v>
      </c>
      <c r="IN183" s="69" t="str">
        <f t="shared" si="617"/>
        <v/>
      </c>
      <c r="IO183" s="74" t="str">
        <f>IF(AND(Include_study?="Yes",Sufficient_data="Yes"),Z_score-('Publication Bias Analysis'!AY$30+'Publication Bias Analysis'!AY$31*Inverse_standard_error),"")</f>
        <v/>
      </c>
      <c r="IU183" s="176"/>
      <c r="IV183" s="7" t="str">
        <f>IF('Publication Bias Analysis'!BG:BG&lt;&gt;"",RANK('Publication Bias Analysis'!BG:BG,'Publication Bias Analysis'!BG:BG,1)+COUNTIF('Publication Bias Analysis'!BG$2:BG182,'Publication Bias Analysis'!BG183),"")</f>
        <v/>
      </c>
      <c r="IW183" s="124" t="str">
        <f t="shared" si="618"/>
        <v/>
      </c>
      <c r="IX183" s="125" t="e">
        <f>IF('Publication Bias Analysis'!BF183&lt;&gt;"",'Publication Bias Analysis'!BF183,NA())</f>
        <v>#N/A</v>
      </c>
      <c r="IY183" s="125" t="e">
        <f>IF('Publication Bias Analysis'!BG183&lt;&gt;"",'Publication Bias Analysis'!BG183,NA())</f>
        <v>#N/A</v>
      </c>
      <c r="IZ183" s="69" t="str">
        <f>IF(AND(Include_study?="Yes",Sufficient_data="Yes"),'Publication Bias Analysis'!BF:BF-AVERAGE('Publication Bias Analysis'!BF:BF),"")</f>
        <v/>
      </c>
      <c r="JA183" s="74" t="str">
        <f>IF(AND(Include_study?="Yes",Sufficient_data="Yes"),'Publication Bias Analysis'!BG:BG-('Publication Bias Analysis'!BJ$30+'Publication Bias Analysis'!BJ$31*'Publication Bias Analysis'!BF:BF),"")</f>
        <v/>
      </c>
      <c r="JG183" s="176"/>
      <c r="JH183" s="39" t="str">
        <f t="shared" si="619"/>
        <v/>
      </c>
      <c r="JI183" s="148" t="str">
        <f t="shared" si="531"/>
        <v/>
      </c>
      <c r="JJ183" s="74" t="str">
        <f t="shared" si="532"/>
        <v/>
      </c>
    </row>
    <row r="184" spans="1:270" x14ac:dyDescent="0.2">
      <c r="A184" s="56" t="str">
        <f t="shared" si="533"/>
        <v/>
      </c>
      <c r="B184" s="7" t="str">
        <f>IF(AND(Include_study?="Yes",Sufficient_data="Yes"),IF(Input!a_&lt;&gt;"",Input!a_,Input!n1_-Input!b_),"")</f>
        <v/>
      </c>
      <c r="C184" s="7" t="str">
        <f>IF(AND(Include_study?="Yes",Sufficient_data="Yes"),IF(Input!b_&lt;&gt;"",Input!b_,Input!n1_-Input!a_),"")</f>
        <v/>
      </c>
      <c r="D184" s="7" t="str">
        <f>IF(AND(Include_study?="Yes",Sufficient_data="Yes"),IF(Input!c_&lt;&gt;"",Input!c_,Input!n2_-Input!d_),"")</f>
        <v/>
      </c>
      <c r="E184" s="7" t="str">
        <f>IF(AND(Include_study?="Yes",Sufficient_data="Yes"),IF(Input!d_&lt;&gt;"",Input!d_,Input!n2_-Input!c_),"")</f>
        <v/>
      </c>
      <c r="F184" s="74" t="str">
        <f t="shared" si="534"/>
        <v/>
      </c>
      <c r="H184" s="196"/>
      <c r="I184" s="182"/>
      <c r="J184" s="146" t="str">
        <f t="shared" si="444"/>
        <v/>
      </c>
      <c r="K184" s="39" t="str">
        <f t="shared" si="535"/>
        <v/>
      </c>
      <c r="L184" s="39" t="str">
        <f t="shared" si="536"/>
        <v/>
      </c>
      <c r="M184" s="39" t="str">
        <f t="shared" si="537"/>
        <v/>
      </c>
      <c r="N184" s="74" t="str">
        <f t="shared" si="538"/>
        <v/>
      </c>
      <c r="P184" s="176"/>
      <c r="Q184" s="130" t="str">
        <f t="shared" si="539"/>
        <v/>
      </c>
      <c r="R184" s="39" t="str">
        <f t="shared" si="540"/>
        <v/>
      </c>
      <c r="S184" s="39" t="str">
        <f t="shared" si="541"/>
        <v/>
      </c>
      <c r="T184" s="74" t="str">
        <f t="shared" si="542"/>
        <v/>
      </c>
      <c r="V184" s="176"/>
      <c r="W184" s="130" t="str">
        <f t="shared" si="543"/>
        <v/>
      </c>
      <c r="X184" s="39" t="str">
        <f t="shared" si="544"/>
        <v/>
      </c>
      <c r="Y184" s="39" t="str">
        <f t="shared" si="545"/>
        <v/>
      </c>
      <c r="Z184" s="74" t="str">
        <f t="shared" si="546"/>
        <v/>
      </c>
      <c r="AB184" s="176"/>
      <c r="AC184" s="130" t="str">
        <f t="shared" si="547"/>
        <v/>
      </c>
      <c r="AD184" s="39" t="str">
        <f t="shared" si="548"/>
        <v/>
      </c>
      <c r="AE184" s="39" t="str">
        <f t="shared" si="549"/>
        <v/>
      </c>
      <c r="AF184" s="39" t="str">
        <f t="shared" si="550"/>
        <v/>
      </c>
      <c r="AG184" s="74" t="str">
        <f t="shared" si="551"/>
        <v/>
      </c>
      <c r="AI184" s="196"/>
      <c r="AJ18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4" s="136" t="str">
        <f>IF(AJ184&lt;&gt;"",IF(AJ184=0,COUNTIF(AJ$2:AJ183,0)+1,COUNTIF(AJ$2:AJ183,AJ184)+AJ184+COUNTIF(AJ:AJ,0)),"")</f>
        <v/>
      </c>
      <c r="AL184" s="136" t="str">
        <f t="shared" si="462"/>
        <v/>
      </c>
      <c r="AM184" s="155" t="str">
        <f>IF(AND(Include_study?="Yes",Sufficient_data="Yes",Input!Study_name&lt;&gt;""),Input!Study_name,"")</f>
        <v/>
      </c>
      <c r="AN184" s="136" t="str">
        <f t="shared" si="463"/>
        <v/>
      </c>
      <c r="AO184" s="19" t="str">
        <f t="shared" si="552"/>
        <v/>
      </c>
      <c r="AP184" s="158" t="str">
        <f t="shared" si="553"/>
        <v/>
      </c>
      <c r="AQ184" s="158" t="str">
        <f t="shared" si="554"/>
        <v/>
      </c>
      <c r="AR184" s="39" t="str">
        <f t="shared" si="555"/>
        <v/>
      </c>
      <c r="AS184" s="158" t="str">
        <f t="shared" si="556"/>
        <v/>
      </c>
      <c r="AT184" s="39" t="str">
        <f t="shared" si="557"/>
        <v/>
      </c>
      <c r="AU184" s="172" t="str">
        <f t="shared" si="558"/>
        <v/>
      </c>
      <c r="AV184" s="45"/>
      <c r="AW184" s="84" t="e">
        <f t="shared" si="559"/>
        <v>#N/A</v>
      </c>
      <c r="AX184" s="69" t="e">
        <f t="shared" si="560"/>
        <v>#N/A</v>
      </c>
      <c r="AY184" s="74" t="e">
        <f t="shared" si="561"/>
        <v>#N/A</v>
      </c>
      <c r="AZ184" s="45"/>
      <c r="BA184" s="45"/>
      <c r="BB184" s="45"/>
      <c r="BC184" s="45"/>
      <c r="BD184" s="196"/>
      <c r="BE184" s="182"/>
      <c r="BF184" s="69" t="str">
        <f t="shared" si="562"/>
        <v/>
      </c>
      <c r="BG184" s="69" t="str">
        <f t="shared" si="563"/>
        <v/>
      </c>
      <c r="BH184" s="69" t="str">
        <f t="shared" si="564"/>
        <v/>
      </c>
      <c r="BI184" s="39" t="str">
        <f t="shared" si="565"/>
        <v/>
      </c>
      <c r="BJ184" s="95" t="str">
        <f t="shared" si="566"/>
        <v/>
      </c>
      <c r="BO184" s="176"/>
      <c r="BP184" s="158" t="str">
        <f t="shared" si="567"/>
        <v/>
      </c>
      <c r="BQ184" s="158" t="str">
        <f t="shared" si="568"/>
        <v/>
      </c>
      <c r="BR184" s="158" t="str">
        <f t="shared" si="569"/>
        <v/>
      </c>
      <c r="BS184" s="158" t="str">
        <f>IF(AND(Sufficient_data="Yes",Include_study?="Yes"),IF(Add_0_5="Yes",(a_+d_+1)*(ab_+0.5)*(c_+0.5)/(Number_of_subjects+2)^2,(a_+d_)*b_*c_/Number_of_subjects^2),"")</f>
        <v/>
      </c>
      <c r="BT184" s="158" t="str">
        <f t="shared" si="570"/>
        <v/>
      </c>
      <c r="BU184" s="158" t="str">
        <f t="shared" si="571"/>
        <v/>
      </c>
      <c r="BV184" s="158" t="str">
        <f t="shared" si="572"/>
        <v/>
      </c>
      <c r="BW184" s="69" t="str">
        <f t="shared" si="573"/>
        <v/>
      </c>
      <c r="BX184" s="137" t="str">
        <f t="shared" si="574"/>
        <v/>
      </c>
      <c r="BY184" s="95" t="str">
        <f t="shared" si="575"/>
        <v/>
      </c>
      <c r="CD184" s="176"/>
      <c r="CE184" s="130" t="str">
        <f t="shared" si="576"/>
        <v/>
      </c>
      <c r="CF184" s="39" t="str">
        <f t="shared" si="577"/>
        <v/>
      </c>
      <c r="CG184" s="39" t="str">
        <f t="shared" si="578"/>
        <v/>
      </c>
      <c r="CH184" s="39" t="str">
        <f t="shared" si="579"/>
        <v/>
      </c>
      <c r="CI184" s="39" t="str">
        <f t="shared" si="580"/>
        <v/>
      </c>
      <c r="CJ184" s="39" t="str">
        <f t="shared" si="486"/>
        <v/>
      </c>
      <c r="CK184" s="95" t="str">
        <f t="shared" si="581"/>
        <v/>
      </c>
      <c r="CP184" s="176"/>
      <c r="CQ184" s="99" t="str">
        <f t="shared" si="582"/>
        <v/>
      </c>
      <c r="CX184" s="196"/>
      <c r="CY184" s="89" t="e">
        <f t="shared" si="583"/>
        <v>#N/A</v>
      </c>
      <c r="CZ184" s="136" t="str">
        <f t="shared" si="584"/>
        <v/>
      </c>
      <c r="DA184" s="140" t="str">
        <f t="shared" si="585"/>
        <v/>
      </c>
      <c r="DB184" s="39" t="str">
        <f t="shared" si="586"/>
        <v/>
      </c>
      <c r="DC184" s="39" t="str">
        <f t="shared" si="587"/>
        <v/>
      </c>
      <c r="DD184" s="39" t="str">
        <f t="shared" si="588"/>
        <v/>
      </c>
      <c r="DE184" s="39" t="str">
        <f t="shared" si="589"/>
        <v/>
      </c>
      <c r="DF184" s="141" t="str">
        <f t="shared" si="590"/>
        <v/>
      </c>
      <c r="DG184" s="39" t="str">
        <f t="shared" si="591"/>
        <v/>
      </c>
      <c r="DH184" s="39" t="str">
        <f t="shared" si="592"/>
        <v/>
      </c>
      <c r="DI184" s="39" t="str">
        <f t="shared" si="593"/>
        <v/>
      </c>
      <c r="DJ184" s="74" t="str">
        <f t="shared" si="594"/>
        <v/>
      </c>
      <c r="DK184" s="45"/>
      <c r="DL184" s="84" t="e">
        <f t="shared" si="620"/>
        <v>#N/A</v>
      </c>
      <c r="DM184" s="39" t="e">
        <f t="shared" si="595"/>
        <v>#N/A</v>
      </c>
      <c r="DN184" s="74" t="e">
        <f t="shared" si="596"/>
        <v>#N/A</v>
      </c>
      <c r="DO184" s="45"/>
      <c r="DP184" s="89" t="str">
        <f t="shared" si="525"/>
        <v/>
      </c>
      <c r="DQ184" s="26" t="str">
        <f>IF(AND(Sufficient_data="Yes",Subgroup&lt;&gt;""),IF(COUNTIFS(Input!J$2:J183,"="&amp;"Yes",Input!C$2:C183,"="&amp;"Yes",Input!K$2:K183,"="&amp;Subgroup)&gt;0,"",Subgroup),"")</f>
        <v/>
      </c>
      <c r="DR184" s="7" t="str">
        <f t="shared" si="526"/>
        <v/>
      </c>
      <c r="DS184" s="7" t="str">
        <f t="shared" si="597"/>
        <v/>
      </c>
      <c r="DT184" s="19" t="str">
        <f t="shared" si="598"/>
        <v/>
      </c>
      <c r="DU184" s="12" t="str">
        <f t="shared" si="621"/>
        <v/>
      </c>
      <c r="DV184" s="11" t="str">
        <f t="shared" si="622"/>
        <v/>
      </c>
      <c r="DW184" s="12" t="str">
        <f t="shared" si="623"/>
        <v/>
      </c>
      <c r="DX184" s="12" t="str">
        <f t="shared" si="599"/>
        <v/>
      </c>
      <c r="DY184" s="19" t="str">
        <f t="shared" si="624"/>
        <v/>
      </c>
      <c r="DZ184" s="12" t="str">
        <f t="shared" si="625"/>
        <v/>
      </c>
      <c r="EA184" s="19" t="str">
        <f t="shared" si="600"/>
        <v/>
      </c>
      <c r="EB184" s="7" t="str">
        <f t="shared" si="601"/>
        <v/>
      </c>
      <c r="EC184" s="19" t="str">
        <f t="shared" si="602"/>
        <v/>
      </c>
      <c r="ED184" s="19" t="str">
        <f t="shared" si="603"/>
        <v/>
      </c>
      <c r="EE184" s="19" t="str">
        <f t="shared" si="626"/>
        <v/>
      </c>
      <c r="EF184" s="19" t="str">
        <f t="shared" si="627"/>
        <v/>
      </c>
      <c r="EG184" s="19" t="str">
        <f t="shared" si="628"/>
        <v/>
      </c>
      <c r="EH184" s="19" t="str">
        <f t="shared" si="629"/>
        <v/>
      </c>
      <c r="EI184" s="19" t="str">
        <f t="shared" si="630"/>
        <v/>
      </c>
      <c r="EJ184" s="19" t="str">
        <f t="shared" si="604"/>
        <v/>
      </c>
      <c r="EK184" s="19" t="str">
        <f t="shared" si="605"/>
        <v/>
      </c>
      <c r="EL184" s="19" t="str">
        <f t="shared" si="631"/>
        <v/>
      </c>
      <c r="EM184" s="19" t="str">
        <f t="shared" si="632"/>
        <v/>
      </c>
      <c r="EN184" s="19" t="str">
        <f t="shared" si="633"/>
        <v/>
      </c>
      <c r="EO184" s="19" t="str">
        <f t="shared" si="634"/>
        <v/>
      </c>
      <c r="EP184" s="19" t="str">
        <f t="shared" si="635"/>
        <v/>
      </c>
      <c r="EQ184" s="19" t="e">
        <f t="shared" si="636"/>
        <v>#N/A</v>
      </c>
      <c r="ER184" s="11" t="str">
        <f t="shared" si="527"/>
        <v/>
      </c>
      <c r="ES184" s="19" t="str">
        <f t="shared" si="528"/>
        <v/>
      </c>
      <c r="ET184" s="156" t="str">
        <f t="shared" si="606"/>
        <v/>
      </c>
      <c r="EU184" s="39" t="str">
        <f t="shared" si="637"/>
        <v/>
      </c>
      <c r="EV184" s="74" t="str">
        <f t="shared" si="607"/>
        <v/>
      </c>
      <c r="FA184" s="196"/>
      <c r="FB184" s="84" t="e">
        <f>IF(AND(Include_study?="Yes",Sufficient_data="Yes",Moderator&lt;&gt;""),'Moderator Analysis'!E184,NA())</f>
        <v>#N/A</v>
      </c>
      <c r="FC184" s="39" t="e">
        <f>IF(AND(Include_study?="Yes",Sufficient_data="Yes",Moderator&lt;&gt;""),'Moderator Analysis'!F184,NA())</f>
        <v>#N/A</v>
      </c>
      <c r="FD184" s="39" t="str">
        <f t="shared" si="608"/>
        <v/>
      </c>
      <c r="FE184" s="39" t="str">
        <f t="shared" si="609"/>
        <v/>
      </c>
      <c r="FF184" s="39" t="str">
        <f>IF(AND(Include_study?="Yes",Sufficient_data="Yes",Moderator&lt;&gt;""),'Moderator Analysis'!F:F-FP$2,"")</f>
        <v/>
      </c>
      <c r="FG184" s="39" t="str">
        <f>IF(AND(Include_study?="Yes",Sufficient_data="Yes",Moderator&lt;&gt;""),'Moderator Analysis'!E:E-FP$3,"")</f>
        <v/>
      </c>
      <c r="FH184" s="74" t="str">
        <f>IF(AND(Include_study?="Yes",Sufficient_data="Yes",Moderator&lt;&gt;""),FE:FE*('Moderator Analysis'!F:F-FP$5-FP$4*'Moderator Analysis'!E:E)^2,"")</f>
        <v/>
      </c>
      <c r="FI184" s="128"/>
      <c r="FJ184" s="92" t="str">
        <f t="shared" si="610"/>
        <v/>
      </c>
      <c r="FK184" s="137" t="str">
        <f>IF(AND(Include_study?="Yes",Sufficient_data="Yes",Moderator&lt;&gt;""),'Moderator Analysis'!F:F-'Moderator Analysis'!J$37,"")</f>
        <v/>
      </c>
      <c r="FL184" s="137" t="str">
        <f>IF(AND(Include_study?="Yes",Sufficient_data="Yes",Moderator&lt;&gt;""),'Moderator Analysis'!E:E-SUMPRODUCT('Moderator Analysis'!E:E,FJ:FJ)/SUM(FJ:FJ),"")</f>
        <v/>
      </c>
      <c r="FM184" s="95" t="str">
        <f>IF(AND(Include_study?="Yes",Sufficient_data="Yes",Moderator&lt;&gt;""),FJ:FJ*('Moderator Analysis'!F:F-'Moderator Analysis'!J$29-'Moderator Analysis'!J$30*'Moderator Analysis'!E:E)^2,"")</f>
        <v/>
      </c>
      <c r="FR184" s="196"/>
      <c r="FS184" s="182"/>
      <c r="FT18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4" s="39" t="str">
        <f>IF(AND(Include_study?="Yes",Sufficient_data="Yes"),1/('Publication Bias Analysis'!F:F^2+IF(Additional_model="Fixed effect",0,Calculations!GH$12)),"")</f>
        <v/>
      </c>
      <c r="FV184" s="39" t="str">
        <f>IF(AND(Include_study?="Yes",Sufficient_data="Yes"),1/('Publication Bias Analysis'!F:F^2+IF(Additional_model="Fixed effect",0,'Publication Bias Analysis'!L$32)),"")</f>
        <v/>
      </c>
      <c r="FW184" s="39" t="str">
        <f>IF(AND(Include_study?="Yes",Sufficient_data="Yes"),'Publication Bias Analysis'!E:E-'Publication Bias Analysis'!I$37,"")</f>
        <v/>
      </c>
      <c r="FX184" s="39" t="str">
        <f>IF(AND(Include_study?="Yes",Sufficient_data="Yes"),IF(Additional_model="Fixed effect",1/'Publication Bias Analysis'!F:F,1/SQRT('Publication Bias Analysis'!F:F^2+GH$12)),"")</f>
        <v/>
      </c>
      <c r="FY18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4" s="136" t="str">
        <f t="shared" si="611"/>
        <v/>
      </c>
      <c r="GA184" s="144" t="str">
        <f>IF(AND(Include_study?="Yes",Sufficient_data="Yes"),FZ:FZ+IF(GL:GL&lt;0,-1,1)*COUNTIF(FZ$2:FZ183,FZ:FZ),"")</f>
        <v/>
      </c>
      <c r="GB184" s="144" t="str">
        <f>IF(AND(Include_study?="Yes",Sufficient_data="Yes"),RANK(GP:GP,GP:GP,1)*IF(GO:GO&lt;0,-1,1)+IF(GO:GO&lt;0,-1,1)*COUNTIF(FZ$2:FZ183,FZ:FZ),"")</f>
        <v/>
      </c>
      <c r="GC184" s="144" t="str">
        <f>IF(AND(Include_study?="Yes",Sufficient_data="Yes"),RANK(GS:GS,GS:GS,1)*IF(GR:GR&lt;0,-1,1)+IF(GR:GR&lt;0,-1,1)*COUNTIF(FZ$2:FZ183,FZ:FZ),"")</f>
        <v/>
      </c>
      <c r="GD184" s="39" t="e">
        <f>IF(AND(Include_study?="Yes",Sufficient_data="Yes"),'Publication Bias Analysis'!E184,NA())</f>
        <v>#N/A</v>
      </c>
      <c r="GE184" s="74" t="e">
        <f>IF(AND(Include_study?="Yes",Sufficient_data="Yes"),'Publication Bias Analysis'!F184,NA())</f>
        <v>#N/A</v>
      </c>
      <c r="GK184" s="176"/>
      <c r="GL18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4" s="39" t="str">
        <f t="shared" si="612"/>
        <v/>
      </c>
      <c r="GN18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4" s="39" t="str">
        <f>IF(AND(Include_study?="Yes",Sufficient_data="Yes"),IF('Publication Bias Analysis'!L$38="Left",'Publication Bias Analysis'!E:E-GW$3,GW$3-'Publication Bias Analysis'!E:E),"")</f>
        <v/>
      </c>
      <c r="GP184" s="39" t="str">
        <f t="shared" si="529"/>
        <v/>
      </c>
      <c r="GQ18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4" s="39" t="str">
        <f>IF(AND(Include_study?="Yes",Sufficient_data="Yes"),IF('Publication Bias Analysis'!L$38="Left",'Publication Bias Analysis'!E:E-GW$10,GW$10-'Publication Bias Analysis'!E:E),"")</f>
        <v/>
      </c>
      <c r="GS184" s="39" t="str">
        <f t="shared" si="530"/>
        <v/>
      </c>
      <c r="GT18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4" s="176"/>
      <c r="HL184" s="69" t="str">
        <f t="shared" si="518"/>
        <v/>
      </c>
      <c r="HM184" s="74" t="str">
        <f>IF(AND(Include_study?="Yes",Sufficient_data="Yes"),Z_score-('Publication Bias Analysis'!P$3+'Publication Bias Analysis'!P$4*Inverse_standard_error),"")</f>
        <v/>
      </c>
      <c r="HO184" s="176"/>
      <c r="HP184" s="69" t="str">
        <f>IF(AND(Include_study?="Yes",Sufficient_data="Yes"),(GD:GD-SUMPRODUCT(Calculations!FT:FT,'Publication Bias Analysis'!E:E)/SUM(Calculations!FT:FT))/SQRT(Calculations!HQ:HQ),"")</f>
        <v/>
      </c>
      <c r="HQ184" s="69" t="str">
        <f>IF(AND(Include_study?="Yes",Sufficient_data="Yes"),GE:GE^2-1/SUM(Calculations!FT:FT),"")</f>
        <v/>
      </c>
      <c r="HR184" s="7" t="str">
        <f t="shared" si="638"/>
        <v/>
      </c>
      <c r="HS184" s="7" t="str">
        <f t="shared" si="639"/>
        <v/>
      </c>
      <c r="HT184" s="7" t="str">
        <f>IF(AND(Include_study?="Yes",Sufficient_data="Yes"),COUNTIFS(HR$2:HR183,"&lt;"&amp;HR184,HS$2:HS183,"&lt;"&amp;HS184)+COUNTIFS(HR185:HR$201,"&lt;"&amp;HR184,HS185:HS$201,"&lt;"&amp;HS184)+COUNTIFS(HR$2:HR183,"&gt;"&amp;HR184,HS$2:HS183,"&gt;"&amp;HS184)+COUNTIFS(HR185:HR$201,"&gt;"&amp;HR184,HS185:HS$201,"&gt;"&amp;HS184),"")</f>
        <v/>
      </c>
      <c r="HU184" s="104" t="str">
        <f>IF(AND(Include_study?="Yes",Sufficient_data="Yes"),COUNTIFS(HR$2:HR183,"&lt;"&amp;HR184,HS$2:HS183,"&gt;"&amp;HS184)+COUNTIFS(HR185:HR$201,"&lt;"&amp;HR184,HS185:HS$201,"&gt;"&amp;HS184)+COUNTIFS(HR$2:HR183,"&gt;"&amp;HR184,HS$2:HS183,"&lt;"&amp;HS184)+COUNTIFS(HR185:HR$201,"&gt;"&amp;HR184,HS185:HS$201,"&lt;"&amp;HS184),"")</f>
        <v/>
      </c>
      <c r="HW184" s="176"/>
      <c r="IB184" s="176"/>
      <c r="IC184" s="146" t="e">
        <f t="shared" si="613"/>
        <v>#N/A</v>
      </c>
      <c r="ID184" s="137" t="e">
        <f t="shared" si="614"/>
        <v>#N/A</v>
      </c>
      <c r="IE184" s="137" t="str">
        <f t="shared" si="615"/>
        <v/>
      </c>
      <c r="IF184" s="95" t="str">
        <f t="shared" si="616"/>
        <v/>
      </c>
      <c r="IK184" s="176"/>
      <c r="IL184" s="69" t="e">
        <f>IF(AND(Include_study?="Yes",Sufficient_data="Yes"),'Publication Bias Analysis'!AV:AV,NA())</f>
        <v>#N/A</v>
      </c>
      <c r="IM184" s="158" t="e">
        <f>IF(AND(Sufficient_data="Yes",Include_study?="Yes"),'Publication Bias Analysis'!AU:AU,NA())</f>
        <v>#N/A</v>
      </c>
      <c r="IN184" s="69" t="str">
        <f t="shared" si="617"/>
        <v/>
      </c>
      <c r="IO184" s="74" t="str">
        <f>IF(AND(Include_study?="Yes",Sufficient_data="Yes"),Z_score-('Publication Bias Analysis'!AY$30+'Publication Bias Analysis'!AY$31*Inverse_standard_error),"")</f>
        <v/>
      </c>
      <c r="IU184" s="176"/>
      <c r="IV184" s="7" t="str">
        <f>IF('Publication Bias Analysis'!BG:BG&lt;&gt;"",RANK('Publication Bias Analysis'!BG:BG,'Publication Bias Analysis'!BG:BG,1)+COUNTIF('Publication Bias Analysis'!BG$2:BG183,'Publication Bias Analysis'!BG184),"")</f>
        <v/>
      </c>
      <c r="IW184" s="124" t="str">
        <f t="shared" si="618"/>
        <v/>
      </c>
      <c r="IX184" s="125" t="e">
        <f>IF('Publication Bias Analysis'!BF184&lt;&gt;"",'Publication Bias Analysis'!BF184,NA())</f>
        <v>#N/A</v>
      </c>
      <c r="IY184" s="125" t="e">
        <f>IF('Publication Bias Analysis'!BG184&lt;&gt;"",'Publication Bias Analysis'!BG184,NA())</f>
        <v>#N/A</v>
      </c>
      <c r="IZ184" s="69" t="str">
        <f>IF(AND(Include_study?="Yes",Sufficient_data="Yes"),'Publication Bias Analysis'!BF:BF-AVERAGE('Publication Bias Analysis'!BF:BF),"")</f>
        <v/>
      </c>
      <c r="JA184" s="74" t="str">
        <f>IF(AND(Include_study?="Yes",Sufficient_data="Yes"),'Publication Bias Analysis'!BG:BG-('Publication Bias Analysis'!BJ$30+'Publication Bias Analysis'!BJ$31*'Publication Bias Analysis'!BF:BF),"")</f>
        <v/>
      </c>
      <c r="JG184" s="176"/>
      <c r="JH184" s="39" t="str">
        <f t="shared" si="619"/>
        <v/>
      </c>
      <c r="JI184" s="148" t="str">
        <f t="shared" si="531"/>
        <v/>
      </c>
      <c r="JJ184" s="74" t="str">
        <f t="shared" si="532"/>
        <v/>
      </c>
    </row>
    <row r="185" spans="1:270" x14ac:dyDescent="0.2">
      <c r="A185" s="56" t="str">
        <f t="shared" si="533"/>
        <v/>
      </c>
      <c r="B185" s="7" t="str">
        <f>IF(AND(Include_study?="Yes",Sufficient_data="Yes"),IF(Input!a_&lt;&gt;"",Input!a_,Input!n1_-Input!b_),"")</f>
        <v/>
      </c>
      <c r="C185" s="7" t="str">
        <f>IF(AND(Include_study?="Yes",Sufficient_data="Yes"),IF(Input!b_&lt;&gt;"",Input!b_,Input!n1_-Input!a_),"")</f>
        <v/>
      </c>
      <c r="D185" s="7" t="str">
        <f>IF(AND(Include_study?="Yes",Sufficient_data="Yes"),IF(Input!c_&lt;&gt;"",Input!c_,Input!n2_-Input!d_),"")</f>
        <v/>
      </c>
      <c r="E185" s="7" t="str">
        <f>IF(AND(Include_study?="Yes",Sufficient_data="Yes"),IF(Input!d_&lt;&gt;"",Input!d_,Input!n2_-Input!c_),"")</f>
        <v/>
      </c>
      <c r="F185" s="74" t="str">
        <f t="shared" si="534"/>
        <v/>
      </c>
      <c r="H185" s="196"/>
      <c r="I185" s="182"/>
      <c r="J185" s="146" t="str">
        <f t="shared" si="444"/>
        <v/>
      </c>
      <c r="K185" s="39" t="str">
        <f t="shared" si="535"/>
        <v/>
      </c>
      <c r="L185" s="39" t="str">
        <f t="shared" si="536"/>
        <v/>
      </c>
      <c r="M185" s="39" t="str">
        <f t="shared" si="537"/>
        <v/>
      </c>
      <c r="N185" s="74" t="str">
        <f t="shared" si="538"/>
        <v/>
      </c>
      <c r="P185" s="176"/>
      <c r="Q185" s="130" t="str">
        <f t="shared" si="539"/>
        <v/>
      </c>
      <c r="R185" s="39" t="str">
        <f t="shared" si="540"/>
        <v/>
      </c>
      <c r="S185" s="39" t="str">
        <f t="shared" si="541"/>
        <v/>
      </c>
      <c r="T185" s="74" t="str">
        <f t="shared" si="542"/>
        <v/>
      </c>
      <c r="V185" s="176"/>
      <c r="W185" s="130" t="str">
        <f t="shared" si="543"/>
        <v/>
      </c>
      <c r="X185" s="39" t="str">
        <f t="shared" si="544"/>
        <v/>
      </c>
      <c r="Y185" s="39" t="str">
        <f t="shared" si="545"/>
        <v/>
      </c>
      <c r="Z185" s="74" t="str">
        <f t="shared" si="546"/>
        <v/>
      </c>
      <c r="AB185" s="176"/>
      <c r="AC185" s="130" t="str">
        <f t="shared" si="547"/>
        <v/>
      </c>
      <c r="AD185" s="39" t="str">
        <f t="shared" si="548"/>
        <v/>
      </c>
      <c r="AE185" s="39" t="str">
        <f t="shared" si="549"/>
        <v/>
      </c>
      <c r="AF185" s="39" t="str">
        <f t="shared" si="550"/>
        <v/>
      </c>
      <c r="AG185" s="74" t="str">
        <f t="shared" si="551"/>
        <v/>
      </c>
      <c r="AI185" s="196"/>
      <c r="AJ18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5" s="136" t="str">
        <f>IF(AJ185&lt;&gt;"",IF(AJ185=0,COUNTIF(AJ$2:AJ184,0)+1,COUNTIF(AJ$2:AJ184,AJ185)+AJ185+COUNTIF(AJ:AJ,0)),"")</f>
        <v/>
      </c>
      <c r="AL185" s="136" t="str">
        <f t="shared" si="462"/>
        <v/>
      </c>
      <c r="AM185" s="155" t="str">
        <f>IF(AND(Include_study?="Yes",Sufficient_data="Yes",Input!Study_name&lt;&gt;""),Input!Study_name,"")</f>
        <v/>
      </c>
      <c r="AN185" s="136" t="str">
        <f t="shared" si="463"/>
        <v/>
      </c>
      <c r="AO185" s="19" t="str">
        <f t="shared" si="552"/>
        <v/>
      </c>
      <c r="AP185" s="158" t="str">
        <f t="shared" si="553"/>
        <v/>
      </c>
      <c r="AQ185" s="158" t="str">
        <f t="shared" si="554"/>
        <v/>
      </c>
      <c r="AR185" s="39" t="str">
        <f t="shared" si="555"/>
        <v/>
      </c>
      <c r="AS185" s="158" t="str">
        <f t="shared" si="556"/>
        <v/>
      </c>
      <c r="AT185" s="39" t="str">
        <f t="shared" si="557"/>
        <v/>
      </c>
      <c r="AU185" s="172" t="str">
        <f t="shared" si="558"/>
        <v/>
      </c>
      <c r="AV185" s="45"/>
      <c r="AW185" s="84" t="e">
        <f t="shared" si="559"/>
        <v>#N/A</v>
      </c>
      <c r="AX185" s="69" t="e">
        <f t="shared" si="560"/>
        <v>#N/A</v>
      </c>
      <c r="AY185" s="74" t="e">
        <f t="shared" si="561"/>
        <v>#N/A</v>
      </c>
      <c r="AZ185" s="45"/>
      <c r="BA185" s="45"/>
      <c r="BB185" s="45"/>
      <c r="BC185" s="45"/>
      <c r="BD185" s="196"/>
      <c r="BE185" s="182"/>
      <c r="BF185" s="69" t="str">
        <f t="shared" si="562"/>
        <v/>
      </c>
      <c r="BG185" s="69" t="str">
        <f t="shared" si="563"/>
        <v/>
      </c>
      <c r="BH185" s="69" t="str">
        <f t="shared" si="564"/>
        <v/>
      </c>
      <c r="BI185" s="39" t="str">
        <f t="shared" si="565"/>
        <v/>
      </c>
      <c r="BJ185" s="95" t="str">
        <f t="shared" si="566"/>
        <v/>
      </c>
      <c r="BO185" s="176"/>
      <c r="BP185" s="158" t="str">
        <f t="shared" si="567"/>
        <v/>
      </c>
      <c r="BQ185" s="158" t="str">
        <f t="shared" si="568"/>
        <v/>
      </c>
      <c r="BR185" s="158" t="str">
        <f t="shared" si="569"/>
        <v/>
      </c>
      <c r="BS185" s="158" t="str">
        <f>IF(AND(Sufficient_data="Yes",Include_study?="Yes"),IF(Add_0_5="Yes",(a_+d_+1)*(ab_+0.5)*(c_+0.5)/(Number_of_subjects+2)^2,(a_+d_)*b_*c_/Number_of_subjects^2),"")</f>
        <v/>
      </c>
      <c r="BT185" s="158" t="str">
        <f t="shared" si="570"/>
        <v/>
      </c>
      <c r="BU185" s="158" t="str">
        <f t="shared" si="571"/>
        <v/>
      </c>
      <c r="BV185" s="158" t="str">
        <f t="shared" si="572"/>
        <v/>
      </c>
      <c r="BW185" s="69" t="str">
        <f t="shared" si="573"/>
        <v/>
      </c>
      <c r="BX185" s="137" t="str">
        <f t="shared" si="574"/>
        <v/>
      </c>
      <c r="BY185" s="95" t="str">
        <f t="shared" si="575"/>
        <v/>
      </c>
      <c r="CD185" s="176"/>
      <c r="CE185" s="130" t="str">
        <f t="shared" si="576"/>
        <v/>
      </c>
      <c r="CF185" s="39" t="str">
        <f t="shared" si="577"/>
        <v/>
      </c>
      <c r="CG185" s="39" t="str">
        <f t="shared" si="578"/>
        <v/>
      </c>
      <c r="CH185" s="39" t="str">
        <f t="shared" si="579"/>
        <v/>
      </c>
      <c r="CI185" s="39" t="str">
        <f t="shared" si="580"/>
        <v/>
      </c>
      <c r="CJ185" s="39" t="str">
        <f t="shared" si="486"/>
        <v/>
      </c>
      <c r="CK185" s="95" t="str">
        <f t="shared" si="581"/>
        <v/>
      </c>
      <c r="CP185" s="176"/>
      <c r="CQ185" s="99" t="str">
        <f t="shared" si="582"/>
        <v/>
      </c>
      <c r="CX185" s="196"/>
      <c r="CY185" s="89" t="e">
        <f t="shared" si="583"/>
        <v>#N/A</v>
      </c>
      <c r="CZ185" s="136" t="str">
        <f t="shared" si="584"/>
        <v/>
      </c>
      <c r="DA185" s="140" t="str">
        <f t="shared" si="585"/>
        <v/>
      </c>
      <c r="DB185" s="39" t="str">
        <f t="shared" si="586"/>
        <v/>
      </c>
      <c r="DC185" s="39" t="str">
        <f t="shared" si="587"/>
        <v/>
      </c>
      <c r="DD185" s="39" t="str">
        <f t="shared" si="588"/>
        <v/>
      </c>
      <c r="DE185" s="39" t="str">
        <f t="shared" si="589"/>
        <v/>
      </c>
      <c r="DF185" s="141" t="str">
        <f t="shared" si="590"/>
        <v/>
      </c>
      <c r="DG185" s="39" t="str">
        <f t="shared" si="591"/>
        <v/>
      </c>
      <c r="DH185" s="39" t="str">
        <f t="shared" si="592"/>
        <v/>
      </c>
      <c r="DI185" s="39" t="str">
        <f t="shared" si="593"/>
        <v/>
      </c>
      <c r="DJ185" s="74" t="str">
        <f t="shared" si="594"/>
        <v/>
      </c>
      <c r="DK185" s="45"/>
      <c r="DL185" s="84" t="e">
        <f t="shared" si="620"/>
        <v>#N/A</v>
      </c>
      <c r="DM185" s="39" t="e">
        <f t="shared" si="595"/>
        <v>#N/A</v>
      </c>
      <c r="DN185" s="74" t="e">
        <f t="shared" si="596"/>
        <v>#N/A</v>
      </c>
      <c r="DO185" s="45"/>
      <c r="DP185" s="89" t="str">
        <f t="shared" si="525"/>
        <v/>
      </c>
      <c r="DQ185" s="26" t="str">
        <f>IF(AND(Sufficient_data="Yes",Subgroup&lt;&gt;""),IF(COUNTIFS(Input!J$2:J184,"="&amp;"Yes",Input!C$2:C184,"="&amp;"Yes",Input!K$2:K184,"="&amp;Subgroup)&gt;0,"",Subgroup),"")</f>
        <v/>
      </c>
      <c r="DR185" s="7" t="str">
        <f t="shared" si="526"/>
        <v/>
      </c>
      <c r="DS185" s="7" t="str">
        <f t="shared" si="597"/>
        <v/>
      </c>
      <c r="DT185" s="19" t="str">
        <f t="shared" si="598"/>
        <v/>
      </c>
      <c r="DU185" s="12" t="str">
        <f t="shared" si="621"/>
        <v/>
      </c>
      <c r="DV185" s="11" t="str">
        <f t="shared" si="622"/>
        <v/>
      </c>
      <c r="DW185" s="12" t="str">
        <f t="shared" si="623"/>
        <v/>
      </c>
      <c r="DX185" s="12" t="str">
        <f t="shared" si="599"/>
        <v/>
      </c>
      <c r="DY185" s="19" t="str">
        <f t="shared" si="624"/>
        <v/>
      </c>
      <c r="DZ185" s="12" t="str">
        <f t="shared" si="625"/>
        <v/>
      </c>
      <c r="EA185" s="19" t="str">
        <f t="shared" si="600"/>
        <v/>
      </c>
      <c r="EB185" s="7" t="str">
        <f t="shared" si="601"/>
        <v/>
      </c>
      <c r="EC185" s="19" t="str">
        <f t="shared" si="602"/>
        <v/>
      </c>
      <c r="ED185" s="19" t="str">
        <f t="shared" si="603"/>
        <v/>
      </c>
      <c r="EE185" s="19" t="str">
        <f t="shared" si="626"/>
        <v/>
      </c>
      <c r="EF185" s="19" t="str">
        <f t="shared" si="627"/>
        <v/>
      </c>
      <c r="EG185" s="19" t="str">
        <f t="shared" si="628"/>
        <v/>
      </c>
      <c r="EH185" s="19" t="str">
        <f t="shared" si="629"/>
        <v/>
      </c>
      <c r="EI185" s="19" t="str">
        <f t="shared" si="630"/>
        <v/>
      </c>
      <c r="EJ185" s="19" t="str">
        <f t="shared" si="604"/>
        <v/>
      </c>
      <c r="EK185" s="19" t="str">
        <f t="shared" si="605"/>
        <v/>
      </c>
      <c r="EL185" s="19" t="str">
        <f t="shared" si="631"/>
        <v/>
      </c>
      <c r="EM185" s="19" t="str">
        <f t="shared" si="632"/>
        <v/>
      </c>
      <c r="EN185" s="19" t="str">
        <f t="shared" si="633"/>
        <v/>
      </c>
      <c r="EO185" s="19" t="str">
        <f t="shared" si="634"/>
        <v/>
      </c>
      <c r="EP185" s="19" t="str">
        <f t="shared" si="635"/>
        <v/>
      </c>
      <c r="EQ185" s="19" t="e">
        <f t="shared" si="636"/>
        <v>#N/A</v>
      </c>
      <c r="ER185" s="11" t="str">
        <f t="shared" si="527"/>
        <v/>
      </c>
      <c r="ES185" s="19" t="str">
        <f t="shared" si="528"/>
        <v/>
      </c>
      <c r="ET185" s="156" t="str">
        <f t="shared" si="606"/>
        <v/>
      </c>
      <c r="EU185" s="39" t="str">
        <f t="shared" si="637"/>
        <v/>
      </c>
      <c r="EV185" s="74" t="str">
        <f t="shared" si="607"/>
        <v/>
      </c>
      <c r="FA185" s="196"/>
      <c r="FB185" s="84" t="e">
        <f>IF(AND(Include_study?="Yes",Sufficient_data="Yes",Moderator&lt;&gt;""),'Moderator Analysis'!E185,NA())</f>
        <v>#N/A</v>
      </c>
      <c r="FC185" s="39" t="e">
        <f>IF(AND(Include_study?="Yes",Sufficient_data="Yes",Moderator&lt;&gt;""),'Moderator Analysis'!F185,NA())</f>
        <v>#N/A</v>
      </c>
      <c r="FD185" s="39" t="str">
        <f t="shared" si="608"/>
        <v/>
      </c>
      <c r="FE185" s="39" t="str">
        <f t="shared" si="609"/>
        <v/>
      </c>
      <c r="FF185" s="39" t="str">
        <f>IF(AND(Include_study?="Yes",Sufficient_data="Yes",Moderator&lt;&gt;""),'Moderator Analysis'!F:F-FP$2,"")</f>
        <v/>
      </c>
      <c r="FG185" s="39" t="str">
        <f>IF(AND(Include_study?="Yes",Sufficient_data="Yes",Moderator&lt;&gt;""),'Moderator Analysis'!E:E-FP$3,"")</f>
        <v/>
      </c>
      <c r="FH185" s="74" t="str">
        <f>IF(AND(Include_study?="Yes",Sufficient_data="Yes",Moderator&lt;&gt;""),FE:FE*('Moderator Analysis'!F:F-FP$5-FP$4*'Moderator Analysis'!E:E)^2,"")</f>
        <v/>
      </c>
      <c r="FI185" s="128"/>
      <c r="FJ185" s="92" t="str">
        <f t="shared" si="610"/>
        <v/>
      </c>
      <c r="FK185" s="137" t="str">
        <f>IF(AND(Include_study?="Yes",Sufficient_data="Yes",Moderator&lt;&gt;""),'Moderator Analysis'!F:F-'Moderator Analysis'!J$37,"")</f>
        <v/>
      </c>
      <c r="FL185" s="137" t="str">
        <f>IF(AND(Include_study?="Yes",Sufficient_data="Yes",Moderator&lt;&gt;""),'Moderator Analysis'!E:E-SUMPRODUCT('Moderator Analysis'!E:E,FJ:FJ)/SUM(FJ:FJ),"")</f>
        <v/>
      </c>
      <c r="FM185" s="95" t="str">
        <f>IF(AND(Include_study?="Yes",Sufficient_data="Yes",Moderator&lt;&gt;""),FJ:FJ*('Moderator Analysis'!F:F-'Moderator Analysis'!J$29-'Moderator Analysis'!J$30*'Moderator Analysis'!E:E)^2,"")</f>
        <v/>
      </c>
      <c r="FR185" s="196"/>
      <c r="FS185" s="182"/>
      <c r="FT18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5" s="39" t="str">
        <f>IF(AND(Include_study?="Yes",Sufficient_data="Yes"),1/('Publication Bias Analysis'!F:F^2+IF(Additional_model="Fixed effect",0,Calculations!GH$12)),"")</f>
        <v/>
      </c>
      <c r="FV185" s="39" t="str">
        <f>IF(AND(Include_study?="Yes",Sufficient_data="Yes"),1/('Publication Bias Analysis'!F:F^2+IF(Additional_model="Fixed effect",0,'Publication Bias Analysis'!L$32)),"")</f>
        <v/>
      </c>
      <c r="FW185" s="39" t="str">
        <f>IF(AND(Include_study?="Yes",Sufficient_data="Yes"),'Publication Bias Analysis'!E:E-'Publication Bias Analysis'!I$37,"")</f>
        <v/>
      </c>
      <c r="FX185" s="39" t="str">
        <f>IF(AND(Include_study?="Yes",Sufficient_data="Yes"),IF(Additional_model="Fixed effect",1/'Publication Bias Analysis'!F:F,1/SQRT('Publication Bias Analysis'!F:F^2+GH$12)),"")</f>
        <v/>
      </c>
      <c r="FY18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5" s="136" t="str">
        <f t="shared" si="611"/>
        <v/>
      </c>
      <c r="GA185" s="144" t="str">
        <f>IF(AND(Include_study?="Yes",Sufficient_data="Yes"),FZ:FZ+IF(GL:GL&lt;0,-1,1)*COUNTIF(FZ$2:FZ184,FZ:FZ),"")</f>
        <v/>
      </c>
      <c r="GB185" s="144" t="str">
        <f>IF(AND(Include_study?="Yes",Sufficient_data="Yes"),RANK(GP:GP,GP:GP,1)*IF(GO:GO&lt;0,-1,1)+IF(GO:GO&lt;0,-1,1)*COUNTIF(FZ$2:FZ184,FZ:FZ),"")</f>
        <v/>
      </c>
      <c r="GC185" s="144" t="str">
        <f>IF(AND(Include_study?="Yes",Sufficient_data="Yes"),RANK(GS:GS,GS:GS,1)*IF(GR:GR&lt;0,-1,1)+IF(GR:GR&lt;0,-1,1)*COUNTIF(FZ$2:FZ184,FZ:FZ),"")</f>
        <v/>
      </c>
      <c r="GD185" s="39" t="e">
        <f>IF(AND(Include_study?="Yes",Sufficient_data="Yes"),'Publication Bias Analysis'!E185,NA())</f>
        <v>#N/A</v>
      </c>
      <c r="GE185" s="74" t="e">
        <f>IF(AND(Include_study?="Yes",Sufficient_data="Yes"),'Publication Bias Analysis'!F185,NA())</f>
        <v>#N/A</v>
      </c>
      <c r="GK185" s="176"/>
      <c r="GL18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5" s="39" t="str">
        <f t="shared" si="612"/>
        <v/>
      </c>
      <c r="GN18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5" s="39" t="str">
        <f>IF(AND(Include_study?="Yes",Sufficient_data="Yes"),IF('Publication Bias Analysis'!L$38="Left",'Publication Bias Analysis'!E:E-GW$3,GW$3-'Publication Bias Analysis'!E:E),"")</f>
        <v/>
      </c>
      <c r="GP185" s="39" t="str">
        <f t="shared" si="529"/>
        <v/>
      </c>
      <c r="GQ18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5" s="39" t="str">
        <f>IF(AND(Include_study?="Yes",Sufficient_data="Yes"),IF('Publication Bias Analysis'!L$38="Left",'Publication Bias Analysis'!E:E-GW$10,GW$10-'Publication Bias Analysis'!E:E),"")</f>
        <v/>
      </c>
      <c r="GS185" s="39" t="str">
        <f t="shared" si="530"/>
        <v/>
      </c>
      <c r="GT18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5" s="176"/>
      <c r="HL185" s="69" t="str">
        <f t="shared" si="518"/>
        <v/>
      </c>
      <c r="HM185" s="74" t="str">
        <f>IF(AND(Include_study?="Yes",Sufficient_data="Yes"),Z_score-('Publication Bias Analysis'!P$3+'Publication Bias Analysis'!P$4*Inverse_standard_error),"")</f>
        <v/>
      </c>
      <c r="HO185" s="176"/>
      <c r="HP185" s="69" t="str">
        <f>IF(AND(Include_study?="Yes",Sufficient_data="Yes"),(GD:GD-SUMPRODUCT(Calculations!FT:FT,'Publication Bias Analysis'!E:E)/SUM(Calculations!FT:FT))/SQRT(Calculations!HQ:HQ),"")</f>
        <v/>
      </c>
      <c r="HQ185" s="69" t="str">
        <f>IF(AND(Include_study?="Yes",Sufficient_data="Yes"),GE:GE^2-1/SUM(Calculations!FT:FT),"")</f>
        <v/>
      </c>
      <c r="HR185" s="7" t="str">
        <f t="shared" si="638"/>
        <v/>
      </c>
      <c r="HS185" s="7" t="str">
        <f t="shared" si="639"/>
        <v/>
      </c>
      <c r="HT185" s="7" t="str">
        <f>IF(AND(Include_study?="Yes",Sufficient_data="Yes"),COUNTIFS(HR$2:HR184,"&lt;"&amp;HR185,HS$2:HS184,"&lt;"&amp;HS185)+COUNTIFS(HR186:HR$201,"&lt;"&amp;HR185,HS186:HS$201,"&lt;"&amp;HS185)+COUNTIFS(HR$2:HR184,"&gt;"&amp;HR185,HS$2:HS184,"&gt;"&amp;HS185)+COUNTIFS(HR186:HR$201,"&gt;"&amp;HR185,HS186:HS$201,"&gt;"&amp;HS185),"")</f>
        <v/>
      </c>
      <c r="HU185" s="104" t="str">
        <f>IF(AND(Include_study?="Yes",Sufficient_data="Yes"),COUNTIFS(HR$2:HR184,"&lt;"&amp;HR185,HS$2:HS184,"&gt;"&amp;HS185)+COUNTIFS(HR186:HR$201,"&lt;"&amp;HR185,HS186:HS$201,"&gt;"&amp;HS185)+COUNTIFS(HR$2:HR184,"&gt;"&amp;HR185,HS$2:HS184,"&lt;"&amp;HS185)+COUNTIFS(HR186:HR$201,"&gt;"&amp;HR185,HS186:HS$201,"&lt;"&amp;HS185),"")</f>
        <v/>
      </c>
      <c r="HW185" s="176"/>
      <c r="IB185" s="176"/>
      <c r="IC185" s="146" t="e">
        <f t="shared" si="613"/>
        <v>#N/A</v>
      </c>
      <c r="ID185" s="137" t="e">
        <f t="shared" si="614"/>
        <v>#N/A</v>
      </c>
      <c r="IE185" s="137" t="str">
        <f t="shared" si="615"/>
        <v/>
      </c>
      <c r="IF185" s="95" t="str">
        <f t="shared" si="616"/>
        <v/>
      </c>
      <c r="IK185" s="176"/>
      <c r="IL185" s="69" t="e">
        <f>IF(AND(Include_study?="Yes",Sufficient_data="Yes"),'Publication Bias Analysis'!AV:AV,NA())</f>
        <v>#N/A</v>
      </c>
      <c r="IM185" s="158" t="e">
        <f>IF(AND(Sufficient_data="Yes",Include_study?="Yes"),'Publication Bias Analysis'!AU:AU,NA())</f>
        <v>#N/A</v>
      </c>
      <c r="IN185" s="69" t="str">
        <f t="shared" si="617"/>
        <v/>
      </c>
      <c r="IO185" s="74" t="str">
        <f>IF(AND(Include_study?="Yes",Sufficient_data="Yes"),Z_score-('Publication Bias Analysis'!AY$30+'Publication Bias Analysis'!AY$31*Inverse_standard_error),"")</f>
        <v/>
      </c>
      <c r="IU185" s="176"/>
      <c r="IV185" s="7" t="str">
        <f>IF('Publication Bias Analysis'!BG:BG&lt;&gt;"",RANK('Publication Bias Analysis'!BG:BG,'Publication Bias Analysis'!BG:BG,1)+COUNTIF('Publication Bias Analysis'!BG$2:BG184,'Publication Bias Analysis'!BG185),"")</f>
        <v/>
      </c>
      <c r="IW185" s="124" t="str">
        <f t="shared" si="618"/>
        <v/>
      </c>
      <c r="IX185" s="125" t="e">
        <f>IF('Publication Bias Analysis'!BF185&lt;&gt;"",'Publication Bias Analysis'!BF185,NA())</f>
        <v>#N/A</v>
      </c>
      <c r="IY185" s="125" t="e">
        <f>IF('Publication Bias Analysis'!BG185&lt;&gt;"",'Publication Bias Analysis'!BG185,NA())</f>
        <v>#N/A</v>
      </c>
      <c r="IZ185" s="69" t="str">
        <f>IF(AND(Include_study?="Yes",Sufficient_data="Yes"),'Publication Bias Analysis'!BF:BF-AVERAGE('Publication Bias Analysis'!BF:BF),"")</f>
        <v/>
      </c>
      <c r="JA185" s="74" t="str">
        <f>IF(AND(Include_study?="Yes",Sufficient_data="Yes"),'Publication Bias Analysis'!BG:BG-('Publication Bias Analysis'!BJ$30+'Publication Bias Analysis'!BJ$31*'Publication Bias Analysis'!BF:BF),"")</f>
        <v/>
      </c>
      <c r="JG185" s="176"/>
      <c r="JH185" s="39" t="str">
        <f t="shared" si="619"/>
        <v/>
      </c>
      <c r="JI185" s="148" t="str">
        <f t="shared" si="531"/>
        <v/>
      </c>
      <c r="JJ185" s="74" t="str">
        <f t="shared" si="532"/>
        <v/>
      </c>
    </row>
    <row r="186" spans="1:270" x14ac:dyDescent="0.2">
      <c r="A186" s="56" t="str">
        <f t="shared" si="533"/>
        <v/>
      </c>
      <c r="B186" s="7" t="str">
        <f>IF(AND(Include_study?="Yes",Sufficient_data="Yes"),IF(Input!a_&lt;&gt;"",Input!a_,Input!n1_-Input!b_),"")</f>
        <v/>
      </c>
      <c r="C186" s="7" t="str">
        <f>IF(AND(Include_study?="Yes",Sufficient_data="Yes"),IF(Input!b_&lt;&gt;"",Input!b_,Input!n1_-Input!a_),"")</f>
        <v/>
      </c>
      <c r="D186" s="7" t="str">
        <f>IF(AND(Include_study?="Yes",Sufficient_data="Yes"),IF(Input!c_&lt;&gt;"",Input!c_,Input!n2_-Input!d_),"")</f>
        <v/>
      </c>
      <c r="E186" s="7" t="str">
        <f>IF(AND(Include_study?="Yes",Sufficient_data="Yes"),IF(Input!d_&lt;&gt;"",Input!d_,Input!n2_-Input!c_),"")</f>
        <v/>
      </c>
      <c r="F186" s="74" t="str">
        <f t="shared" si="534"/>
        <v/>
      </c>
      <c r="H186" s="196"/>
      <c r="I186" s="182"/>
      <c r="J186" s="146" t="str">
        <f t="shared" si="444"/>
        <v/>
      </c>
      <c r="K186" s="39" t="str">
        <f t="shared" si="535"/>
        <v/>
      </c>
      <c r="L186" s="39" t="str">
        <f t="shared" si="536"/>
        <v/>
      </c>
      <c r="M186" s="39" t="str">
        <f t="shared" si="537"/>
        <v/>
      </c>
      <c r="N186" s="74" t="str">
        <f t="shared" si="538"/>
        <v/>
      </c>
      <c r="P186" s="176"/>
      <c r="Q186" s="130" t="str">
        <f t="shared" si="539"/>
        <v/>
      </c>
      <c r="R186" s="39" t="str">
        <f t="shared" si="540"/>
        <v/>
      </c>
      <c r="S186" s="39" t="str">
        <f t="shared" si="541"/>
        <v/>
      </c>
      <c r="T186" s="74" t="str">
        <f t="shared" si="542"/>
        <v/>
      </c>
      <c r="V186" s="176"/>
      <c r="W186" s="130" t="str">
        <f t="shared" si="543"/>
        <v/>
      </c>
      <c r="X186" s="39" t="str">
        <f t="shared" si="544"/>
        <v/>
      </c>
      <c r="Y186" s="39" t="str">
        <f t="shared" si="545"/>
        <v/>
      </c>
      <c r="Z186" s="74" t="str">
        <f t="shared" si="546"/>
        <v/>
      </c>
      <c r="AB186" s="176"/>
      <c r="AC186" s="130" t="str">
        <f t="shared" si="547"/>
        <v/>
      </c>
      <c r="AD186" s="39" t="str">
        <f t="shared" si="548"/>
        <v/>
      </c>
      <c r="AE186" s="39" t="str">
        <f t="shared" si="549"/>
        <v/>
      </c>
      <c r="AF186" s="39" t="str">
        <f t="shared" si="550"/>
        <v/>
      </c>
      <c r="AG186" s="74" t="str">
        <f t="shared" si="551"/>
        <v/>
      </c>
      <c r="AI186" s="196"/>
      <c r="AJ18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6" s="136" t="str">
        <f>IF(AJ186&lt;&gt;"",IF(AJ186=0,COUNTIF(AJ$2:AJ185,0)+1,COUNTIF(AJ$2:AJ185,AJ186)+AJ186+COUNTIF(AJ:AJ,0)),"")</f>
        <v/>
      </c>
      <c r="AL186" s="136" t="str">
        <f t="shared" si="462"/>
        <v/>
      </c>
      <c r="AM186" s="155" t="str">
        <f>IF(AND(Include_study?="Yes",Sufficient_data="Yes",Input!Study_name&lt;&gt;""),Input!Study_name,"")</f>
        <v/>
      </c>
      <c r="AN186" s="136" t="str">
        <f t="shared" si="463"/>
        <v/>
      </c>
      <c r="AO186" s="19" t="str">
        <f t="shared" si="552"/>
        <v/>
      </c>
      <c r="AP186" s="158" t="str">
        <f t="shared" si="553"/>
        <v/>
      </c>
      <c r="AQ186" s="158" t="str">
        <f t="shared" si="554"/>
        <v/>
      </c>
      <c r="AR186" s="39" t="str">
        <f t="shared" si="555"/>
        <v/>
      </c>
      <c r="AS186" s="158" t="str">
        <f t="shared" si="556"/>
        <v/>
      </c>
      <c r="AT186" s="39" t="str">
        <f t="shared" si="557"/>
        <v/>
      </c>
      <c r="AU186" s="172" t="str">
        <f t="shared" si="558"/>
        <v/>
      </c>
      <c r="AV186" s="45"/>
      <c r="AW186" s="84" t="e">
        <f t="shared" si="559"/>
        <v>#N/A</v>
      </c>
      <c r="AX186" s="69" t="e">
        <f t="shared" si="560"/>
        <v>#N/A</v>
      </c>
      <c r="AY186" s="74" t="e">
        <f t="shared" si="561"/>
        <v>#N/A</v>
      </c>
      <c r="AZ186" s="45"/>
      <c r="BA186" s="45"/>
      <c r="BB186" s="45"/>
      <c r="BC186" s="45"/>
      <c r="BD186" s="196"/>
      <c r="BE186" s="182"/>
      <c r="BF186" s="69" t="str">
        <f t="shared" si="562"/>
        <v/>
      </c>
      <c r="BG186" s="69" t="str">
        <f t="shared" si="563"/>
        <v/>
      </c>
      <c r="BH186" s="69" t="str">
        <f t="shared" si="564"/>
        <v/>
      </c>
      <c r="BI186" s="39" t="str">
        <f t="shared" si="565"/>
        <v/>
      </c>
      <c r="BJ186" s="95" t="str">
        <f t="shared" si="566"/>
        <v/>
      </c>
      <c r="BO186" s="176"/>
      <c r="BP186" s="158" t="str">
        <f t="shared" si="567"/>
        <v/>
      </c>
      <c r="BQ186" s="158" t="str">
        <f t="shared" si="568"/>
        <v/>
      </c>
      <c r="BR186" s="158" t="str">
        <f t="shared" si="569"/>
        <v/>
      </c>
      <c r="BS186" s="158" t="str">
        <f>IF(AND(Sufficient_data="Yes",Include_study?="Yes"),IF(Add_0_5="Yes",(a_+d_+1)*(ab_+0.5)*(c_+0.5)/(Number_of_subjects+2)^2,(a_+d_)*b_*c_/Number_of_subjects^2),"")</f>
        <v/>
      </c>
      <c r="BT186" s="158" t="str">
        <f t="shared" si="570"/>
        <v/>
      </c>
      <c r="BU186" s="158" t="str">
        <f t="shared" si="571"/>
        <v/>
      </c>
      <c r="BV186" s="158" t="str">
        <f t="shared" si="572"/>
        <v/>
      </c>
      <c r="BW186" s="69" t="str">
        <f t="shared" si="573"/>
        <v/>
      </c>
      <c r="BX186" s="137" t="str">
        <f t="shared" si="574"/>
        <v/>
      </c>
      <c r="BY186" s="95" t="str">
        <f t="shared" si="575"/>
        <v/>
      </c>
      <c r="CD186" s="176"/>
      <c r="CE186" s="130" t="str">
        <f t="shared" si="576"/>
        <v/>
      </c>
      <c r="CF186" s="39" t="str">
        <f t="shared" si="577"/>
        <v/>
      </c>
      <c r="CG186" s="39" t="str">
        <f t="shared" si="578"/>
        <v/>
      </c>
      <c r="CH186" s="39" t="str">
        <f t="shared" si="579"/>
        <v/>
      </c>
      <c r="CI186" s="39" t="str">
        <f t="shared" si="580"/>
        <v/>
      </c>
      <c r="CJ186" s="39" t="str">
        <f t="shared" si="486"/>
        <v/>
      </c>
      <c r="CK186" s="95" t="str">
        <f t="shared" si="581"/>
        <v/>
      </c>
      <c r="CP186" s="176"/>
      <c r="CQ186" s="99" t="str">
        <f t="shared" si="582"/>
        <v/>
      </c>
      <c r="CX186" s="196"/>
      <c r="CY186" s="89" t="e">
        <f t="shared" si="583"/>
        <v>#N/A</v>
      </c>
      <c r="CZ186" s="136" t="str">
        <f t="shared" si="584"/>
        <v/>
      </c>
      <c r="DA186" s="140" t="str">
        <f t="shared" si="585"/>
        <v/>
      </c>
      <c r="DB186" s="39" t="str">
        <f t="shared" si="586"/>
        <v/>
      </c>
      <c r="DC186" s="39" t="str">
        <f t="shared" si="587"/>
        <v/>
      </c>
      <c r="DD186" s="39" t="str">
        <f t="shared" si="588"/>
        <v/>
      </c>
      <c r="DE186" s="39" t="str">
        <f t="shared" si="589"/>
        <v/>
      </c>
      <c r="DF186" s="141" t="str">
        <f t="shared" si="590"/>
        <v/>
      </c>
      <c r="DG186" s="39" t="str">
        <f t="shared" si="591"/>
        <v/>
      </c>
      <c r="DH186" s="39" t="str">
        <f t="shared" si="592"/>
        <v/>
      </c>
      <c r="DI186" s="39" t="str">
        <f t="shared" si="593"/>
        <v/>
      </c>
      <c r="DJ186" s="74" t="str">
        <f t="shared" si="594"/>
        <v/>
      </c>
      <c r="DK186" s="45"/>
      <c r="DL186" s="84" t="e">
        <f t="shared" si="620"/>
        <v>#N/A</v>
      </c>
      <c r="DM186" s="39" t="e">
        <f t="shared" si="595"/>
        <v>#N/A</v>
      </c>
      <c r="DN186" s="74" t="e">
        <f t="shared" si="596"/>
        <v>#N/A</v>
      </c>
      <c r="DO186" s="45"/>
      <c r="DP186" s="89" t="str">
        <f t="shared" si="525"/>
        <v/>
      </c>
      <c r="DQ186" s="26" t="str">
        <f>IF(AND(Sufficient_data="Yes",Subgroup&lt;&gt;""),IF(COUNTIFS(Input!J$2:J185,"="&amp;"Yes",Input!C$2:C185,"="&amp;"Yes",Input!K$2:K185,"="&amp;Subgroup)&gt;0,"",Subgroup),"")</f>
        <v/>
      </c>
      <c r="DR186" s="7" t="str">
        <f t="shared" si="526"/>
        <v/>
      </c>
      <c r="DS186" s="7" t="str">
        <f t="shared" si="597"/>
        <v/>
      </c>
      <c r="DT186" s="19" t="str">
        <f t="shared" si="598"/>
        <v/>
      </c>
      <c r="DU186" s="12" t="str">
        <f t="shared" si="621"/>
        <v/>
      </c>
      <c r="DV186" s="11" t="str">
        <f t="shared" si="622"/>
        <v/>
      </c>
      <c r="DW186" s="12" t="str">
        <f t="shared" si="623"/>
        <v/>
      </c>
      <c r="DX186" s="12" t="str">
        <f t="shared" si="599"/>
        <v/>
      </c>
      <c r="DY186" s="19" t="str">
        <f t="shared" si="624"/>
        <v/>
      </c>
      <c r="DZ186" s="12" t="str">
        <f t="shared" si="625"/>
        <v/>
      </c>
      <c r="EA186" s="19" t="str">
        <f t="shared" si="600"/>
        <v/>
      </c>
      <c r="EB186" s="7" t="str">
        <f t="shared" si="601"/>
        <v/>
      </c>
      <c r="EC186" s="19" t="str">
        <f t="shared" si="602"/>
        <v/>
      </c>
      <c r="ED186" s="19" t="str">
        <f t="shared" si="603"/>
        <v/>
      </c>
      <c r="EE186" s="19" t="str">
        <f t="shared" si="626"/>
        <v/>
      </c>
      <c r="EF186" s="19" t="str">
        <f t="shared" si="627"/>
        <v/>
      </c>
      <c r="EG186" s="19" t="str">
        <f t="shared" si="628"/>
        <v/>
      </c>
      <c r="EH186" s="19" t="str">
        <f t="shared" si="629"/>
        <v/>
      </c>
      <c r="EI186" s="19" t="str">
        <f t="shared" si="630"/>
        <v/>
      </c>
      <c r="EJ186" s="19" t="str">
        <f t="shared" si="604"/>
        <v/>
      </c>
      <c r="EK186" s="19" t="str">
        <f t="shared" si="605"/>
        <v/>
      </c>
      <c r="EL186" s="19" t="str">
        <f t="shared" si="631"/>
        <v/>
      </c>
      <c r="EM186" s="19" t="str">
        <f t="shared" si="632"/>
        <v/>
      </c>
      <c r="EN186" s="19" t="str">
        <f t="shared" si="633"/>
        <v/>
      </c>
      <c r="EO186" s="19" t="str">
        <f t="shared" si="634"/>
        <v/>
      </c>
      <c r="EP186" s="19" t="str">
        <f t="shared" si="635"/>
        <v/>
      </c>
      <c r="EQ186" s="19" t="e">
        <f t="shared" si="636"/>
        <v>#N/A</v>
      </c>
      <c r="ER186" s="11" t="str">
        <f t="shared" si="527"/>
        <v/>
      </c>
      <c r="ES186" s="19" t="str">
        <f t="shared" si="528"/>
        <v/>
      </c>
      <c r="ET186" s="156" t="str">
        <f t="shared" si="606"/>
        <v/>
      </c>
      <c r="EU186" s="39" t="str">
        <f t="shared" si="637"/>
        <v/>
      </c>
      <c r="EV186" s="74" t="str">
        <f t="shared" si="607"/>
        <v/>
      </c>
      <c r="FA186" s="196"/>
      <c r="FB186" s="84" t="e">
        <f>IF(AND(Include_study?="Yes",Sufficient_data="Yes",Moderator&lt;&gt;""),'Moderator Analysis'!E186,NA())</f>
        <v>#N/A</v>
      </c>
      <c r="FC186" s="39" t="e">
        <f>IF(AND(Include_study?="Yes",Sufficient_data="Yes",Moderator&lt;&gt;""),'Moderator Analysis'!F186,NA())</f>
        <v>#N/A</v>
      </c>
      <c r="FD186" s="39" t="str">
        <f t="shared" si="608"/>
        <v/>
      </c>
      <c r="FE186" s="39" t="str">
        <f t="shared" si="609"/>
        <v/>
      </c>
      <c r="FF186" s="39" t="str">
        <f>IF(AND(Include_study?="Yes",Sufficient_data="Yes",Moderator&lt;&gt;""),'Moderator Analysis'!F:F-FP$2,"")</f>
        <v/>
      </c>
      <c r="FG186" s="39" t="str">
        <f>IF(AND(Include_study?="Yes",Sufficient_data="Yes",Moderator&lt;&gt;""),'Moderator Analysis'!E:E-FP$3,"")</f>
        <v/>
      </c>
      <c r="FH186" s="74" t="str">
        <f>IF(AND(Include_study?="Yes",Sufficient_data="Yes",Moderator&lt;&gt;""),FE:FE*('Moderator Analysis'!F:F-FP$5-FP$4*'Moderator Analysis'!E:E)^2,"")</f>
        <v/>
      </c>
      <c r="FI186" s="128"/>
      <c r="FJ186" s="92" t="str">
        <f t="shared" si="610"/>
        <v/>
      </c>
      <c r="FK186" s="137" t="str">
        <f>IF(AND(Include_study?="Yes",Sufficient_data="Yes",Moderator&lt;&gt;""),'Moderator Analysis'!F:F-'Moderator Analysis'!J$37,"")</f>
        <v/>
      </c>
      <c r="FL186" s="137" t="str">
        <f>IF(AND(Include_study?="Yes",Sufficient_data="Yes",Moderator&lt;&gt;""),'Moderator Analysis'!E:E-SUMPRODUCT('Moderator Analysis'!E:E,FJ:FJ)/SUM(FJ:FJ),"")</f>
        <v/>
      </c>
      <c r="FM186" s="95" t="str">
        <f>IF(AND(Include_study?="Yes",Sufficient_data="Yes",Moderator&lt;&gt;""),FJ:FJ*('Moderator Analysis'!F:F-'Moderator Analysis'!J$29-'Moderator Analysis'!J$30*'Moderator Analysis'!E:E)^2,"")</f>
        <v/>
      </c>
      <c r="FR186" s="196"/>
      <c r="FS186" s="182"/>
      <c r="FT18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6" s="39" t="str">
        <f>IF(AND(Include_study?="Yes",Sufficient_data="Yes"),1/('Publication Bias Analysis'!F:F^2+IF(Additional_model="Fixed effect",0,Calculations!GH$12)),"")</f>
        <v/>
      </c>
      <c r="FV186" s="39" t="str">
        <f>IF(AND(Include_study?="Yes",Sufficient_data="Yes"),1/('Publication Bias Analysis'!F:F^2+IF(Additional_model="Fixed effect",0,'Publication Bias Analysis'!L$32)),"")</f>
        <v/>
      </c>
      <c r="FW186" s="39" t="str">
        <f>IF(AND(Include_study?="Yes",Sufficient_data="Yes"),'Publication Bias Analysis'!E:E-'Publication Bias Analysis'!I$37,"")</f>
        <v/>
      </c>
      <c r="FX186" s="39" t="str">
        <f>IF(AND(Include_study?="Yes",Sufficient_data="Yes"),IF(Additional_model="Fixed effect",1/'Publication Bias Analysis'!F:F,1/SQRT('Publication Bias Analysis'!F:F^2+GH$12)),"")</f>
        <v/>
      </c>
      <c r="FY18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6" s="136" t="str">
        <f t="shared" si="611"/>
        <v/>
      </c>
      <c r="GA186" s="144" t="str">
        <f>IF(AND(Include_study?="Yes",Sufficient_data="Yes"),FZ:FZ+IF(GL:GL&lt;0,-1,1)*COUNTIF(FZ$2:FZ185,FZ:FZ),"")</f>
        <v/>
      </c>
      <c r="GB186" s="144" t="str">
        <f>IF(AND(Include_study?="Yes",Sufficient_data="Yes"),RANK(GP:GP,GP:GP,1)*IF(GO:GO&lt;0,-1,1)+IF(GO:GO&lt;0,-1,1)*COUNTIF(FZ$2:FZ185,FZ:FZ),"")</f>
        <v/>
      </c>
      <c r="GC186" s="144" t="str">
        <f>IF(AND(Include_study?="Yes",Sufficient_data="Yes"),RANK(GS:GS,GS:GS,1)*IF(GR:GR&lt;0,-1,1)+IF(GR:GR&lt;0,-1,1)*COUNTIF(FZ$2:FZ185,FZ:FZ),"")</f>
        <v/>
      </c>
      <c r="GD186" s="39" t="e">
        <f>IF(AND(Include_study?="Yes",Sufficient_data="Yes"),'Publication Bias Analysis'!E186,NA())</f>
        <v>#N/A</v>
      </c>
      <c r="GE186" s="74" t="e">
        <f>IF(AND(Include_study?="Yes",Sufficient_data="Yes"),'Publication Bias Analysis'!F186,NA())</f>
        <v>#N/A</v>
      </c>
      <c r="GK186" s="176"/>
      <c r="GL18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6" s="39" t="str">
        <f t="shared" si="612"/>
        <v/>
      </c>
      <c r="GN18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6" s="39" t="str">
        <f>IF(AND(Include_study?="Yes",Sufficient_data="Yes"),IF('Publication Bias Analysis'!L$38="Left",'Publication Bias Analysis'!E:E-GW$3,GW$3-'Publication Bias Analysis'!E:E),"")</f>
        <v/>
      </c>
      <c r="GP186" s="39" t="str">
        <f t="shared" si="529"/>
        <v/>
      </c>
      <c r="GQ18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6" s="39" t="str">
        <f>IF(AND(Include_study?="Yes",Sufficient_data="Yes"),IF('Publication Bias Analysis'!L$38="Left",'Publication Bias Analysis'!E:E-GW$10,GW$10-'Publication Bias Analysis'!E:E),"")</f>
        <v/>
      </c>
      <c r="GS186" s="39" t="str">
        <f t="shared" si="530"/>
        <v/>
      </c>
      <c r="GT18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6" s="176"/>
      <c r="HL186" s="69" t="str">
        <f t="shared" si="518"/>
        <v/>
      </c>
      <c r="HM186" s="74" t="str">
        <f>IF(AND(Include_study?="Yes",Sufficient_data="Yes"),Z_score-('Publication Bias Analysis'!P$3+'Publication Bias Analysis'!P$4*Inverse_standard_error),"")</f>
        <v/>
      </c>
      <c r="HO186" s="176"/>
      <c r="HP186" s="69" t="str">
        <f>IF(AND(Include_study?="Yes",Sufficient_data="Yes"),(GD:GD-SUMPRODUCT(Calculations!FT:FT,'Publication Bias Analysis'!E:E)/SUM(Calculations!FT:FT))/SQRT(Calculations!HQ:HQ),"")</f>
        <v/>
      </c>
      <c r="HQ186" s="69" t="str">
        <f>IF(AND(Include_study?="Yes",Sufficient_data="Yes"),GE:GE^2-1/SUM(Calculations!FT:FT),"")</f>
        <v/>
      </c>
      <c r="HR186" s="7" t="str">
        <f t="shared" si="638"/>
        <v/>
      </c>
      <c r="HS186" s="7" t="str">
        <f t="shared" si="639"/>
        <v/>
      </c>
      <c r="HT186" s="7" t="str">
        <f>IF(AND(Include_study?="Yes",Sufficient_data="Yes"),COUNTIFS(HR$2:HR185,"&lt;"&amp;HR186,HS$2:HS185,"&lt;"&amp;HS186)+COUNTIFS(HR187:HR$201,"&lt;"&amp;HR186,HS187:HS$201,"&lt;"&amp;HS186)+COUNTIFS(HR$2:HR185,"&gt;"&amp;HR186,HS$2:HS185,"&gt;"&amp;HS186)+COUNTIFS(HR187:HR$201,"&gt;"&amp;HR186,HS187:HS$201,"&gt;"&amp;HS186),"")</f>
        <v/>
      </c>
      <c r="HU186" s="104" t="str">
        <f>IF(AND(Include_study?="Yes",Sufficient_data="Yes"),COUNTIFS(HR$2:HR185,"&lt;"&amp;HR186,HS$2:HS185,"&gt;"&amp;HS186)+COUNTIFS(HR187:HR$201,"&lt;"&amp;HR186,HS187:HS$201,"&gt;"&amp;HS186)+COUNTIFS(HR$2:HR185,"&gt;"&amp;HR186,HS$2:HS185,"&lt;"&amp;HS186)+COUNTIFS(HR187:HR$201,"&gt;"&amp;HR186,HS187:HS$201,"&lt;"&amp;HS186),"")</f>
        <v/>
      </c>
      <c r="HW186" s="176"/>
      <c r="IB186" s="176"/>
      <c r="IC186" s="146" t="e">
        <f t="shared" si="613"/>
        <v>#N/A</v>
      </c>
      <c r="ID186" s="137" t="e">
        <f t="shared" si="614"/>
        <v>#N/A</v>
      </c>
      <c r="IE186" s="137" t="str">
        <f t="shared" si="615"/>
        <v/>
      </c>
      <c r="IF186" s="95" t="str">
        <f t="shared" si="616"/>
        <v/>
      </c>
      <c r="IK186" s="176"/>
      <c r="IL186" s="69" t="e">
        <f>IF(AND(Include_study?="Yes",Sufficient_data="Yes"),'Publication Bias Analysis'!AV:AV,NA())</f>
        <v>#N/A</v>
      </c>
      <c r="IM186" s="158" t="e">
        <f>IF(AND(Sufficient_data="Yes",Include_study?="Yes"),'Publication Bias Analysis'!AU:AU,NA())</f>
        <v>#N/A</v>
      </c>
      <c r="IN186" s="69" t="str">
        <f t="shared" si="617"/>
        <v/>
      </c>
      <c r="IO186" s="74" t="str">
        <f>IF(AND(Include_study?="Yes",Sufficient_data="Yes"),Z_score-('Publication Bias Analysis'!AY$30+'Publication Bias Analysis'!AY$31*Inverse_standard_error),"")</f>
        <v/>
      </c>
      <c r="IU186" s="176"/>
      <c r="IV186" s="7" t="str">
        <f>IF('Publication Bias Analysis'!BG:BG&lt;&gt;"",RANK('Publication Bias Analysis'!BG:BG,'Publication Bias Analysis'!BG:BG,1)+COUNTIF('Publication Bias Analysis'!BG$2:BG185,'Publication Bias Analysis'!BG186),"")</f>
        <v/>
      </c>
      <c r="IW186" s="124" t="str">
        <f t="shared" si="618"/>
        <v/>
      </c>
      <c r="IX186" s="125" t="e">
        <f>IF('Publication Bias Analysis'!BF186&lt;&gt;"",'Publication Bias Analysis'!BF186,NA())</f>
        <v>#N/A</v>
      </c>
      <c r="IY186" s="125" t="e">
        <f>IF('Publication Bias Analysis'!BG186&lt;&gt;"",'Publication Bias Analysis'!BG186,NA())</f>
        <v>#N/A</v>
      </c>
      <c r="IZ186" s="69" t="str">
        <f>IF(AND(Include_study?="Yes",Sufficient_data="Yes"),'Publication Bias Analysis'!BF:BF-AVERAGE('Publication Bias Analysis'!BF:BF),"")</f>
        <v/>
      </c>
      <c r="JA186" s="74" t="str">
        <f>IF(AND(Include_study?="Yes",Sufficient_data="Yes"),'Publication Bias Analysis'!BG:BG-('Publication Bias Analysis'!BJ$30+'Publication Bias Analysis'!BJ$31*'Publication Bias Analysis'!BF:BF),"")</f>
        <v/>
      </c>
      <c r="JG186" s="176"/>
      <c r="JH186" s="39" t="str">
        <f t="shared" si="619"/>
        <v/>
      </c>
      <c r="JI186" s="148" t="str">
        <f t="shared" si="531"/>
        <v/>
      </c>
      <c r="JJ186" s="74" t="str">
        <f t="shared" si="532"/>
        <v/>
      </c>
    </row>
    <row r="187" spans="1:270" x14ac:dyDescent="0.2">
      <c r="A187" s="56" t="str">
        <f t="shared" si="533"/>
        <v/>
      </c>
      <c r="B187" s="7" t="str">
        <f>IF(AND(Include_study?="Yes",Sufficient_data="Yes"),IF(Input!a_&lt;&gt;"",Input!a_,Input!n1_-Input!b_),"")</f>
        <v/>
      </c>
      <c r="C187" s="7" t="str">
        <f>IF(AND(Include_study?="Yes",Sufficient_data="Yes"),IF(Input!b_&lt;&gt;"",Input!b_,Input!n1_-Input!a_),"")</f>
        <v/>
      </c>
      <c r="D187" s="7" t="str">
        <f>IF(AND(Include_study?="Yes",Sufficient_data="Yes"),IF(Input!c_&lt;&gt;"",Input!c_,Input!n2_-Input!d_),"")</f>
        <v/>
      </c>
      <c r="E187" s="7" t="str">
        <f>IF(AND(Include_study?="Yes",Sufficient_data="Yes"),IF(Input!d_&lt;&gt;"",Input!d_,Input!n2_-Input!c_),"")</f>
        <v/>
      </c>
      <c r="F187" s="74" t="str">
        <f t="shared" si="534"/>
        <v/>
      </c>
      <c r="H187" s="196"/>
      <c r="I187" s="182"/>
      <c r="J187" s="146" t="str">
        <f t="shared" si="444"/>
        <v/>
      </c>
      <c r="K187" s="39" t="str">
        <f t="shared" si="535"/>
        <v/>
      </c>
      <c r="L187" s="39" t="str">
        <f t="shared" si="536"/>
        <v/>
      </c>
      <c r="M187" s="39" t="str">
        <f t="shared" si="537"/>
        <v/>
      </c>
      <c r="N187" s="74" t="str">
        <f t="shared" si="538"/>
        <v/>
      </c>
      <c r="P187" s="176"/>
      <c r="Q187" s="130" t="str">
        <f t="shared" si="539"/>
        <v/>
      </c>
      <c r="R187" s="39" t="str">
        <f t="shared" si="540"/>
        <v/>
      </c>
      <c r="S187" s="39" t="str">
        <f t="shared" si="541"/>
        <v/>
      </c>
      <c r="T187" s="74" t="str">
        <f t="shared" si="542"/>
        <v/>
      </c>
      <c r="V187" s="176"/>
      <c r="W187" s="130" t="str">
        <f t="shared" si="543"/>
        <v/>
      </c>
      <c r="X187" s="39" t="str">
        <f t="shared" si="544"/>
        <v/>
      </c>
      <c r="Y187" s="39" t="str">
        <f t="shared" si="545"/>
        <v/>
      </c>
      <c r="Z187" s="74" t="str">
        <f t="shared" si="546"/>
        <v/>
      </c>
      <c r="AB187" s="176"/>
      <c r="AC187" s="130" t="str">
        <f t="shared" si="547"/>
        <v/>
      </c>
      <c r="AD187" s="39" t="str">
        <f t="shared" si="548"/>
        <v/>
      </c>
      <c r="AE187" s="39" t="str">
        <f t="shared" si="549"/>
        <v/>
      </c>
      <c r="AF187" s="39" t="str">
        <f t="shared" si="550"/>
        <v/>
      </c>
      <c r="AG187" s="74" t="str">
        <f t="shared" si="551"/>
        <v/>
      </c>
      <c r="AI187" s="196"/>
      <c r="AJ18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7" s="136" t="str">
        <f>IF(AJ187&lt;&gt;"",IF(AJ187=0,COUNTIF(AJ$2:AJ186,0)+1,COUNTIF(AJ$2:AJ186,AJ187)+AJ187+COUNTIF(AJ:AJ,0)),"")</f>
        <v/>
      </c>
      <c r="AL187" s="136" t="str">
        <f t="shared" si="462"/>
        <v/>
      </c>
      <c r="AM187" s="155" t="str">
        <f>IF(AND(Include_study?="Yes",Sufficient_data="Yes",Input!Study_name&lt;&gt;""),Input!Study_name,"")</f>
        <v/>
      </c>
      <c r="AN187" s="136" t="str">
        <f t="shared" si="463"/>
        <v/>
      </c>
      <c r="AO187" s="19" t="str">
        <f t="shared" si="552"/>
        <v/>
      </c>
      <c r="AP187" s="158" t="str">
        <f t="shared" si="553"/>
        <v/>
      </c>
      <c r="AQ187" s="158" t="str">
        <f t="shared" si="554"/>
        <v/>
      </c>
      <c r="AR187" s="39" t="str">
        <f t="shared" si="555"/>
        <v/>
      </c>
      <c r="AS187" s="158" t="str">
        <f t="shared" si="556"/>
        <v/>
      </c>
      <c r="AT187" s="39" t="str">
        <f t="shared" si="557"/>
        <v/>
      </c>
      <c r="AU187" s="172" t="str">
        <f t="shared" si="558"/>
        <v/>
      </c>
      <c r="AV187" s="45"/>
      <c r="AW187" s="84" t="e">
        <f t="shared" si="559"/>
        <v>#N/A</v>
      </c>
      <c r="AX187" s="69" t="e">
        <f t="shared" si="560"/>
        <v>#N/A</v>
      </c>
      <c r="AY187" s="74" t="e">
        <f t="shared" si="561"/>
        <v>#N/A</v>
      </c>
      <c r="AZ187" s="45"/>
      <c r="BA187" s="45"/>
      <c r="BB187" s="45"/>
      <c r="BC187" s="45"/>
      <c r="BD187" s="196"/>
      <c r="BE187" s="182"/>
      <c r="BF187" s="69" t="str">
        <f t="shared" si="562"/>
        <v/>
      </c>
      <c r="BG187" s="69" t="str">
        <f t="shared" si="563"/>
        <v/>
      </c>
      <c r="BH187" s="69" t="str">
        <f t="shared" si="564"/>
        <v/>
      </c>
      <c r="BI187" s="39" t="str">
        <f t="shared" si="565"/>
        <v/>
      </c>
      <c r="BJ187" s="95" t="str">
        <f t="shared" si="566"/>
        <v/>
      </c>
      <c r="BO187" s="176"/>
      <c r="BP187" s="158" t="str">
        <f t="shared" si="567"/>
        <v/>
      </c>
      <c r="BQ187" s="158" t="str">
        <f t="shared" si="568"/>
        <v/>
      </c>
      <c r="BR187" s="158" t="str">
        <f t="shared" si="569"/>
        <v/>
      </c>
      <c r="BS187" s="158" t="str">
        <f>IF(AND(Sufficient_data="Yes",Include_study?="Yes"),IF(Add_0_5="Yes",(a_+d_+1)*(ab_+0.5)*(c_+0.5)/(Number_of_subjects+2)^2,(a_+d_)*b_*c_/Number_of_subjects^2),"")</f>
        <v/>
      </c>
      <c r="BT187" s="158" t="str">
        <f t="shared" si="570"/>
        <v/>
      </c>
      <c r="BU187" s="158" t="str">
        <f t="shared" si="571"/>
        <v/>
      </c>
      <c r="BV187" s="158" t="str">
        <f t="shared" si="572"/>
        <v/>
      </c>
      <c r="BW187" s="69" t="str">
        <f t="shared" si="573"/>
        <v/>
      </c>
      <c r="BX187" s="137" t="str">
        <f t="shared" si="574"/>
        <v/>
      </c>
      <c r="BY187" s="95" t="str">
        <f t="shared" si="575"/>
        <v/>
      </c>
      <c r="CD187" s="176"/>
      <c r="CE187" s="130" t="str">
        <f t="shared" si="576"/>
        <v/>
      </c>
      <c r="CF187" s="39" t="str">
        <f t="shared" si="577"/>
        <v/>
      </c>
      <c r="CG187" s="39" t="str">
        <f t="shared" si="578"/>
        <v/>
      </c>
      <c r="CH187" s="39" t="str">
        <f t="shared" si="579"/>
        <v/>
      </c>
      <c r="CI187" s="39" t="str">
        <f t="shared" si="580"/>
        <v/>
      </c>
      <c r="CJ187" s="39" t="str">
        <f t="shared" si="486"/>
        <v/>
      </c>
      <c r="CK187" s="95" t="str">
        <f t="shared" si="581"/>
        <v/>
      </c>
      <c r="CP187" s="176"/>
      <c r="CQ187" s="99" t="str">
        <f t="shared" si="582"/>
        <v/>
      </c>
      <c r="CX187" s="196"/>
      <c r="CY187" s="89" t="e">
        <f t="shared" si="583"/>
        <v>#N/A</v>
      </c>
      <c r="CZ187" s="136" t="str">
        <f t="shared" si="584"/>
        <v/>
      </c>
      <c r="DA187" s="140" t="str">
        <f t="shared" si="585"/>
        <v/>
      </c>
      <c r="DB187" s="39" t="str">
        <f t="shared" si="586"/>
        <v/>
      </c>
      <c r="DC187" s="39" t="str">
        <f t="shared" si="587"/>
        <v/>
      </c>
      <c r="DD187" s="39" t="str">
        <f t="shared" si="588"/>
        <v/>
      </c>
      <c r="DE187" s="39" t="str">
        <f t="shared" si="589"/>
        <v/>
      </c>
      <c r="DF187" s="141" t="str">
        <f t="shared" si="590"/>
        <v/>
      </c>
      <c r="DG187" s="39" t="str">
        <f t="shared" si="591"/>
        <v/>
      </c>
      <c r="DH187" s="39" t="str">
        <f t="shared" si="592"/>
        <v/>
      </c>
      <c r="DI187" s="39" t="str">
        <f t="shared" si="593"/>
        <v/>
      </c>
      <c r="DJ187" s="74" t="str">
        <f t="shared" si="594"/>
        <v/>
      </c>
      <c r="DK187" s="45"/>
      <c r="DL187" s="84" t="e">
        <f t="shared" si="620"/>
        <v>#N/A</v>
      </c>
      <c r="DM187" s="39" t="e">
        <f t="shared" si="595"/>
        <v>#N/A</v>
      </c>
      <c r="DN187" s="74" t="e">
        <f t="shared" si="596"/>
        <v>#N/A</v>
      </c>
      <c r="DO187" s="45"/>
      <c r="DP187" s="89" t="str">
        <f t="shared" si="525"/>
        <v/>
      </c>
      <c r="DQ187" s="26" t="str">
        <f>IF(AND(Sufficient_data="Yes",Subgroup&lt;&gt;""),IF(COUNTIFS(Input!J$2:J186,"="&amp;"Yes",Input!C$2:C186,"="&amp;"Yes",Input!K$2:K186,"="&amp;Subgroup)&gt;0,"",Subgroup),"")</f>
        <v/>
      </c>
      <c r="DR187" s="7" t="str">
        <f t="shared" si="526"/>
        <v/>
      </c>
      <c r="DS187" s="7" t="str">
        <f t="shared" si="597"/>
        <v/>
      </c>
      <c r="DT187" s="19" t="str">
        <f t="shared" si="598"/>
        <v/>
      </c>
      <c r="DU187" s="12" t="str">
        <f t="shared" si="621"/>
        <v/>
      </c>
      <c r="DV187" s="11" t="str">
        <f t="shared" si="622"/>
        <v/>
      </c>
      <c r="DW187" s="12" t="str">
        <f t="shared" si="623"/>
        <v/>
      </c>
      <c r="DX187" s="12" t="str">
        <f t="shared" si="599"/>
        <v/>
      </c>
      <c r="DY187" s="19" t="str">
        <f t="shared" si="624"/>
        <v/>
      </c>
      <c r="DZ187" s="12" t="str">
        <f t="shared" si="625"/>
        <v/>
      </c>
      <c r="EA187" s="19" t="str">
        <f t="shared" si="600"/>
        <v/>
      </c>
      <c r="EB187" s="7" t="str">
        <f t="shared" si="601"/>
        <v/>
      </c>
      <c r="EC187" s="19" t="str">
        <f t="shared" si="602"/>
        <v/>
      </c>
      <c r="ED187" s="19" t="str">
        <f t="shared" si="603"/>
        <v/>
      </c>
      <c r="EE187" s="19" t="str">
        <f t="shared" si="626"/>
        <v/>
      </c>
      <c r="EF187" s="19" t="str">
        <f t="shared" si="627"/>
        <v/>
      </c>
      <c r="EG187" s="19" t="str">
        <f t="shared" si="628"/>
        <v/>
      </c>
      <c r="EH187" s="19" t="str">
        <f t="shared" si="629"/>
        <v/>
      </c>
      <c r="EI187" s="19" t="str">
        <f t="shared" si="630"/>
        <v/>
      </c>
      <c r="EJ187" s="19" t="str">
        <f t="shared" si="604"/>
        <v/>
      </c>
      <c r="EK187" s="19" t="str">
        <f t="shared" si="605"/>
        <v/>
      </c>
      <c r="EL187" s="19" t="str">
        <f t="shared" si="631"/>
        <v/>
      </c>
      <c r="EM187" s="19" t="str">
        <f t="shared" si="632"/>
        <v/>
      </c>
      <c r="EN187" s="19" t="str">
        <f t="shared" si="633"/>
        <v/>
      </c>
      <c r="EO187" s="19" t="str">
        <f t="shared" si="634"/>
        <v/>
      </c>
      <c r="EP187" s="19" t="str">
        <f t="shared" si="635"/>
        <v/>
      </c>
      <c r="EQ187" s="19" t="e">
        <f t="shared" si="636"/>
        <v>#N/A</v>
      </c>
      <c r="ER187" s="11" t="str">
        <f t="shared" si="527"/>
        <v/>
      </c>
      <c r="ES187" s="19" t="str">
        <f t="shared" si="528"/>
        <v/>
      </c>
      <c r="ET187" s="156" t="str">
        <f t="shared" si="606"/>
        <v/>
      </c>
      <c r="EU187" s="39" t="str">
        <f t="shared" si="637"/>
        <v/>
      </c>
      <c r="EV187" s="74" t="str">
        <f t="shared" si="607"/>
        <v/>
      </c>
      <c r="FA187" s="196"/>
      <c r="FB187" s="84" t="e">
        <f>IF(AND(Include_study?="Yes",Sufficient_data="Yes",Moderator&lt;&gt;""),'Moderator Analysis'!E187,NA())</f>
        <v>#N/A</v>
      </c>
      <c r="FC187" s="39" t="e">
        <f>IF(AND(Include_study?="Yes",Sufficient_data="Yes",Moderator&lt;&gt;""),'Moderator Analysis'!F187,NA())</f>
        <v>#N/A</v>
      </c>
      <c r="FD187" s="39" t="str">
        <f t="shared" si="608"/>
        <v/>
      </c>
      <c r="FE187" s="39" t="str">
        <f t="shared" si="609"/>
        <v/>
      </c>
      <c r="FF187" s="39" t="str">
        <f>IF(AND(Include_study?="Yes",Sufficient_data="Yes",Moderator&lt;&gt;""),'Moderator Analysis'!F:F-FP$2,"")</f>
        <v/>
      </c>
      <c r="FG187" s="39" t="str">
        <f>IF(AND(Include_study?="Yes",Sufficient_data="Yes",Moderator&lt;&gt;""),'Moderator Analysis'!E:E-FP$3,"")</f>
        <v/>
      </c>
      <c r="FH187" s="74" t="str">
        <f>IF(AND(Include_study?="Yes",Sufficient_data="Yes",Moderator&lt;&gt;""),FE:FE*('Moderator Analysis'!F:F-FP$5-FP$4*'Moderator Analysis'!E:E)^2,"")</f>
        <v/>
      </c>
      <c r="FI187" s="128"/>
      <c r="FJ187" s="92" t="str">
        <f t="shared" si="610"/>
        <v/>
      </c>
      <c r="FK187" s="137" t="str">
        <f>IF(AND(Include_study?="Yes",Sufficient_data="Yes",Moderator&lt;&gt;""),'Moderator Analysis'!F:F-'Moderator Analysis'!J$37,"")</f>
        <v/>
      </c>
      <c r="FL187" s="137" t="str">
        <f>IF(AND(Include_study?="Yes",Sufficient_data="Yes",Moderator&lt;&gt;""),'Moderator Analysis'!E:E-SUMPRODUCT('Moderator Analysis'!E:E,FJ:FJ)/SUM(FJ:FJ),"")</f>
        <v/>
      </c>
      <c r="FM187" s="95" t="str">
        <f>IF(AND(Include_study?="Yes",Sufficient_data="Yes",Moderator&lt;&gt;""),FJ:FJ*('Moderator Analysis'!F:F-'Moderator Analysis'!J$29-'Moderator Analysis'!J$30*'Moderator Analysis'!E:E)^2,"")</f>
        <v/>
      </c>
      <c r="FR187" s="196"/>
      <c r="FS187" s="182"/>
      <c r="FT18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7" s="39" t="str">
        <f>IF(AND(Include_study?="Yes",Sufficient_data="Yes"),1/('Publication Bias Analysis'!F:F^2+IF(Additional_model="Fixed effect",0,Calculations!GH$12)),"")</f>
        <v/>
      </c>
      <c r="FV187" s="39" t="str">
        <f>IF(AND(Include_study?="Yes",Sufficient_data="Yes"),1/('Publication Bias Analysis'!F:F^2+IF(Additional_model="Fixed effect",0,'Publication Bias Analysis'!L$32)),"")</f>
        <v/>
      </c>
      <c r="FW187" s="39" t="str">
        <f>IF(AND(Include_study?="Yes",Sufficient_data="Yes"),'Publication Bias Analysis'!E:E-'Publication Bias Analysis'!I$37,"")</f>
        <v/>
      </c>
      <c r="FX187" s="39" t="str">
        <f>IF(AND(Include_study?="Yes",Sufficient_data="Yes"),IF(Additional_model="Fixed effect",1/'Publication Bias Analysis'!F:F,1/SQRT('Publication Bias Analysis'!F:F^2+GH$12)),"")</f>
        <v/>
      </c>
      <c r="FY18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7" s="136" t="str">
        <f t="shared" si="611"/>
        <v/>
      </c>
      <c r="GA187" s="144" t="str">
        <f>IF(AND(Include_study?="Yes",Sufficient_data="Yes"),FZ:FZ+IF(GL:GL&lt;0,-1,1)*COUNTIF(FZ$2:FZ186,FZ:FZ),"")</f>
        <v/>
      </c>
      <c r="GB187" s="144" t="str">
        <f>IF(AND(Include_study?="Yes",Sufficient_data="Yes"),RANK(GP:GP,GP:GP,1)*IF(GO:GO&lt;0,-1,1)+IF(GO:GO&lt;0,-1,1)*COUNTIF(FZ$2:FZ186,FZ:FZ),"")</f>
        <v/>
      </c>
      <c r="GC187" s="144" t="str">
        <f>IF(AND(Include_study?="Yes",Sufficient_data="Yes"),RANK(GS:GS,GS:GS,1)*IF(GR:GR&lt;0,-1,1)+IF(GR:GR&lt;0,-1,1)*COUNTIF(FZ$2:FZ186,FZ:FZ),"")</f>
        <v/>
      </c>
      <c r="GD187" s="39" t="e">
        <f>IF(AND(Include_study?="Yes",Sufficient_data="Yes"),'Publication Bias Analysis'!E187,NA())</f>
        <v>#N/A</v>
      </c>
      <c r="GE187" s="74" t="e">
        <f>IF(AND(Include_study?="Yes",Sufficient_data="Yes"),'Publication Bias Analysis'!F187,NA())</f>
        <v>#N/A</v>
      </c>
      <c r="GK187" s="176"/>
      <c r="GL18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7" s="39" t="str">
        <f t="shared" si="612"/>
        <v/>
      </c>
      <c r="GN18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7" s="39" t="str">
        <f>IF(AND(Include_study?="Yes",Sufficient_data="Yes"),IF('Publication Bias Analysis'!L$38="Left",'Publication Bias Analysis'!E:E-GW$3,GW$3-'Publication Bias Analysis'!E:E),"")</f>
        <v/>
      </c>
      <c r="GP187" s="39" t="str">
        <f t="shared" si="529"/>
        <v/>
      </c>
      <c r="GQ18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7" s="39" t="str">
        <f>IF(AND(Include_study?="Yes",Sufficient_data="Yes"),IF('Publication Bias Analysis'!L$38="Left",'Publication Bias Analysis'!E:E-GW$10,GW$10-'Publication Bias Analysis'!E:E),"")</f>
        <v/>
      </c>
      <c r="GS187" s="39" t="str">
        <f t="shared" si="530"/>
        <v/>
      </c>
      <c r="GT18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7" s="176"/>
      <c r="HL187" s="69" t="str">
        <f t="shared" si="518"/>
        <v/>
      </c>
      <c r="HM187" s="74" t="str">
        <f>IF(AND(Include_study?="Yes",Sufficient_data="Yes"),Z_score-('Publication Bias Analysis'!P$3+'Publication Bias Analysis'!P$4*Inverse_standard_error),"")</f>
        <v/>
      </c>
      <c r="HO187" s="176"/>
      <c r="HP187" s="69" t="str">
        <f>IF(AND(Include_study?="Yes",Sufficient_data="Yes"),(GD:GD-SUMPRODUCT(Calculations!FT:FT,'Publication Bias Analysis'!E:E)/SUM(Calculations!FT:FT))/SQRT(Calculations!HQ:HQ),"")</f>
        <v/>
      </c>
      <c r="HQ187" s="69" t="str">
        <f>IF(AND(Include_study?="Yes",Sufficient_data="Yes"),GE:GE^2-1/SUM(Calculations!FT:FT),"")</f>
        <v/>
      </c>
      <c r="HR187" s="7" t="str">
        <f t="shared" si="638"/>
        <v/>
      </c>
      <c r="HS187" s="7" t="str">
        <f t="shared" si="639"/>
        <v/>
      </c>
      <c r="HT187" s="7" t="str">
        <f>IF(AND(Include_study?="Yes",Sufficient_data="Yes"),COUNTIFS(HR$2:HR186,"&lt;"&amp;HR187,HS$2:HS186,"&lt;"&amp;HS187)+COUNTIFS(HR188:HR$201,"&lt;"&amp;HR187,HS188:HS$201,"&lt;"&amp;HS187)+COUNTIFS(HR$2:HR186,"&gt;"&amp;HR187,HS$2:HS186,"&gt;"&amp;HS187)+COUNTIFS(HR188:HR$201,"&gt;"&amp;HR187,HS188:HS$201,"&gt;"&amp;HS187),"")</f>
        <v/>
      </c>
      <c r="HU187" s="104" t="str">
        <f>IF(AND(Include_study?="Yes",Sufficient_data="Yes"),COUNTIFS(HR$2:HR186,"&lt;"&amp;HR187,HS$2:HS186,"&gt;"&amp;HS187)+COUNTIFS(HR188:HR$201,"&lt;"&amp;HR187,HS188:HS$201,"&gt;"&amp;HS187)+COUNTIFS(HR$2:HR186,"&gt;"&amp;HR187,HS$2:HS186,"&lt;"&amp;HS187)+COUNTIFS(HR188:HR$201,"&gt;"&amp;HR187,HS188:HS$201,"&lt;"&amp;HS187),"")</f>
        <v/>
      </c>
      <c r="HW187" s="176"/>
      <c r="IB187" s="176"/>
      <c r="IC187" s="146" t="e">
        <f t="shared" si="613"/>
        <v>#N/A</v>
      </c>
      <c r="ID187" s="137" t="e">
        <f t="shared" si="614"/>
        <v>#N/A</v>
      </c>
      <c r="IE187" s="137" t="str">
        <f t="shared" si="615"/>
        <v/>
      </c>
      <c r="IF187" s="95" t="str">
        <f t="shared" si="616"/>
        <v/>
      </c>
      <c r="IK187" s="176"/>
      <c r="IL187" s="69" t="e">
        <f>IF(AND(Include_study?="Yes",Sufficient_data="Yes"),'Publication Bias Analysis'!AV:AV,NA())</f>
        <v>#N/A</v>
      </c>
      <c r="IM187" s="158" t="e">
        <f>IF(AND(Sufficient_data="Yes",Include_study?="Yes"),'Publication Bias Analysis'!AU:AU,NA())</f>
        <v>#N/A</v>
      </c>
      <c r="IN187" s="69" t="str">
        <f t="shared" si="617"/>
        <v/>
      </c>
      <c r="IO187" s="74" t="str">
        <f>IF(AND(Include_study?="Yes",Sufficient_data="Yes"),Z_score-('Publication Bias Analysis'!AY$30+'Publication Bias Analysis'!AY$31*Inverse_standard_error),"")</f>
        <v/>
      </c>
      <c r="IU187" s="176"/>
      <c r="IV187" s="7" t="str">
        <f>IF('Publication Bias Analysis'!BG:BG&lt;&gt;"",RANK('Publication Bias Analysis'!BG:BG,'Publication Bias Analysis'!BG:BG,1)+COUNTIF('Publication Bias Analysis'!BG$2:BG186,'Publication Bias Analysis'!BG187),"")</f>
        <v/>
      </c>
      <c r="IW187" s="124" t="str">
        <f t="shared" si="618"/>
        <v/>
      </c>
      <c r="IX187" s="125" t="e">
        <f>IF('Publication Bias Analysis'!BF187&lt;&gt;"",'Publication Bias Analysis'!BF187,NA())</f>
        <v>#N/A</v>
      </c>
      <c r="IY187" s="125" t="e">
        <f>IF('Publication Bias Analysis'!BG187&lt;&gt;"",'Publication Bias Analysis'!BG187,NA())</f>
        <v>#N/A</v>
      </c>
      <c r="IZ187" s="69" t="str">
        <f>IF(AND(Include_study?="Yes",Sufficient_data="Yes"),'Publication Bias Analysis'!BF:BF-AVERAGE('Publication Bias Analysis'!BF:BF),"")</f>
        <v/>
      </c>
      <c r="JA187" s="74" t="str">
        <f>IF(AND(Include_study?="Yes",Sufficient_data="Yes"),'Publication Bias Analysis'!BG:BG-('Publication Bias Analysis'!BJ$30+'Publication Bias Analysis'!BJ$31*'Publication Bias Analysis'!BF:BF),"")</f>
        <v/>
      </c>
      <c r="JG187" s="176"/>
      <c r="JH187" s="39" t="str">
        <f t="shared" si="619"/>
        <v/>
      </c>
      <c r="JI187" s="148" t="str">
        <f t="shared" si="531"/>
        <v/>
      </c>
      <c r="JJ187" s="74" t="str">
        <f t="shared" si="532"/>
        <v/>
      </c>
    </row>
    <row r="188" spans="1:270" x14ac:dyDescent="0.2">
      <c r="A188" s="56" t="str">
        <f t="shared" si="533"/>
        <v/>
      </c>
      <c r="B188" s="7" t="str">
        <f>IF(AND(Include_study?="Yes",Sufficient_data="Yes"),IF(Input!a_&lt;&gt;"",Input!a_,Input!n1_-Input!b_),"")</f>
        <v/>
      </c>
      <c r="C188" s="7" t="str">
        <f>IF(AND(Include_study?="Yes",Sufficient_data="Yes"),IF(Input!b_&lt;&gt;"",Input!b_,Input!n1_-Input!a_),"")</f>
        <v/>
      </c>
      <c r="D188" s="7" t="str">
        <f>IF(AND(Include_study?="Yes",Sufficient_data="Yes"),IF(Input!c_&lt;&gt;"",Input!c_,Input!n2_-Input!d_),"")</f>
        <v/>
      </c>
      <c r="E188" s="7" t="str">
        <f>IF(AND(Include_study?="Yes",Sufficient_data="Yes"),IF(Input!d_&lt;&gt;"",Input!d_,Input!n2_-Input!c_),"")</f>
        <v/>
      </c>
      <c r="F188" s="74" t="str">
        <f t="shared" si="534"/>
        <v/>
      </c>
      <c r="H188" s="196"/>
      <c r="I188" s="182"/>
      <c r="J188" s="146" t="str">
        <f t="shared" si="444"/>
        <v/>
      </c>
      <c r="K188" s="39" t="str">
        <f t="shared" si="535"/>
        <v/>
      </c>
      <c r="L188" s="39" t="str">
        <f t="shared" si="536"/>
        <v/>
      </c>
      <c r="M188" s="39" t="str">
        <f t="shared" si="537"/>
        <v/>
      </c>
      <c r="N188" s="74" t="str">
        <f t="shared" si="538"/>
        <v/>
      </c>
      <c r="P188" s="176"/>
      <c r="Q188" s="130" t="str">
        <f t="shared" si="539"/>
        <v/>
      </c>
      <c r="R188" s="39" t="str">
        <f t="shared" si="540"/>
        <v/>
      </c>
      <c r="S188" s="39" t="str">
        <f t="shared" si="541"/>
        <v/>
      </c>
      <c r="T188" s="74" t="str">
        <f t="shared" si="542"/>
        <v/>
      </c>
      <c r="V188" s="176"/>
      <c r="W188" s="130" t="str">
        <f t="shared" si="543"/>
        <v/>
      </c>
      <c r="X188" s="39" t="str">
        <f t="shared" si="544"/>
        <v/>
      </c>
      <c r="Y188" s="39" t="str">
        <f t="shared" si="545"/>
        <v/>
      </c>
      <c r="Z188" s="74" t="str">
        <f t="shared" si="546"/>
        <v/>
      </c>
      <c r="AB188" s="176"/>
      <c r="AC188" s="130" t="str">
        <f t="shared" si="547"/>
        <v/>
      </c>
      <c r="AD188" s="39" t="str">
        <f t="shared" si="548"/>
        <v/>
      </c>
      <c r="AE188" s="39" t="str">
        <f t="shared" si="549"/>
        <v/>
      </c>
      <c r="AF188" s="39" t="str">
        <f t="shared" si="550"/>
        <v/>
      </c>
      <c r="AG188" s="74" t="str">
        <f t="shared" si="551"/>
        <v/>
      </c>
      <c r="AI188" s="196"/>
      <c r="AJ18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8" s="136" t="str">
        <f>IF(AJ188&lt;&gt;"",IF(AJ188=0,COUNTIF(AJ$2:AJ187,0)+1,COUNTIF(AJ$2:AJ187,AJ188)+AJ188+COUNTIF(AJ:AJ,0)),"")</f>
        <v/>
      </c>
      <c r="AL188" s="136" t="str">
        <f t="shared" si="462"/>
        <v/>
      </c>
      <c r="AM188" s="155" t="str">
        <f>IF(AND(Include_study?="Yes",Sufficient_data="Yes",Input!Study_name&lt;&gt;""),Input!Study_name,"")</f>
        <v/>
      </c>
      <c r="AN188" s="136" t="str">
        <f t="shared" si="463"/>
        <v/>
      </c>
      <c r="AO188" s="19" t="str">
        <f t="shared" si="552"/>
        <v/>
      </c>
      <c r="AP188" s="158" t="str">
        <f t="shared" si="553"/>
        <v/>
      </c>
      <c r="AQ188" s="158" t="str">
        <f t="shared" si="554"/>
        <v/>
      </c>
      <c r="AR188" s="39" t="str">
        <f t="shared" si="555"/>
        <v/>
      </c>
      <c r="AS188" s="158" t="str">
        <f t="shared" si="556"/>
        <v/>
      </c>
      <c r="AT188" s="39" t="str">
        <f t="shared" si="557"/>
        <v/>
      </c>
      <c r="AU188" s="172" t="str">
        <f t="shared" si="558"/>
        <v/>
      </c>
      <c r="AV188" s="45"/>
      <c r="AW188" s="84" t="e">
        <f t="shared" si="559"/>
        <v>#N/A</v>
      </c>
      <c r="AX188" s="69" t="e">
        <f t="shared" si="560"/>
        <v>#N/A</v>
      </c>
      <c r="AY188" s="74" t="e">
        <f t="shared" si="561"/>
        <v>#N/A</v>
      </c>
      <c r="AZ188" s="45"/>
      <c r="BA188" s="45"/>
      <c r="BB188" s="45"/>
      <c r="BC188" s="45"/>
      <c r="BD188" s="196"/>
      <c r="BE188" s="182"/>
      <c r="BF188" s="69" t="str">
        <f t="shared" si="562"/>
        <v/>
      </c>
      <c r="BG188" s="69" t="str">
        <f t="shared" si="563"/>
        <v/>
      </c>
      <c r="BH188" s="69" t="str">
        <f t="shared" si="564"/>
        <v/>
      </c>
      <c r="BI188" s="39" t="str">
        <f t="shared" si="565"/>
        <v/>
      </c>
      <c r="BJ188" s="95" t="str">
        <f t="shared" si="566"/>
        <v/>
      </c>
      <c r="BO188" s="176"/>
      <c r="BP188" s="158" t="str">
        <f t="shared" si="567"/>
        <v/>
      </c>
      <c r="BQ188" s="158" t="str">
        <f t="shared" si="568"/>
        <v/>
      </c>
      <c r="BR188" s="158" t="str">
        <f t="shared" si="569"/>
        <v/>
      </c>
      <c r="BS188" s="158" t="str">
        <f>IF(AND(Sufficient_data="Yes",Include_study?="Yes"),IF(Add_0_5="Yes",(a_+d_+1)*(ab_+0.5)*(c_+0.5)/(Number_of_subjects+2)^2,(a_+d_)*b_*c_/Number_of_subjects^2),"")</f>
        <v/>
      </c>
      <c r="BT188" s="158" t="str">
        <f t="shared" si="570"/>
        <v/>
      </c>
      <c r="BU188" s="158" t="str">
        <f t="shared" si="571"/>
        <v/>
      </c>
      <c r="BV188" s="158" t="str">
        <f t="shared" si="572"/>
        <v/>
      </c>
      <c r="BW188" s="69" t="str">
        <f t="shared" si="573"/>
        <v/>
      </c>
      <c r="BX188" s="137" t="str">
        <f t="shared" si="574"/>
        <v/>
      </c>
      <c r="BY188" s="95" t="str">
        <f t="shared" si="575"/>
        <v/>
      </c>
      <c r="CD188" s="176"/>
      <c r="CE188" s="130" t="str">
        <f t="shared" si="576"/>
        <v/>
      </c>
      <c r="CF188" s="39" t="str">
        <f t="shared" si="577"/>
        <v/>
      </c>
      <c r="CG188" s="39" t="str">
        <f t="shared" si="578"/>
        <v/>
      </c>
      <c r="CH188" s="39" t="str">
        <f t="shared" si="579"/>
        <v/>
      </c>
      <c r="CI188" s="39" t="str">
        <f t="shared" si="580"/>
        <v/>
      </c>
      <c r="CJ188" s="39" t="str">
        <f t="shared" si="486"/>
        <v/>
      </c>
      <c r="CK188" s="95" t="str">
        <f t="shared" si="581"/>
        <v/>
      </c>
      <c r="CP188" s="176"/>
      <c r="CQ188" s="99" t="str">
        <f t="shared" si="582"/>
        <v/>
      </c>
      <c r="CX188" s="196"/>
      <c r="CY188" s="89" t="e">
        <f t="shared" si="583"/>
        <v>#N/A</v>
      </c>
      <c r="CZ188" s="136" t="str">
        <f t="shared" si="584"/>
        <v/>
      </c>
      <c r="DA188" s="140" t="str">
        <f t="shared" si="585"/>
        <v/>
      </c>
      <c r="DB188" s="39" t="str">
        <f t="shared" si="586"/>
        <v/>
      </c>
      <c r="DC188" s="39" t="str">
        <f t="shared" si="587"/>
        <v/>
      </c>
      <c r="DD188" s="39" t="str">
        <f t="shared" si="588"/>
        <v/>
      </c>
      <c r="DE188" s="39" t="str">
        <f t="shared" si="589"/>
        <v/>
      </c>
      <c r="DF188" s="141" t="str">
        <f t="shared" si="590"/>
        <v/>
      </c>
      <c r="DG188" s="39" t="str">
        <f t="shared" si="591"/>
        <v/>
      </c>
      <c r="DH188" s="39" t="str">
        <f t="shared" si="592"/>
        <v/>
      </c>
      <c r="DI188" s="39" t="str">
        <f t="shared" si="593"/>
        <v/>
      </c>
      <c r="DJ188" s="74" t="str">
        <f t="shared" si="594"/>
        <v/>
      </c>
      <c r="DK188" s="45"/>
      <c r="DL188" s="84" t="e">
        <f t="shared" si="620"/>
        <v>#N/A</v>
      </c>
      <c r="DM188" s="39" t="e">
        <f t="shared" si="595"/>
        <v>#N/A</v>
      </c>
      <c r="DN188" s="74" t="e">
        <f t="shared" si="596"/>
        <v>#N/A</v>
      </c>
      <c r="DO188" s="45"/>
      <c r="DP188" s="89" t="str">
        <f t="shared" si="525"/>
        <v/>
      </c>
      <c r="DQ188" s="26" t="str">
        <f>IF(AND(Sufficient_data="Yes",Subgroup&lt;&gt;""),IF(COUNTIFS(Input!J$2:J187,"="&amp;"Yes",Input!C$2:C187,"="&amp;"Yes",Input!K$2:K187,"="&amp;Subgroup)&gt;0,"",Subgroup),"")</f>
        <v/>
      </c>
      <c r="DR188" s="7" t="str">
        <f t="shared" si="526"/>
        <v/>
      </c>
      <c r="DS188" s="7" t="str">
        <f t="shared" si="597"/>
        <v/>
      </c>
      <c r="DT188" s="19" t="str">
        <f t="shared" si="598"/>
        <v/>
      </c>
      <c r="DU188" s="12" t="str">
        <f t="shared" si="621"/>
        <v/>
      </c>
      <c r="DV188" s="11" t="str">
        <f t="shared" si="622"/>
        <v/>
      </c>
      <c r="DW188" s="12" t="str">
        <f t="shared" si="623"/>
        <v/>
      </c>
      <c r="DX188" s="12" t="str">
        <f t="shared" si="599"/>
        <v/>
      </c>
      <c r="DY188" s="19" t="str">
        <f t="shared" si="624"/>
        <v/>
      </c>
      <c r="DZ188" s="12" t="str">
        <f t="shared" si="625"/>
        <v/>
      </c>
      <c r="EA188" s="19" t="str">
        <f t="shared" si="600"/>
        <v/>
      </c>
      <c r="EB188" s="7" t="str">
        <f t="shared" si="601"/>
        <v/>
      </c>
      <c r="EC188" s="19" t="str">
        <f t="shared" si="602"/>
        <v/>
      </c>
      <c r="ED188" s="19" t="str">
        <f t="shared" si="603"/>
        <v/>
      </c>
      <c r="EE188" s="19" t="str">
        <f t="shared" si="626"/>
        <v/>
      </c>
      <c r="EF188" s="19" t="str">
        <f t="shared" si="627"/>
        <v/>
      </c>
      <c r="EG188" s="19" t="str">
        <f t="shared" si="628"/>
        <v/>
      </c>
      <c r="EH188" s="19" t="str">
        <f t="shared" si="629"/>
        <v/>
      </c>
      <c r="EI188" s="19" t="str">
        <f t="shared" si="630"/>
        <v/>
      </c>
      <c r="EJ188" s="19" t="str">
        <f t="shared" si="604"/>
        <v/>
      </c>
      <c r="EK188" s="19" t="str">
        <f t="shared" si="605"/>
        <v/>
      </c>
      <c r="EL188" s="19" t="str">
        <f t="shared" si="631"/>
        <v/>
      </c>
      <c r="EM188" s="19" t="str">
        <f t="shared" si="632"/>
        <v/>
      </c>
      <c r="EN188" s="19" t="str">
        <f t="shared" si="633"/>
        <v/>
      </c>
      <c r="EO188" s="19" t="str">
        <f t="shared" si="634"/>
        <v/>
      </c>
      <c r="EP188" s="19" t="str">
        <f t="shared" si="635"/>
        <v/>
      </c>
      <c r="EQ188" s="19" t="e">
        <f t="shared" si="636"/>
        <v>#N/A</v>
      </c>
      <c r="ER188" s="11" t="str">
        <f t="shared" si="527"/>
        <v/>
      </c>
      <c r="ES188" s="19" t="str">
        <f t="shared" si="528"/>
        <v/>
      </c>
      <c r="ET188" s="156" t="str">
        <f t="shared" si="606"/>
        <v/>
      </c>
      <c r="EU188" s="39" t="str">
        <f t="shared" si="637"/>
        <v/>
      </c>
      <c r="EV188" s="74" t="str">
        <f t="shared" si="607"/>
        <v/>
      </c>
      <c r="FA188" s="196"/>
      <c r="FB188" s="84" t="e">
        <f>IF(AND(Include_study?="Yes",Sufficient_data="Yes",Moderator&lt;&gt;""),'Moderator Analysis'!E188,NA())</f>
        <v>#N/A</v>
      </c>
      <c r="FC188" s="39" t="e">
        <f>IF(AND(Include_study?="Yes",Sufficient_data="Yes",Moderator&lt;&gt;""),'Moderator Analysis'!F188,NA())</f>
        <v>#N/A</v>
      </c>
      <c r="FD188" s="39" t="str">
        <f t="shared" si="608"/>
        <v/>
      </c>
      <c r="FE188" s="39" t="str">
        <f t="shared" si="609"/>
        <v/>
      </c>
      <c r="FF188" s="39" t="str">
        <f>IF(AND(Include_study?="Yes",Sufficient_data="Yes",Moderator&lt;&gt;""),'Moderator Analysis'!F:F-FP$2,"")</f>
        <v/>
      </c>
      <c r="FG188" s="39" t="str">
        <f>IF(AND(Include_study?="Yes",Sufficient_data="Yes",Moderator&lt;&gt;""),'Moderator Analysis'!E:E-FP$3,"")</f>
        <v/>
      </c>
      <c r="FH188" s="74" t="str">
        <f>IF(AND(Include_study?="Yes",Sufficient_data="Yes",Moderator&lt;&gt;""),FE:FE*('Moderator Analysis'!F:F-FP$5-FP$4*'Moderator Analysis'!E:E)^2,"")</f>
        <v/>
      </c>
      <c r="FI188" s="128"/>
      <c r="FJ188" s="92" t="str">
        <f t="shared" si="610"/>
        <v/>
      </c>
      <c r="FK188" s="137" t="str">
        <f>IF(AND(Include_study?="Yes",Sufficient_data="Yes",Moderator&lt;&gt;""),'Moderator Analysis'!F:F-'Moderator Analysis'!J$37,"")</f>
        <v/>
      </c>
      <c r="FL188" s="137" t="str">
        <f>IF(AND(Include_study?="Yes",Sufficient_data="Yes",Moderator&lt;&gt;""),'Moderator Analysis'!E:E-SUMPRODUCT('Moderator Analysis'!E:E,FJ:FJ)/SUM(FJ:FJ),"")</f>
        <v/>
      </c>
      <c r="FM188" s="95" t="str">
        <f>IF(AND(Include_study?="Yes",Sufficient_data="Yes",Moderator&lt;&gt;""),FJ:FJ*('Moderator Analysis'!F:F-'Moderator Analysis'!J$29-'Moderator Analysis'!J$30*'Moderator Analysis'!E:E)^2,"")</f>
        <v/>
      </c>
      <c r="FR188" s="196"/>
      <c r="FS188" s="182"/>
      <c r="FT18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8" s="39" t="str">
        <f>IF(AND(Include_study?="Yes",Sufficient_data="Yes"),1/('Publication Bias Analysis'!F:F^2+IF(Additional_model="Fixed effect",0,Calculations!GH$12)),"")</f>
        <v/>
      </c>
      <c r="FV188" s="39" t="str">
        <f>IF(AND(Include_study?="Yes",Sufficient_data="Yes"),1/('Publication Bias Analysis'!F:F^2+IF(Additional_model="Fixed effect",0,'Publication Bias Analysis'!L$32)),"")</f>
        <v/>
      </c>
      <c r="FW188" s="39" t="str">
        <f>IF(AND(Include_study?="Yes",Sufficient_data="Yes"),'Publication Bias Analysis'!E:E-'Publication Bias Analysis'!I$37,"")</f>
        <v/>
      </c>
      <c r="FX188" s="39" t="str">
        <f>IF(AND(Include_study?="Yes",Sufficient_data="Yes"),IF(Additional_model="Fixed effect",1/'Publication Bias Analysis'!F:F,1/SQRT('Publication Bias Analysis'!F:F^2+GH$12)),"")</f>
        <v/>
      </c>
      <c r="FY18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8" s="136" t="str">
        <f t="shared" si="611"/>
        <v/>
      </c>
      <c r="GA188" s="144" t="str">
        <f>IF(AND(Include_study?="Yes",Sufficient_data="Yes"),FZ:FZ+IF(GL:GL&lt;0,-1,1)*COUNTIF(FZ$2:FZ187,FZ:FZ),"")</f>
        <v/>
      </c>
      <c r="GB188" s="144" t="str">
        <f>IF(AND(Include_study?="Yes",Sufficient_data="Yes"),RANK(GP:GP,GP:GP,1)*IF(GO:GO&lt;0,-1,1)+IF(GO:GO&lt;0,-1,1)*COUNTIF(FZ$2:FZ187,FZ:FZ),"")</f>
        <v/>
      </c>
      <c r="GC188" s="144" t="str">
        <f>IF(AND(Include_study?="Yes",Sufficient_data="Yes"),RANK(GS:GS,GS:GS,1)*IF(GR:GR&lt;0,-1,1)+IF(GR:GR&lt;0,-1,1)*COUNTIF(FZ$2:FZ187,FZ:FZ),"")</f>
        <v/>
      </c>
      <c r="GD188" s="39" t="e">
        <f>IF(AND(Include_study?="Yes",Sufficient_data="Yes"),'Publication Bias Analysis'!E188,NA())</f>
        <v>#N/A</v>
      </c>
      <c r="GE188" s="74" t="e">
        <f>IF(AND(Include_study?="Yes",Sufficient_data="Yes"),'Publication Bias Analysis'!F188,NA())</f>
        <v>#N/A</v>
      </c>
      <c r="GK188" s="176"/>
      <c r="GL18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8" s="39" t="str">
        <f t="shared" si="612"/>
        <v/>
      </c>
      <c r="GN18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8" s="39" t="str">
        <f>IF(AND(Include_study?="Yes",Sufficient_data="Yes"),IF('Publication Bias Analysis'!L$38="Left",'Publication Bias Analysis'!E:E-GW$3,GW$3-'Publication Bias Analysis'!E:E),"")</f>
        <v/>
      </c>
      <c r="GP188" s="39" t="str">
        <f t="shared" si="529"/>
        <v/>
      </c>
      <c r="GQ18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8" s="39" t="str">
        <f>IF(AND(Include_study?="Yes",Sufficient_data="Yes"),IF('Publication Bias Analysis'!L$38="Left",'Publication Bias Analysis'!E:E-GW$10,GW$10-'Publication Bias Analysis'!E:E),"")</f>
        <v/>
      </c>
      <c r="GS188" s="39" t="str">
        <f t="shared" si="530"/>
        <v/>
      </c>
      <c r="GT18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8" s="176"/>
      <c r="HL188" s="69" t="str">
        <f t="shared" si="518"/>
        <v/>
      </c>
      <c r="HM188" s="74" t="str">
        <f>IF(AND(Include_study?="Yes",Sufficient_data="Yes"),Z_score-('Publication Bias Analysis'!P$3+'Publication Bias Analysis'!P$4*Inverse_standard_error),"")</f>
        <v/>
      </c>
      <c r="HO188" s="176"/>
      <c r="HP188" s="69" t="str">
        <f>IF(AND(Include_study?="Yes",Sufficient_data="Yes"),(GD:GD-SUMPRODUCT(Calculations!FT:FT,'Publication Bias Analysis'!E:E)/SUM(Calculations!FT:FT))/SQRT(Calculations!HQ:HQ),"")</f>
        <v/>
      </c>
      <c r="HQ188" s="69" t="str">
        <f>IF(AND(Include_study?="Yes",Sufficient_data="Yes"),GE:GE^2-1/SUM(Calculations!FT:FT),"")</f>
        <v/>
      </c>
      <c r="HR188" s="7" t="str">
        <f t="shared" si="638"/>
        <v/>
      </c>
      <c r="HS188" s="7" t="str">
        <f t="shared" si="639"/>
        <v/>
      </c>
      <c r="HT188" s="7" t="str">
        <f>IF(AND(Include_study?="Yes",Sufficient_data="Yes"),COUNTIFS(HR$2:HR187,"&lt;"&amp;HR188,HS$2:HS187,"&lt;"&amp;HS188)+COUNTIFS(HR189:HR$201,"&lt;"&amp;HR188,HS189:HS$201,"&lt;"&amp;HS188)+COUNTIFS(HR$2:HR187,"&gt;"&amp;HR188,HS$2:HS187,"&gt;"&amp;HS188)+COUNTIFS(HR189:HR$201,"&gt;"&amp;HR188,HS189:HS$201,"&gt;"&amp;HS188),"")</f>
        <v/>
      </c>
      <c r="HU188" s="104" t="str">
        <f>IF(AND(Include_study?="Yes",Sufficient_data="Yes"),COUNTIFS(HR$2:HR187,"&lt;"&amp;HR188,HS$2:HS187,"&gt;"&amp;HS188)+COUNTIFS(HR189:HR$201,"&lt;"&amp;HR188,HS189:HS$201,"&gt;"&amp;HS188)+COUNTIFS(HR$2:HR187,"&gt;"&amp;HR188,HS$2:HS187,"&lt;"&amp;HS188)+COUNTIFS(HR189:HR$201,"&gt;"&amp;HR188,HS189:HS$201,"&lt;"&amp;HS188),"")</f>
        <v/>
      </c>
      <c r="HW188" s="176"/>
      <c r="IB188" s="176"/>
      <c r="IC188" s="146" t="e">
        <f t="shared" si="613"/>
        <v>#N/A</v>
      </c>
      <c r="ID188" s="137" t="e">
        <f t="shared" si="614"/>
        <v>#N/A</v>
      </c>
      <c r="IE188" s="137" t="str">
        <f t="shared" si="615"/>
        <v/>
      </c>
      <c r="IF188" s="95" t="str">
        <f t="shared" si="616"/>
        <v/>
      </c>
      <c r="IK188" s="176"/>
      <c r="IL188" s="69" t="e">
        <f>IF(AND(Include_study?="Yes",Sufficient_data="Yes"),'Publication Bias Analysis'!AV:AV,NA())</f>
        <v>#N/A</v>
      </c>
      <c r="IM188" s="158" t="e">
        <f>IF(AND(Sufficient_data="Yes",Include_study?="Yes"),'Publication Bias Analysis'!AU:AU,NA())</f>
        <v>#N/A</v>
      </c>
      <c r="IN188" s="69" t="str">
        <f t="shared" si="617"/>
        <v/>
      </c>
      <c r="IO188" s="74" t="str">
        <f>IF(AND(Include_study?="Yes",Sufficient_data="Yes"),Z_score-('Publication Bias Analysis'!AY$30+'Publication Bias Analysis'!AY$31*Inverse_standard_error),"")</f>
        <v/>
      </c>
      <c r="IU188" s="176"/>
      <c r="IV188" s="7" t="str">
        <f>IF('Publication Bias Analysis'!BG:BG&lt;&gt;"",RANK('Publication Bias Analysis'!BG:BG,'Publication Bias Analysis'!BG:BG,1)+COUNTIF('Publication Bias Analysis'!BG$2:BG187,'Publication Bias Analysis'!BG188),"")</f>
        <v/>
      </c>
      <c r="IW188" s="124" t="str">
        <f t="shared" si="618"/>
        <v/>
      </c>
      <c r="IX188" s="125" t="e">
        <f>IF('Publication Bias Analysis'!BF188&lt;&gt;"",'Publication Bias Analysis'!BF188,NA())</f>
        <v>#N/A</v>
      </c>
      <c r="IY188" s="125" t="e">
        <f>IF('Publication Bias Analysis'!BG188&lt;&gt;"",'Publication Bias Analysis'!BG188,NA())</f>
        <v>#N/A</v>
      </c>
      <c r="IZ188" s="69" t="str">
        <f>IF(AND(Include_study?="Yes",Sufficient_data="Yes"),'Publication Bias Analysis'!BF:BF-AVERAGE('Publication Bias Analysis'!BF:BF),"")</f>
        <v/>
      </c>
      <c r="JA188" s="74" t="str">
        <f>IF(AND(Include_study?="Yes",Sufficient_data="Yes"),'Publication Bias Analysis'!BG:BG-('Publication Bias Analysis'!BJ$30+'Publication Bias Analysis'!BJ$31*'Publication Bias Analysis'!BF:BF),"")</f>
        <v/>
      </c>
      <c r="JG188" s="176"/>
      <c r="JH188" s="39" t="str">
        <f t="shared" si="619"/>
        <v/>
      </c>
      <c r="JI188" s="148" t="str">
        <f t="shared" si="531"/>
        <v/>
      </c>
      <c r="JJ188" s="74" t="str">
        <f t="shared" si="532"/>
        <v/>
      </c>
    </row>
    <row r="189" spans="1:270" x14ac:dyDescent="0.2">
      <c r="A189" s="56" t="str">
        <f t="shared" si="533"/>
        <v/>
      </c>
      <c r="B189" s="7" t="str">
        <f>IF(AND(Include_study?="Yes",Sufficient_data="Yes"),IF(Input!a_&lt;&gt;"",Input!a_,Input!n1_-Input!b_),"")</f>
        <v/>
      </c>
      <c r="C189" s="7" t="str">
        <f>IF(AND(Include_study?="Yes",Sufficient_data="Yes"),IF(Input!b_&lt;&gt;"",Input!b_,Input!n1_-Input!a_),"")</f>
        <v/>
      </c>
      <c r="D189" s="7" t="str">
        <f>IF(AND(Include_study?="Yes",Sufficient_data="Yes"),IF(Input!c_&lt;&gt;"",Input!c_,Input!n2_-Input!d_),"")</f>
        <v/>
      </c>
      <c r="E189" s="7" t="str">
        <f>IF(AND(Include_study?="Yes",Sufficient_data="Yes"),IF(Input!d_&lt;&gt;"",Input!d_,Input!n2_-Input!c_),"")</f>
        <v/>
      </c>
      <c r="F189" s="74" t="str">
        <f t="shared" si="534"/>
        <v/>
      </c>
      <c r="H189" s="196"/>
      <c r="I189" s="182"/>
      <c r="J189" s="146" t="str">
        <f t="shared" si="444"/>
        <v/>
      </c>
      <c r="K189" s="39" t="str">
        <f t="shared" si="535"/>
        <v/>
      </c>
      <c r="L189" s="39" t="str">
        <f t="shared" si="536"/>
        <v/>
      </c>
      <c r="M189" s="39" t="str">
        <f t="shared" si="537"/>
        <v/>
      </c>
      <c r="N189" s="74" t="str">
        <f t="shared" si="538"/>
        <v/>
      </c>
      <c r="P189" s="176"/>
      <c r="Q189" s="130" t="str">
        <f t="shared" si="539"/>
        <v/>
      </c>
      <c r="R189" s="39" t="str">
        <f t="shared" si="540"/>
        <v/>
      </c>
      <c r="S189" s="39" t="str">
        <f t="shared" si="541"/>
        <v/>
      </c>
      <c r="T189" s="74" t="str">
        <f t="shared" si="542"/>
        <v/>
      </c>
      <c r="V189" s="176"/>
      <c r="W189" s="130" t="str">
        <f t="shared" si="543"/>
        <v/>
      </c>
      <c r="X189" s="39" t="str">
        <f t="shared" si="544"/>
        <v/>
      </c>
      <c r="Y189" s="39" t="str">
        <f t="shared" si="545"/>
        <v/>
      </c>
      <c r="Z189" s="74" t="str">
        <f t="shared" si="546"/>
        <v/>
      </c>
      <c r="AB189" s="176"/>
      <c r="AC189" s="130" t="str">
        <f t="shared" si="547"/>
        <v/>
      </c>
      <c r="AD189" s="39" t="str">
        <f t="shared" si="548"/>
        <v/>
      </c>
      <c r="AE189" s="39" t="str">
        <f t="shared" si="549"/>
        <v/>
      </c>
      <c r="AF189" s="39" t="str">
        <f t="shared" si="550"/>
        <v/>
      </c>
      <c r="AG189" s="74" t="str">
        <f t="shared" si="551"/>
        <v/>
      </c>
      <c r="AI189" s="196"/>
      <c r="AJ18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89" s="136" t="str">
        <f>IF(AJ189&lt;&gt;"",IF(AJ189=0,COUNTIF(AJ$2:AJ188,0)+1,COUNTIF(AJ$2:AJ188,AJ189)+AJ189+COUNTIF(AJ:AJ,0)),"")</f>
        <v/>
      </c>
      <c r="AL189" s="136" t="str">
        <f t="shared" si="462"/>
        <v/>
      </c>
      <c r="AM189" s="155" t="str">
        <f>IF(AND(Include_study?="Yes",Sufficient_data="Yes",Input!Study_name&lt;&gt;""),Input!Study_name,"")</f>
        <v/>
      </c>
      <c r="AN189" s="136" t="str">
        <f t="shared" si="463"/>
        <v/>
      </c>
      <c r="AO189" s="19" t="str">
        <f t="shared" si="552"/>
        <v/>
      </c>
      <c r="AP189" s="158" t="str">
        <f t="shared" si="553"/>
        <v/>
      </c>
      <c r="AQ189" s="158" t="str">
        <f t="shared" si="554"/>
        <v/>
      </c>
      <c r="AR189" s="39" t="str">
        <f t="shared" si="555"/>
        <v/>
      </c>
      <c r="AS189" s="158" t="str">
        <f t="shared" si="556"/>
        <v/>
      </c>
      <c r="AT189" s="39" t="str">
        <f t="shared" si="557"/>
        <v/>
      </c>
      <c r="AU189" s="172" t="str">
        <f t="shared" si="558"/>
        <v/>
      </c>
      <c r="AV189" s="45"/>
      <c r="AW189" s="84" t="e">
        <f t="shared" si="559"/>
        <v>#N/A</v>
      </c>
      <c r="AX189" s="69" t="e">
        <f t="shared" si="560"/>
        <v>#N/A</v>
      </c>
      <c r="AY189" s="74" t="e">
        <f t="shared" si="561"/>
        <v>#N/A</v>
      </c>
      <c r="AZ189" s="45"/>
      <c r="BA189" s="45"/>
      <c r="BB189" s="45"/>
      <c r="BC189" s="45"/>
      <c r="BD189" s="196"/>
      <c r="BE189" s="182"/>
      <c r="BF189" s="69" t="str">
        <f t="shared" si="562"/>
        <v/>
      </c>
      <c r="BG189" s="69" t="str">
        <f t="shared" si="563"/>
        <v/>
      </c>
      <c r="BH189" s="69" t="str">
        <f t="shared" si="564"/>
        <v/>
      </c>
      <c r="BI189" s="39" t="str">
        <f t="shared" si="565"/>
        <v/>
      </c>
      <c r="BJ189" s="95" t="str">
        <f t="shared" si="566"/>
        <v/>
      </c>
      <c r="BO189" s="176"/>
      <c r="BP189" s="158" t="str">
        <f t="shared" si="567"/>
        <v/>
      </c>
      <c r="BQ189" s="158" t="str">
        <f t="shared" si="568"/>
        <v/>
      </c>
      <c r="BR189" s="158" t="str">
        <f t="shared" si="569"/>
        <v/>
      </c>
      <c r="BS189" s="158" t="str">
        <f>IF(AND(Sufficient_data="Yes",Include_study?="Yes"),IF(Add_0_5="Yes",(a_+d_+1)*(ab_+0.5)*(c_+0.5)/(Number_of_subjects+2)^2,(a_+d_)*b_*c_/Number_of_subjects^2),"")</f>
        <v/>
      </c>
      <c r="BT189" s="158" t="str">
        <f t="shared" si="570"/>
        <v/>
      </c>
      <c r="BU189" s="158" t="str">
        <f t="shared" si="571"/>
        <v/>
      </c>
      <c r="BV189" s="158" t="str">
        <f t="shared" si="572"/>
        <v/>
      </c>
      <c r="BW189" s="69" t="str">
        <f t="shared" si="573"/>
        <v/>
      </c>
      <c r="BX189" s="137" t="str">
        <f t="shared" si="574"/>
        <v/>
      </c>
      <c r="BY189" s="95" t="str">
        <f t="shared" si="575"/>
        <v/>
      </c>
      <c r="CD189" s="176"/>
      <c r="CE189" s="130" t="str">
        <f t="shared" si="576"/>
        <v/>
      </c>
      <c r="CF189" s="39" t="str">
        <f t="shared" si="577"/>
        <v/>
      </c>
      <c r="CG189" s="39" t="str">
        <f t="shared" si="578"/>
        <v/>
      </c>
      <c r="CH189" s="39" t="str">
        <f t="shared" si="579"/>
        <v/>
      </c>
      <c r="CI189" s="39" t="str">
        <f t="shared" si="580"/>
        <v/>
      </c>
      <c r="CJ189" s="39" t="str">
        <f t="shared" si="486"/>
        <v/>
      </c>
      <c r="CK189" s="95" t="str">
        <f t="shared" si="581"/>
        <v/>
      </c>
      <c r="CP189" s="176"/>
      <c r="CQ189" s="99" t="str">
        <f t="shared" si="582"/>
        <v/>
      </c>
      <c r="CX189" s="196"/>
      <c r="CY189" s="89" t="e">
        <f t="shared" si="583"/>
        <v>#N/A</v>
      </c>
      <c r="CZ189" s="136" t="str">
        <f t="shared" si="584"/>
        <v/>
      </c>
      <c r="DA189" s="140" t="str">
        <f t="shared" si="585"/>
        <v/>
      </c>
      <c r="DB189" s="39" t="str">
        <f t="shared" si="586"/>
        <v/>
      </c>
      <c r="DC189" s="39" t="str">
        <f t="shared" si="587"/>
        <v/>
      </c>
      <c r="DD189" s="39" t="str">
        <f t="shared" si="588"/>
        <v/>
      </c>
      <c r="DE189" s="39" t="str">
        <f t="shared" si="589"/>
        <v/>
      </c>
      <c r="DF189" s="141" t="str">
        <f t="shared" si="590"/>
        <v/>
      </c>
      <c r="DG189" s="39" t="str">
        <f t="shared" si="591"/>
        <v/>
      </c>
      <c r="DH189" s="39" t="str">
        <f t="shared" si="592"/>
        <v/>
      </c>
      <c r="DI189" s="39" t="str">
        <f t="shared" si="593"/>
        <v/>
      </c>
      <c r="DJ189" s="74" t="str">
        <f t="shared" si="594"/>
        <v/>
      </c>
      <c r="DK189" s="45"/>
      <c r="DL189" s="84" t="e">
        <f t="shared" si="620"/>
        <v>#N/A</v>
      </c>
      <c r="DM189" s="39" t="e">
        <f t="shared" si="595"/>
        <v>#N/A</v>
      </c>
      <c r="DN189" s="74" t="e">
        <f t="shared" si="596"/>
        <v>#N/A</v>
      </c>
      <c r="DO189" s="45"/>
      <c r="DP189" s="89" t="str">
        <f t="shared" si="525"/>
        <v/>
      </c>
      <c r="DQ189" s="26" t="str">
        <f>IF(AND(Sufficient_data="Yes",Subgroup&lt;&gt;""),IF(COUNTIFS(Input!J$2:J188,"="&amp;"Yes",Input!C$2:C188,"="&amp;"Yes",Input!K$2:K188,"="&amp;Subgroup)&gt;0,"",Subgroup),"")</f>
        <v/>
      </c>
      <c r="DR189" s="7" t="str">
        <f t="shared" si="526"/>
        <v/>
      </c>
      <c r="DS189" s="7" t="str">
        <f t="shared" si="597"/>
        <v/>
      </c>
      <c r="DT189" s="19" t="str">
        <f t="shared" si="598"/>
        <v/>
      </c>
      <c r="DU189" s="12" t="str">
        <f t="shared" si="621"/>
        <v/>
      </c>
      <c r="DV189" s="11" t="str">
        <f t="shared" si="622"/>
        <v/>
      </c>
      <c r="DW189" s="12" t="str">
        <f t="shared" si="623"/>
        <v/>
      </c>
      <c r="DX189" s="12" t="str">
        <f t="shared" si="599"/>
        <v/>
      </c>
      <c r="DY189" s="19" t="str">
        <f t="shared" si="624"/>
        <v/>
      </c>
      <c r="DZ189" s="12" t="str">
        <f t="shared" si="625"/>
        <v/>
      </c>
      <c r="EA189" s="19" t="str">
        <f t="shared" si="600"/>
        <v/>
      </c>
      <c r="EB189" s="7" t="str">
        <f t="shared" si="601"/>
        <v/>
      </c>
      <c r="EC189" s="19" t="str">
        <f t="shared" si="602"/>
        <v/>
      </c>
      <c r="ED189" s="19" t="str">
        <f t="shared" si="603"/>
        <v/>
      </c>
      <c r="EE189" s="19" t="str">
        <f t="shared" si="626"/>
        <v/>
      </c>
      <c r="EF189" s="19" t="str">
        <f t="shared" si="627"/>
        <v/>
      </c>
      <c r="EG189" s="19" t="str">
        <f t="shared" si="628"/>
        <v/>
      </c>
      <c r="EH189" s="19" t="str">
        <f t="shared" si="629"/>
        <v/>
      </c>
      <c r="EI189" s="19" t="str">
        <f t="shared" si="630"/>
        <v/>
      </c>
      <c r="EJ189" s="19" t="str">
        <f t="shared" si="604"/>
        <v/>
      </c>
      <c r="EK189" s="19" t="str">
        <f t="shared" si="605"/>
        <v/>
      </c>
      <c r="EL189" s="19" t="str">
        <f t="shared" si="631"/>
        <v/>
      </c>
      <c r="EM189" s="19" t="str">
        <f t="shared" si="632"/>
        <v/>
      </c>
      <c r="EN189" s="19" t="str">
        <f t="shared" si="633"/>
        <v/>
      </c>
      <c r="EO189" s="19" t="str">
        <f t="shared" si="634"/>
        <v/>
      </c>
      <c r="EP189" s="19" t="str">
        <f t="shared" si="635"/>
        <v/>
      </c>
      <c r="EQ189" s="19" t="e">
        <f t="shared" si="636"/>
        <v>#N/A</v>
      </c>
      <c r="ER189" s="11" t="str">
        <f t="shared" si="527"/>
        <v/>
      </c>
      <c r="ES189" s="19" t="str">
        <f t="shared" si="528"/>
        <v/>
      </c>
      <c r="ET189" s="156" t="str">
        <f t="shared" si="606"/>
        <v/>
      </c>
      <c r="EU189" s="39" t="str">
        <f t="shared" si="637"/>
        <v/>
      </c>
      <c r="EV189" s="74" t="str">
        <f t="shared" si="607"/>
        <v/>
      </c>
      <c r="FA189" s="196"/>
      <c r="FB189" s="84" t="e">
        <f>IF(AND(Include_study?="Yes",Sufficient_data="Yes",Moderator&lt;&gt;""),'Moderator Analysis'!E189,NA())</f>
        <v>#N/A</v>
      </c>
      <c r="FC189" s="39" t="e">
        <f>IF(AND(Include_study?="Yes",Sufficient_data="Yes",Moderator&lt;&gt;""),'Moderator Analysis'!F189,NA())</f>
        <v>#N/A</v>
      </c>
      <c r="FD189" s="39" t="str">
        <f t="shared" si="608"/>
        <v/>
      </c>
      <c r="FE189" s="39" t="str">
        <f t="shared" si="609"/>
        <v/>
      </c>
      <c r="FF189" s="39" t="str">
        <f>IF(AND(Include_study?="Yes",Sufficient_data="Yes",Moderator&lt;&gt;""),'Moderator Analysis'!F:F-FP$2,"")</f>
        <v/>
      </c>
      <c r="FG189" s="39" t="str">
        <f>IF(AND(Include_study?="Yes",Sufficient_data="Yes",Moderator&lt;&gt;""),'Moderator Analysis'!E:E-FP$3,"")</f>
        <v/>
      </c>
      <c r="FH189" s="74" t="str">
        <f>IF(AND(Include_study?="Yes",Sufficient_data="Yes",Moderator&lt;&gt;""),FE:FE*('Moderator Analysis'!F:F-FP$5-FP$4*'Moderator Analysis'!E:E)^2,"")</f>
        <v/>
      </c>
      <c r="FI189" s="128"/>
      <c r="FJ189" s="92" t="str">
        <f t="shared" si="610"/>
        <v/>
      </c>
      <c r="FK189" s="137" t="str">
        <f>IF(AND(Include_study?="Yes",Sufficient_data="Yes",Moderator&lt;&gt;""),'Moderator Analysis'!F:F-'Moderator Analysis'!J$37,"")</f>
        <v/>
      </c>
      <c r="FL189" s="137" t="str">
        <f>IF(AND(Include_study?="Yes",Sufficient_data="Yes",Moderator&lt;&gt;""),'Moderator Analysis'!E:E-SUMPRODUCT('Moderator Analysis'!E:E,FJ:FJ)/SUM(FJ:FJ),"")</f>
        <v/>
      </c>
      <c r="FM189" s="95" t="str">
        <f>IF(AND(Include_study?="Yes",Sufficient_data="Yes",Moderator&lt;&gt;""),FJ:FJ*('Moderator Analysis'!F:F-'Moderator Analysis'!J$29-'Moderator Analysis'!J$30*'Moderator Analysis'!E:E)^2,"")</f>
        <v/>
      </c>
      <c r="FR189" s="196"/>
      <c r="FS189" s="182"/>
      <c r="FT18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89" s="39" t="str">
        <f>IF(AND(Include_study?="Yes",Sufficient_data="Yes"),1/('Publication Bias Analysis'!F:F^2+IF(Additional_model="Fixed effect",0,Calculations!GH$12)),"")</f>
        <v/>
      </c>
      <c r="FV189" s="39" t="str">
        <f>IF(AND(Include_study?="Yes",Sufficient_data="Yes"),1/('Publication Bias Analysis'!F:F^2+IF(Additional_model="Fixed effect",0,'Publication Bias Analysis'!L$32)),"")</f>
        <v/>
      </c>
      <c r="FW189" s="39" t="str">
        <f>IF(AND(Include_study?="Yes",Sufficient_data="Yes"),'Publication Bias Analysis'!E:E-'Publication Bias Analysis'!I$37,"")</f>
        <v/>
      </c>
      <c r="FX189" s="39" t="str">
        <f>IF(AND(Include_study?="Yes",Sufficient_data="Yes"),IF(Additional_model="Fixed effect",1/'Publication Bias Analysis'!F:F,1/SQRT('Publication Bias Analysis'!F:F^2+GH$12)),"")</f>
        <v/>
      </c>
      <c r="FY18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89" s="136" t="str">
        <f t="shared" si="611"/>
        <v/>
      </c>
      <c r="GA189" s="144" t="str">
        <f>IF(AND(Include_study?="Yes",Sufficient_data="Yes"),FZ:FZ+IF(GL:GL&lt;0,-1,1)*COUNTIF(FZ$2:FZ188,FZ:FZ),"")</f>
        <v/>
      </c>
      <c r="GB189" s="144" t="str">
        <f>IF(AND(Include_study?="Yes",Sufficient_data="Yes"),RANK(GP:GP,GP:GP,1)*IF(GO:GO&lt;0,-1,1)+IF(GO:GO&lt;0,-1,1)*COUNTIF(FZ$2:FZ188,FZ:FZ),"")</f>
        <v/>
      </c>
      <c r="GC189" s="144" t="str">
        <f>IF(AND(Include_study?="Yes",Sufficient_data="Yes"),RANK(GS:GS,GS:GS,1)*IF(GR:GR&lt;0,-1,1)+IF(GR:GR&lt;0,-1,1)*COUNTIF(FZ$2:FZ188,FZ:FZ),"")</f>
        <v/>
      </c>
      <c r="GD189" s="39" t="e">
        <f>IF(AND(Include_study?="Yes",Sufficient_data="Yes"),'Publication Bias Analysis'!E189,NA())</f>
        <v>#N/A</v>
      </c>
      <c r="GE189" s="74" t="e">
        <f>IF(AND(Include_study?="Yes",Sufficient_data="Yes"),'Publication Bias Analysis'!F189,NA())</f>
        <v>#N/A</v>
      </c>
      <c r="GK189" s="176"/>
      <c r="GL18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89" s="39" t="str">
        <f t="shared" si="612"/>
        <v/>
      </c>
      <c r="GN18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89" s="39" t="str">
        <f>IF(AND(Include_study?="Yes",Sufficient_data="Yes"),IF('Publication Bias Analysis'!L$38="Left",'Publication Bias Analysis'!E:E-GW$3,GW$3-'Publication Bias Analysis'!E:E),"")</f>
        <v/>
      </c>
      <c r="GP189" s="39" t="str">
        <f t="shared" si="529"/>
        <v/>
      </c>
      <c r="GQ18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89" s="39" t="str">
        <f>IF(AND(Include_study?="Yes",Sufficient_data="Yes"),IF('Publication Bias Analysis'!L$38="Left",'Publication Bias Analysis'!E:E-GW$10,GW$10-'Publication Bias Analysis'!E:E),"")</f>
        <v/>
      </c>
      <c r="GS189" s="39" t="str">
        <f t="shared" si="530"/>
        <v/>
      </c>
      <c r="GT18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89" s="176"/>
      <c r="HL189" s="69" t="str">
        <f t="shared" si="518"/>
        <v/>
      </c>
      <c r="HM189" s="74" t="str">
        <f>IF(AND(Include_study?="Yes",Sufficient_data="Yes"),Z_score-('Publication Bias Analysis'!P$3+'Publication Bias Analysis'!P$4*Inverse_standard_error),"")</f>
        <v/>
      </c>
      <c r="HO189" s="176"/>
      <c r="HP189" s="69" t="str">
        <f>IF(AND(Include_study?="Yes",Sufficient_data="Yes"),(GD:GD-SUMPRODUCT(Calculations!FT:FT,'Publication Bias Analysis'!E:E)/SUM(Calculations!FT:FT))/SQRT(Calculations!HQ:HQ),"")</f>
        <v/>
      </c>
      <c r="HQ189" s="69" t="str">
        <f>IF(AND(Include_study?="Yes",Sufficient_data="Yes"),GE:GE^2-1/SUM(Calculations!FT:FT),"")</f>
        <v/>
      </c>
      <c r="HR189" s="7" t="str">
        <f t="shared" si="638"/>
        <v/>
      </c>
      <c r="HS189" s="7" t="str">
        <f t="shared" si="639"/>
        <v/>
      </c>
      <c r="HT189" s="7" t="str">
        <f>IF(AND(Include_study?="Yes",Sufficient_data="Yes"),COUNTIFS(HR$2:HR188,"&lt;"&amp;HR189,HS$2:HS188,"&lt;"&amp;HS189)+COUNTIFS(HR190:HR$201,"&lt;"&amp;HR189,HS190:HS$201,"&lt;"&amp;HS189)+COUNTIFS(HR$2:HR188,"&gt;"&amp;HR189,HS$2:HS188,"&gt;"&amp;HS189)+COUNTIFS(HR190:HR$201,"&gt;"&amp;HR189,HS190:HS$201,"&gt;"&amp;HS189),"")</f>
        <v/>
      </c>
      <c r="HU189" s="104" t="str">
        <f>IF(AND(Include_study?="Yes",Sufficient_data="Yes"),COUNTIFS(HR$2:HR188,"&lt;"&amp;HR189,HS$2:HS188,"&gt;"&amp;HS189)+COUNTIFS(HR190:HR$201,"&lt;"&amp;HR189,HS190:HS$201,"&gt;"&amp;HS189)+COUNTIFS(HR$2:HR188,"&gt;"&amp;HR189,HS$2:HS188,"&lt;"&amp;HS189)+COUNTIFS(HR190:HR$201,"&gt;"&amp;HR189,HS190:HS$201,"&lt;"&amp;HS189),"")</f>
        <v/>
      </c>
      <c r="HW189" s="176"/>
      <c r="IB189" s="176"/>
      <c r="IC189" s="146" t="e">
        <f t="shared" si="613"/>
        <v>#N/A</v>
      </c>
      <c r="ID189" s="137" t="e">
        <f t="shared" si="614"/>
        <v>#N/A</v>
      </c>
      <c r="IE189" s="137" t="str">
        <f t="shared" si="615"/>
        <v/>
      </c>
      <c r="IF189" s="95" t="str">
        <f t="shared" si="616"/>
        <v/>
      </c>
      <c r="IK189" s="176"/>
      <c r="IL189" s="69" t="e">
        <f>IF(AND(Include_study?="Yes",Sufficient_data="Yes"),'Publication Bias Analysis'!AV:AV,NA())</f>
        <v>#N/A</v>
      </c>
      <c r="IM189" s="158" t="e">
        <f>IF(AND(Sufficient_data="Yes",Include_study?="Yes"),'Publication Bias Analysis'!AU:AU,NA())</f>
        <v>#N/A</v>
      </c>
      <c r="IN189" s="69" t="str">
        <f t="shared" si="617"/>
        <v/>
      </c>
      <c r="IO189" s="74" t="str">
        <f>IF(AND(Include_study?="Yes",Sufficient_data="Yes"),Z_score-('Publication Bias Analysis'!AY$30+'Publication Bias Analysis'!AY$31*Inverse_standard_error),"")</f>
        <v/>
      </c>
      <c r="IU189" s="176"/>
      <c r="IV189" s="7" t="str">
        <f>IF('Publication Bias Analysis'!BG:BG&lt;&gt;"",RANK('Publication Bias Analysis'!BG:BG,'Publication Bias Analysis'!BG:BG,1)+COUNTIF('Publication Bias Analysis'!BG$2:BG188,'Publication Bias Analysis'!BG189),"")</f>
        <v/>
      </c>
      <c r="IW189" s="124" t="str">
        <f t="shared" si="618"/>
        <v/>
      </c>
      <c r="IX189" s="125" t="e">
        <f>IF('Publication Bias Analysis'!BF189&lt;&gt;"",'Publication Bias Analysis'!BF189,NA())</f>
        <v>#N/A</v>
      </c>
      <c r="IY189" s="125" t="e">
        <f>IF('Publication Bias Analysis'!BG189&lt;&gt;"",'Publication Bias Analysis'!BG189,NA())</f>
        <v>#N/A</v>
      </c>
      <c r="IZ189" s="69" t="str">
        <f>IF(AND(Include_study?="Yes",Sufficient_data="Yes"),'Publication Bias Analysis'!BF:BF-AVERAGE('Publication Bias Analysis'!BF:BF),"")</f>
        <v/>
      </c>
      <c r="JA189" s="74" t="str">
        <f>IF(AND(Include_study?="Yes",Sufficient_data="Yes"),'Publication Bias Analysis'!BG:BG-('Publication Bias Analysis'!BJ$30+'Publication Bias Analysis'!BJ$31*'Publication Bias Analysis'!BF:BF),"")</f>
        <v/>
      </c>
      <c r="JG189" s="176"/>
      <c r="JH189" s="39" t="str">
        <f t="shared" si="619"/>
        <v/>
      </c>
      <c r="JI189" s="148" t="str">
        <f t="shared" si="531"/>
        <v/>
      </c>
      <c r="JJ189" s="74" t="str">
        <f t="shared" si="532"/>
        <v/>
      </c>
    </row>
    <row r="190" spans="1:270" x14ac:dyDescent="0.2">
      <c r="A190" s="56" t="str">
        <f t="shared" si="533"/>
        <v/>
      </c>
      <c r="B190" s="7" t="str">
        <f>IF(AND(Include_study?="Yes",Sufficient_data="Yes"),IF(Input!a_&lt;&gt;"",Input!a_,Input!n1_-Input!b_),"")</f>
        <v/>
      </c>
      <c r="C190" s="7" t="str">
        <f>IF(AND(Include_study?="Yes",Sufficient_data="Yes"),IF(Input!b_&lt;&gt;"",Input!b_,Input!n1_-Input!a_),"")</f>
        <v/>
      </c>
      <c r="D190" s="7" t="str">
        <f>IF(AND(Include_study?="Yes",Sufficient_data="Yes"),IF(Input!c_&lt;&gt;"",Input!c_,Input!n2_-Input!d_),"")</f>
        <v/>
      </c>
      <c r="E190" s="7" t="str">
        <f>IF(AND(Include_study?="Yes",Sufficient_data="Yes"),IF(Input!d_&lt;&gt;"",Input!d_,Input!n2_-Input!c_),"")</f>
        <v/>
      </c>
      <c r="F190" s="74" t="str">
        <f t="shared" si="534"/>
        <v/>
      </c>
      <c r="H190" s="196"/>
      <c r="I190" s="182"/>
      <c r="J190" s="146" t="str">
        <f t="shared" si="444"/>
        <v/>
      </c>
      <c r="K190" s="39" t="str">
        <f t="shared" si="535"/>
        <v/>
      </c>
      <c r="L190" s="39" t="str">
        <f t="shared" si="536"/>
        <v/>
      </c>
      <c r="M190" s="39" t="str">
        <f t="shared" si="537"/>
        <v/>
      </c>
      <c r="N190" s="74" t="str">
        <f t="shared" si="538"/>
        <v/>
      </c>
      <c r="P190" s="176"/>
      <c r="Q190" s="130" t="str">
        <f t="shared" si="539"/>
        <v/>
      </c>
      <c r="R190" s="39" t="str">
        <f t="shared" si="540"/>
        <v/>
      </c>
      <c r="S190" s="39" t="str">
        <f t="shared" si="541"/>
        <v/>
      </c>
      <c r="T190" s="74" t="str">
        <f t="shared" si="542"/>
        <v/>
      </c>
      <c r="V190" s="176"/>
      <c r="W190" s="130" t="str">
        <f t="shared" si="543"/>
        <v/>
      </c>
      <c r="X190" s="39" t="str">
        <f t="shared" si="544"/>
        <v/>
      </c>
      <c r="Y190" s="39" t="str">
        <f t="shared" si="545"/>
        <v/>
      </c>
      <c r="Z190" s="74" t="str">
        <f t="shared" si="546"/>
        <v/>
      </c>
      <c r="AB190" s="176"/>
      <c r="AC190" s="130" t="str">
        <f t="shared" si="547"/>
        <v/>
      </c>
      <c r="AD190" s="39" t="str">
        <f t="shared" si="548"/>
        <v/>
      </c>
      <c r="AE190" s="39" t="str">
        <f t="shared" si="549"/>
        <v/>
      </c>
      <c r="AF190" s="39" t="str">
        <f t="shared" si="550"/>
        <v/>
      </c>
      <c r="AG190" s="74" t="str">
        <f t="shared" si="551"/>
        <v/>
      </c>
      <c r="AI190" s="196"/>
      <c r="AJ19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0" s="136" t="str">
        <f>IF(AJ190&lt;&gt;"",IF(AJ190=0,COUNTIF(AJ$2:AJ189,0)+1,COUNTIF(AJ$2:AJ189,AJ190)+AJ190+COUNTIF(AJ:AJ,0)),"")</f>
        <v/>
      </c>
      <c r="AL190" s="136" t="str">
        <f t="shared" si="462"/>
        <v/>
      </c>
      <c r="AM190" s="155" t="str">
        <f>IF(AND(Include_study?="Yes",Sufficient_data="Yes",Input!Study_name&lt;&gt;""),Input!Study_name,"")</f>
        <v/>
      </c>
      <c r="AN190" s="136" t="str">
        <f t="shared" si="463"/>
        <v/>
      </c>
      <c r="AO190" s="19" t="str">
        <f t="shared" si="552"/>
        <v/>
      </c>
      <c r="AP190" s="158" t="str">
        <f t="shared" si="553"/>
        <v/>
      </c>
      <c r="AQ190" s="158" t="str">
        <f t="shared" si="554"/>
        <v/>
      </c>
      <c r="AR190" s="39" t="str">
        <f t="shared" si="555"/>
        <v/>
      </c>
      <c r="AS190" s="158" t="str">
        <f t="shared" si="556"/>
        <v/>
      </c>
      <c r="AT190" s="39" t="str">
        <f t="shared" si="557"/>
        <v/>
      </c>
      <c r="AU190" s="172" t="str">
        <f t="shared" si="558"/>
        <v/>
      </c>
      <c r="AV190" s="45"/>
      <c r="AW190" s="84" t="e">
        <f t="shared" si="559"/>
        <v>#N/A</v>
      </c>
      <c r="AX190" s="69" t="e">
        <f t="shared" si="560"/>
        <v>#N/A</v>
      </c>
      <c r="AY190" s="74" t="e">
        <f t="shared" si="561"/>
        <v>#N/A</v>
      </c>
      <c r="AZ190" s="45"/>
      <c r="BA190" s="45"/>
      <c r="BB190" s="45"/>
      <c r="BC190" s="45"/>
      <c r="BD190" s="196"/>
      <c r="BE190" s="182"/>
      <c r="BF190" s="69" t="str">
        <f t="shared" si="562"/>
        <v/>
      </c>
      <c r="BG190" s="69" t="str">
        <f t="shared" si="563"/>
        <v/>
      </c>
      <c r="BH190" s="69" t="str">
        <f t="shared" si="564"/>
        <v/>
      </c>
      <c r="BI190" s="39" t="str">
        <f t="shared" si="565"/>
        <v/>
      </c>
      <c r="BJ190" s="95" t="str">
        <f t="shared" si="566"/>
        <v/>
      </c>
      <c r="BO190" s="176"/>
      <c r="BP190" s="158" t="str">
        <f t="shared" si="567"/>
        <v/>
      </c>
      <c r="BQ190" s="158" t="str">
        <f t="shared" si="568"/>
        <v/>
      </c>
      <c r="BR190" s="158" t="str">
        <f t="shared" si="569"/>
        <v/>
      </c>
      <c r="BS190" s="158" t="str">
        <f>IF(AND(Sufficient_data="Yes",Include_study?="Yes"),IF(Add_0_5="Yes",(a_+d_+1)*(ab_+0.5)*(c_+0.5)/(Number_of_subjects+2)^2,(a_+d_)*b_*c_/Number_of_subjects^2),"")</f>
        <v/>
      </c>
      <c r="BT190" s="158" t="str">
        <f t="shared" si="570"/>
        <v/>
      </c>
      <c r="BU190" s="158" t="str">
        <f t="shared" si="571"/>
        <v/>
      </c>
      <c r="BV190" s="158" t="str">
        <f t="shared" si="572"/>
        <v/>
      </c>
      <c r="BW190" s="69" t="str">
        <f t="shared" si="573"/>
        <v/>
      </c>
      <c r="BX190" s="137" t="str">
        <f t="shared" si="574"/>
        <v/>
      </c>
      <c r="BY190" s="95" t="str">
        <f t="shared" si="575"/>
        <v/>
      </c>
      <c r="CD190" s="176"/>
      <c r="CE190" s="130" t="str">
        <f t="shared" si="576"/>
        <v/>
      </c>
      <c r="CF190" s="39" t="str">
        <f t="shared" si="577"/>
        <v/>
      </c>
      <c r="CG190" s="39" t="str">
        <f t="shared" si="578"/>
        <v/>
      </c>
      <c r="CH190" s="39" t="str">
        <f t="shared" si="579"/>
        <v/>
      </c>
      <c r="CI190" s="39" t="str">
        <f t="shared" si="580"/>
        <v/>
      </c>
      <c r="CJ190" s="39" t="str">
        <f t="shared" si="486"/>
        <v/>
      </c>
      <c r="CK190" s="95" t="str">
        <f t="shared" si="581"/>
        <v/>
      </c>
      <c r="CP190" s="176"/>
      <c r="CQ190" s="99" t="str">
        <f t="shared" si="582"/>
        <v/>
      </c>
      <c r="CX190" s="196"/>
      <c r="CY190" s="89" t="e">
        <f t="shared" si="583"/>
        <v>#N/A</v>
      </c>
      <c r="CZ190" s="136" t="str">
        <f t="shared" si="584"/>
        <v/>
      </c>
      <c r="DA190" s="140" t="str">
        <f t="shared" si="585"/>
        <v/>
      </c>
      <c r="DB190" s="39" t="str">
        <f t="shared" si="586"/>
        <v/>
      </c>
      <c r="DC190" s="39" t="str">
        <f t="shared" si="587"/>
        <v/>
      </c>
      <c r="DD190" s="39" t="str">
        <f t="shared" si="588"/>
        <v/>
      </c>
      <c r="DE190" s="39" t="str">
        <f t="shared" si="589"/>
        <v/>
      </c>
      <c r="DF190" s="141" t="str">
        <f t="shared" si="590"/>
        <v/>
      </c>
      <c r="DG190" s="39" t="str">
        <f t="shared" si="591"/>
        <v/>
      </c>
      <c r="DH190" s="39" t="str">
        <f t="shared" si="592"/>
        <v/>
      </c>
      <c r="DI190" s="39" t="str">
        <f t="shared" si="593"/>
        <v/>
      </c>
      <c r="DJ190" s="74" t="str">
        <f t="shared" si="594"/>
        <v/>
      </c>
      <c r="DK190" s="45"/>
      <c r="DL190" s="84" t="e">
        <f t="shared" si="620"/>
        <v>#N/A</v>
      </c>
      <c r="DM190" s="39" t="e">
        <f t="shared" si="595"/>
        <v>#N/A</v>
      </c>
      <c r="DN190" s="74" t="e">
        <f t="shared" si="596"/>
        <v>#N/A</v>
      </c>
      <c r="DO190" s="45"/>
      <c r="DP190" s="89" t="str">
        <f t="shared" si="525"/>
        <v/>
      </c>
      <c r="DQ190" s="26" t="str">
        <f>IF(AND(Sufficient_data="Yes",Subgroup&lt;&gt;""),IF(COUNTIFS(Input!J$2:J189,"="&amp;"Yes",Input!C$2:C189,"="&amp;"Yes",Input!K$2:K189,"="&amp;Subgroup)&gt;0,"",Subgroup),"")</f>
        <v/>
      </c>
      <c r="DR190" s="7" t="str">
        <f t="shared" si="526"/>
        <v/>
      </c>
      <c r="DS190" s="7" t="str">
        <f t="shared" si="597"/>
        <v/>
      </c>
      <c r="DT190" s="19" t="str">
        <f t="shared" si="598"/>
        <v/>
      </c>
      <c r="DU190" s="12" t="str">
        <f t="shared" si="621"/>
        <v/>
      </c>
      <c r="DV190" s="11" t="str">
        <f t="shared" si="622"/>
        <v/>
      </c>
      <c r="DW190" s="12" t="str">
        <f t="shared" si="623"/>
        <v/>
      </c>
      <c r="DX190" s="12" t="str">
        <f t="shared" si="599"/>
        <v/>
      </c>
      <c r="DY190" s="19" t="str">
        <f t="shared" si="624"/>
        <v/>
      </c>
      <c r="DZ190" s="12" t="str">
        <f t="shared" si="625"/>
        <v/>
      </c>
      <c r="EA190" s="19" t="str">
        <f t="shared" si="600"/>
        <v/>
      </c>
      <c r="EB190" s="7" t="str">
        <f t="shared" si="601"/>
        <v/>
      </c>
      <c r="EC190" s="19" t="str">
        <f t="shared" si="602"/>
        <v/>
      </c>
      <c r="ED190" s="19" t="str">
        <f t="shared" si="603"/>
        <v/>
      </c>
      <c r="EE190" s="19" t="str">
        <f t="shared" si="626"/>
        <v/>
      </c>
      <c r="EF190" s="19" t="str">
        <f t="shared" si="627"/>
        <v/>
      </c>
      <c r="EG190" s="19" t="str">
        <f t="shared" si="628"/>
        <v/>
      </c>
      <c r="EH190" s="19" t="str">
        <f t="shared" si="629"/>
        <v/>
      </c>
      <c r="EI190" s="19" t="str">
        <f t="shared" si="630"/>
        <v/>
      </c>
      <c r="EJ190" s="19" t="str">
        <f t="shared" si="604"/>
        <v/>
      </c>
      <c r="EK190" s="19" t="str">
        <f t="shared" si="605"/>
        <v/>
      </c>
      <c r="EL190" s="19" t="str">
        <f t="shared" si="631"/>
        <v/>
      </c>
      <c r="EM190" s="19" t="str">
        <f t="shared" si="632"/>
        <v/>
      </c>
      <c r="EN190" s="19" t="str">
        <f t="shared" si="633"/>
        <v/>
      </c>
      <c r="EO190" s="19" t="str">
        <f t="shared" si="634"/>
        <v/>
      </c>
      <c r="EP190" s="19" t="str">
        <f t="shared" si="635"/>
        <v/>
      </c>
      <c r="EQ190" s="19" t="e">
        <f t="shared" si="636"/>
        <v>#N/A</v>
      </c>
      <c r="ER190" s="11" t="str">
        <f t="shared" si="527"/>
        <v/>
      </c>
      <c r="ES190" s="19" t="str">
        <f t="shared" si="528"/>
        <v/>
      </c>
      <c r="ET190" s="156" t="str">
        <f t="shared" si="606"/>
        <v/>
      </c>
      <c r="EU190" s="39" t="str">
        <f t="shared" si="637"/>
        <v/>
      </c>
      <c r="EV190" s="74" t="str">
        <f t="shared" si="607"/>
        <v/>
      </c>
      <c r="FA190" s="196"/>
      <c r="FB190" s="84" t="e">
        <f>IF(AND(Include_study?="Yes",Sufficient_data="Yes",Moderator&lt;&gt;""),'Moderator Analysis'!E190,NA())</f>
        <v>#N/A</v>
      </c>
      <c r="FC190" s="39" t="e">
        <f>IF(AND(Include_study?="Yes",Sufficient_data="Yes",Moderator&lt;&gt;""),'Moderator Analysis'!F190,NA())</f>
        <v>#N/A</v>
      </c>
      <c r="FD190" s="39" t="str">
        <f t="shared" si="608"/>
        <v/>
      </c>
      <c r="FE190" s="39" t="str">
        <f t="shared" si="609"/>
        <v/>
      </c>
      <c r="FF190" s="39" t="str">
        <f>IF(AND(Include_study?="Yes",Sufficient_data="Yes",Moderator&lt;&gt;""),'Moderator Analysis'!F:F-FP$2,"")</f>
        <v/>
      </c>
      <c r="FG190" s="39" t="str">
        <f>IF(AND(Include_study?="Yes",Sufficient_data="Yes",Moderator&lt;&gt;""),'Moderator Analysis'!E:E-FP$3,"")</f>
        <v/>
      </c>
      <c r="FH190" s="74" t="str">
        <f>IF(AND(Include_study?="Yes",Sufficient_data="Yes",Moderator&lt;&gt;""),FE:FE*('Moderator Analysis'!F:F-FP$5-FP$4*'Moderator Analysis'!E:E)^2,"")</f>
        <v/>
      </c>
      <c r="FI190" s="128"/>
      <c r="FJ190" s="92" t="str">
        <f t="shared" si="610"/>
        <v/>
      </c>
      <c r="FK190" s="137" t="str">
        <f>IF(AND(Include_study?="Yes",Sufficient_data="Yes",Moderator&lt;&gt;""),'Moderator Analysis'!F:F-'Moderator Analysis'!J$37,"")</f>
        <v/>
      </c>
      <c r="FL190" s="137" t="str">
        <f>IF(AND(Include_study?="Yes",Sufficient_data="Yes",Moderator&lt;&gt;""),'Moderator Analysis'!E:E-SUMPRODUCT('Moderator Analysis'!E:E,FJ:FJ)/SUM(FJ:FJ),"")</f>
        <v/>
      </c>
      <c r="FM190" s="95" t="str">
        <f>IF(AND(Include_study?="Yes",Sufficient_data="Yes",Moderator&lt;&gt;""),FJ:FJ*('Moderator Analysis'!F:F-'Moderator Analysis'!J$29-'Moderator Analysis'!J$30*'Moderator Analysis'!E:E)^2,"")</f>
        <v/>
      </c>
      <c r="FR190" s="196"/>
      <c r="FS190" s="182"/>
      <c r="FT19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0" s="39" t="str">
        <f>IF(AND(Include_study?="Yes",Sufficient_data="Yes"),1/('Publication Bias Analysis'!F:F^2+IF(Additional_model="Fixed effect",0,Calculations!GH$12)),"")</f>
        <v/>
      </c>
      <c r="FV190" s="39" t="str">
        <f>IF(AND(Include_study?="Yes",Sufficient_data="Yes"),1/('Publication Bias Analysis'!F:F^2+IF(Additional_model="Fixed effect",0,'Publication Bias Analysis'!L$32)),"")</f>
        <v/>
      </c>
      <c r="FW190" s="39" t="str">
        <f>IF(AND(Include_study?="Yes",Sufficient_data="Yes"),'Publication Bias Analysis'!E:E-'Publication Bias Analysis'!I$37,"")</f>
        <v/>
      </c>
      <c r="FX190" s="39" t="str">
        <f>IF(AND(Include_study?="Yes",Sufficient_data="Yes"),IF(Additional_model="Fixed effect",1/'Publication Bias Analysis'!F:F,1/SQRT('Publication Bias Analysis'!F:F^2+GH$12)),"")</f>
        <v/>
      </c>
      <c r="FY19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0" s="136" t="str">
        <f t="shared" si="611"/>
        <v/>
      </c>
      <c r="GA190" s="144" t="str">
        <f>IF(AND(Include_study?="Yes",Sufficient_data="Yes"),FZ:FZ+IF(GL:GL&lt;0,-1,1)*COUNTIF(FZ$2:FZ189,FZ:FZ),"")</f>
        <v/>
      </c>
      <c r="GB190" s="144" t="str">
        <f>IF(AND(Include_study?="Yes",Sufficient_data="Yes"),RANK(GP:GP,GP:GP,1)*IF(GO:GO&lt;0,-1,1)+IF(GO:GO&lt;0,-1,1)*COUNTIF(FZ$2:FZ189,FZ:FZ),"")</f>
        <v/>
      </c>
      <c r="GC190" s="144" t="str">
        <f>IF(AND(Include_study?="Yes",Sufficient_data="Yes"),RANK(GS:GS,GS:GS,1)*IF(GR:GR&lt;0,-1,1)+IF(GR:GR&lt;0,-1,1)*COUNTIF(FZ$2:FZ189,FZ:FZ),"")</f>
        <v/>
      </c>
      <c r="GD190" s="39" t="e">
        <f>IF(AND(Include_study?="Yes",Sufficient_data="Yes"),'Publication Bias Analysis'!E190,NA())</f>
        <v>#N/A</v>
      </c>
      <c r="GE190" s="74" t="e">
        <f>IF(AND(Include_study?="Yes",Sufficient_data="Yes"),'Publication Bias Analysis'!F190,NA())</f>
        <v>#N/A</v>
      </c>
      <c r="GK190" s="176"/>
      <c r="GL19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0" s="39" t="str">
        <f t="shared" si="612"/>
        <v/>
      </c>
      <c r="GN19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0" s="39" t="str">
        <f>IF(AND(Include_study?="Yes",Sufficient_data="Yes"),IF('Publication Bias Analysis'!L$38="Left",'Publication Bias Analysis'!E:E-GW$3,GW$3-'Publication Bias Analysis'!E:E),"")</f>
        <v/>
      </c>
      <c r="GP190" s="39" t="str">
        <f t="shared" si="529"/>
        <v/>
      </c>
      <c r="GQ19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0" s="39" t="str">
        <f>IF(AND(Include_study?="Yes",Sufficient_data="Yes"),IF('Publication Bias Analysis'!L$38="Left",'Publication Bias Analysis'!E:E-GW$10,GW$10-'Publication Bias Analysis'!E:E),"")</f>
        <v/>
      </c>
      <c r="GS190" s="39" t="str">
        <f t="shared" si="530"/>
        <v/>
      </c>
      <c r="GT19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0" s="176"/>
      <c r="HL190" s="69" t="str">
        <f t="shared" si="518"/>
        <v/>
      </c>
      <c r="HM190" s="74" t="str">
        <f>IF(AND(Include_study?="Yes",Sufficient_data="Yes"),Z_score-('Publication Bias Analysis'!P$3+'Publication Bias Analysis'!P$4*Inverse_standard_error),"")</f>
        <v/>
      </c>
      <c r="HO190" s="176"/>
      <c r="HP190" s="69" t="str">
        <f>IF(AND(Include_study?="Yes",Sufficient_data="Yes"),(GD:GD-SUMPRODUCT(Calculations!FT:FT,'Publication Bias Analysis'!E:E)/SUM(Calculations!FT:FT))/SQRT(Calculations!HQ:HQ),"")</f>
        <v/>
      </c>
      <c r="HQ190" s="69" t="str">
        <f>IF(AND(Include_study?="Yes",Sufficient_data="Yes"),GE:GE^2-1/SUM(Calculations!FT:FT),"")</f>
        <v/>
      </c>
      <c r="HR190" s="7" t="str">
        <f t="shared" si="638"/>
        <v/>
      </c>
      <c r="HS190" s="7" t="str">
        <f t="shared" si="639"/>
        <v/>
      </c>
      <c r="HT190" s="7" t="str">
        <f>IF(AND(Include_study?="Yes",Sufficient_data="Yes"),COUNTIFS(HR$2:HR189,"&lt;"&amp;HR190,HS$2:HS189,"&lt;"&amp;HS190)+COUNTIFS(HR191:HR$201,"&lt;"&amp;HR190,HS191:HS$201,"&lt;"&amp;HS190)+COUNTIFS(HR$2:HR189,"&gt;"&amp;HR190,HS$2:HS189,"&gt;"&amp;HS190)+COUNTIFS(HR191:HR$201,"&gt;"&amp;HR190,HS191:HS$201,"&gt;"&amp;HS190),"")</f>
        <v/>
      </c>
      <c r="HU190" s="104" t="str">
        <f>IF(AND(Include_study?="Yes",Sufficient_data="Yes"),COUNTIFS(HR$2:HR189,"&lt;"&amp;HR190,HS$2:HS189,"&gt;"&amp;HS190)+COUNTIFS(HR191:HR$201,"&lt;"&amp;HR190,HS191:HS$201,"&gt;"&amp;HS190)+COUNTIFS(HR$2:HR189,"&gt;"&amp;HR190,HS$2:HS189,"&lt;"&amp;HS190)+COUNTIFS(HR191:HR$201,"&gt;"&amp;HR190,HS191:HS$201,"&lt;"&amp;HS190),"")</f>
        <v/>
      </c>
      <c r="HW190" s="176"/>
      <c r="IB190" s="176"/>
      <c r="IC190" s="146" t="e">
        <f t="shared" si="613"/>
        <v>#N/A</v>
      </c>
      <c r="ID190" s="137" t="e">
        <f t="shared" si="614"/>
        <v>#N/A</v>
      </c>
      <c r="IE190" s="137" t="str">
        <f t="shared" si="615"/>
        <v/>
      </c>
      <c r="IF190" s="95" t="str">
        <f t="shared" si="616"/>
        <v/>
      </c>
      <c r="IK190" s="176"/>
      <c r="IL190" s="69" t="e">
        <f>IF(AND(Include_study?="Yes",Sufficient_data="Yes"),'Publication Bias Analysis'!AV:AV,NA())</f>
        <v>#N/A</v>
      </c>
      <c r="IM190" s="158" t="e">
        <f>IF(AND(Sufficient_data="Yes",Include_study?="Yes"),'Publication Bias Analysis'!AU:AU,NA())</f>
        <v>#N/A</v>
      </c>
      <c r="IN190" s="69" t="str">
        <f t="shared" si="617"/>
        <v/>
      </c>
      <c r="IO190" s="74" t="str">
        <f>IF(AND(Include_study?="Yes",Sufficient_data="Yes"),Z_score-('Publication Bias Analysis'!AY$30+'Publication Bias Analysis'!AY$31*Inverse_standard_error),"")</f>
        <v/>
      </c>
      <c r="IU190" s="176"/>
      <c r="IV190" s="7" t="str">
        <f>IF('Publication Bias Analysis'!BG:BG&lt;&gt;"",RANK('Publication Bias Analysis'!BG:BG,'Publication Bias Analysis'!BG:BG,1)+COUNTIF('Publication Bias Analysis'!BG$2:BG189,'Publication Bias Analysis'!BG190),"")</f>
        <v/>
      </c>
      <c r="IW190" s="124" t="str">
        <f t="shared" si="618"/>
        <v/>
      </c>
      <c r="IX190" s="125" t="e">
        <f>IF('Publication Bias Analysis'!BF190&lt;&gt;"",'Publication Bias Analysis'!BF190,NA())</f>
        <v>#N/A</v>
      </c>
      <c r="IY190" s="125" t="e">
        <f>IF('Publication Bias Analysis'!BG190&lt;&gt;"",'Publication Bias Analysis'!BG190,NA())</f>
        <v>#N/A</v>
      </c>
      <c r="IZ190" s="69" t="str">
        <f>IF(AND(Include_study?="Yes",Sufficient_data="Yes"),'Publication Bias Analysis'!BF:BF-AVERAGE('Publication Bias Analysis'!BF:BF),"")</f>
        <v/>
      </c>
      <c r="JA190" s="74" t="str">
        <f>IF(AND(Include_study?="Yes",Sufficient_data="Yes"),'Publication Bias Analysis'!BG:BG-('Publication Bias Analysis'!BJ$30+'Publication Bias Analysis'!BJ$31*'Publication Bias Analysis'!BF:BF),"")</f>
        <v/>
      </c>
      <c r="JG190" s="176"/>
      <c r="JH190" s="39" t="str">
        <f t="shared" si="619"/>
        <v/>
      </c>
      <c r="JI190" s="148" t="str">
        <f t="shared" si="531"/>
        <v/>
      </c>
      <c r="JJ190" s="74" t="str">
        <f t="shared" si="532"/>
        <v/>
      </c>
    </row>
    <row r="191" spans="1:270" x14ac:dyDescent="0.2">
      <c r="A191" s="56" t="str">
        <f t="shared" si="533"/>
        <v/>
      </c>
      <c r="B191" s="7" t="str">
        <f>IF(AND(Include_study?="Yes",Sufficient_data="Yes"),IF(Input!a_&lt;&gt;"",Input!a_,Input!n1_-Input!b_),"")</f>
        <v/>
      </c>
      <c r="C191" s="7" t="str">
        <f>IF(AND(Include_study?="Yes",Sufficient_data="Yes"),IF(Input!b_&lt;&gt;"",Input!b_,Input!n1_-Input!a_),"")</f>
        <v/>
      </c>
      <c r="D191" s="7" t="str">
        <f>IF(AND(Include_study?="Yes",Sufficient_data="Yes"),IF(Input!c_&lt;&gt;"",Input!c_,Input!n2_-Input!d_),"")</f>
        <v/>
      </c>
      <c r="E191" s="7" t="str">
        <f>IF(AND(Include_study?="Yes",Sufficient_data="Yes"),IF(Input!d_&lt;&gt;"",Input!d_,Input!n2_-Input!c_),"")</f>
        <v/>
      </c>
      <c r="F191" s="74" t="str">
        <f t="shared" si="534"/>
        <v/>
      </c>
      <c r="H191" s="196"/>
      <c r="I191" s="182"/>
      <c r="J191" s="146" t="str">
        <f t="shared" si="444"/>
        <v/>
      </c>
      <c r="K191" s="39" t="str">
        <f t="shared" si="535"/>
        <v/>
      </c>
      <c r="L191" s="39" t="str">
        <f t="shared" si="536"/>
        <v/>
      </c>
      <c r="M191" s="39" t="str">
        <f t="shared" si="537"/>
        <v/>
      </c>
      <c r="N191" s="74" t="str">
        <f t="shared" si="538"/>
        <v/>
      </c>
      <c r="P191" s="176"/>
      <c r="Q191" s="130" t="str">
        <f t="shared" si="539"/>
        <v/>
      </c>
      <c r="R191" s="39" t="str">
        <f t="shared" si="540"/>
        <v/>
      </c>
      <c r="S191" s="39" t="str">
        <f t="shared" si="541"/>
        <v/>
      </c>
      <c r="T191" s="74" t="str">
        <f t="shared" si="542"/>
        <v/>
      </c>
      <c r="V191" s="176"/>
      <c r="W191" s="130" t="str">
        <f t="shared" si="543"/>
        <v/>
      </c>
      <c r="X191" s="39" t="str">
        <f t="shared" si="544"/>
        <v/>
      </c>
      <c r="Y191" s="39" t="str">
        <f t="shared" si="545"/>
        <v/>
      </c>
      <c r="Z191" s="74" t="str">
        <f t="shared" si="546"/>
        <v/>
      </c>
      <c r="AB191" s="176"/>
      <c r="AC191" s="130" t="str">
        <f t="shared" si="547"/>
        <v/>
      </c>
      <c r="AD191" s="39" t="str">
        <f t="shared" si="548"/>
        <v/>
      </c>
      <c r="AE191" s="39" t="str">
        <f t="shared" si="549"/>
        <v/>
      </c>
      <c r="AF191" s="39" t="str">
        <f t="shared" si="550"/>
        <v/>
      </c>
      <c r="AG191" s="74" t="str">
        <f t="shared" si="551"/>
        <v/>
      </c>
      <c r="AI191" s="196"/>
      <c r="AJ191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1" s="136" t="str">
        <f>IF(AJ191&lt;&gt;"",IF(AJ191=0,COUNTIF(AJ$2:AJ190,0)+1,COUNTIF(AJ$2:AJ190,AJ191)+AJ191+COUNTIF(AJ:AJ,0)),"")</f>
        <v/>
      </c>
      <c r="AL191" s="136" t="str">
        <f t="shared" si="462"/>
        <v/>
      </c>
      <c r="AM191" s="155" t="str">
        <f>IF(AND(Include_study?="Yes",Sufficient_data="Yes",Input!Study_name&lt;&gt;""),Input!Study_name,"")</f>
        <v/>
      </c>
      <c r="AN191" s="136" t="str">
        <f t="shared" si="463"/>
        <v/>
      </c>
      <c r="AO191" s="19" t="str">
        <f t="shared" si="552"/>
        <v/>
      </c>
      <c r="AP191" s="158" t="str">
        <f t="shared" si="553"/>
        <v/>
      </c>
      <c r="AQ191" s="158" t="str">
        <f t="shared" si="554"/>
        <v/>
      </c>
      <c r="AR191" s="39" t="str">
        <f t="shared" si="555"/>
        <v/>
      </c>
      <c r="AS191" s="158" t="str">
        <f t="shared" si="556"/>
        <v/>
      </c>
      <c r="AT191" s="39" t="str">
        <f t="shared" si="557"/>
        <v/>
      </c>
      <c r="AU191" s="172" t="str">
        <f t="shared" si="558"/>
        <v/>
      </c>
      <c r="AV191" s="45"/>
      <c r="AW191" s="84" t="e">
        <f t="shared" si="559"/>
        <v>#N/A</v>
      </c>
      <c r="AX191" s="69" t="e">
        <f t="shared" si="560"/>
        <v>#N/A</v>
      </c>
      <c r="AY191" s="74" t="e">
        <f t="shared" si="561"/>
        <v>#N/A</v>
      </c>
      <c r="AZ191" s="45"/>
      <c r="BA191" s="45"/>
      <c r="BB191" s="45"/>
      <c r="BC191" s="45"/>
      <c r="BD191" s="196"/>
      <c r="BE191" s="182"/>
      <c r="BF191" s="69" t="str">
        <f t="shared" si="562"/>
        <v/>
      </c>
      <c r="BG191" s="69" t="str">
        <f t="shared" si="563"/>
        <v/>
      </c>
      <c r="BH191" s="69" t="str">
        <f t="shared" si="564"/>
        <v/>
      </c>
      <c r="BI191" s="39" t="str">
        <f t="shared" si="565"/>
        <v/>
      </c>
      <c r="BJ191" s="95" t="str">
        <f t="shared" si="566"/>
        <v/>
      </c>
      <c r="BO191" s="176"/>
      <c r="BP191" s="158" t="str">
        <f t="shared" si="567"/>
        <v/>
      </c>
      <c r="BQ191" s="158" t="str">
        <f t="shared" si="568"/>
        <v/>
      </c>
      <c r="BR191" s="158" t="str">
        <f t="shared" si="569"/>
        <v/>
      </c>
      <c r="BS191" s="158" t="str">
        <f>IF(AND(Sufficient_data="Yes",Include_study?="Yes"),IF(Add_0_5="Yes",(a_+d_+1)*(ab_+0.5)*(c_+0.5)/(Number_of_subjects+2)^2,(a_+d_)*b_*c_/Number_of_subjects^2),"")</f>
        <v/>
      </c>
      <c r="BT191" s="158" t="str">
        <f t="shared" si="570"/>
        <v/>
      </c>
      <c r="BU191" s="158" t="str">
        <f t="shared" si="571"/>
        <v/>
      </c>
      <c r="BV191" s="158" t="str">
        <f t="shared" si="572"/>
        <v/>
      </c>
      <c r="BW191" s="69" t="str">
        <f t="shared" si="573"/>
        <v/>
      </c>
      <c r="BX191" s="137" t="str">
        <f t="shared" si="574"/>
        <v/>
      </c>
      <c r="BY191" s="95" t="str">
        <f t="shared" si="575"/>
        <v/>
      </c>
      <c r="CD191" s="176"/>
      <c r="CE191" s="130" t="str">
        <f t="shared" si="576"/>
        <v/>
      </c>
      <c r="CF191" s="39" t="str">
        <f t="shared" si="577"/>
        <v/>
      </c>
      <c r="CG191" s="39" t="str">
        <f t="shared" si="578"/>
        <v/>
      </c>
      <c r="CH191" s="39" t="str">
        <f t="shared" si="579"/>
        <v/>
      </c>
      <c r="CI191" s="39" t="str">
        <f t="shared" si="580"/>
        <v/>
      </c>
      <c r="CJ191" s="39" t="str">
        <f t="shared" si="486"/>
        <v/>
      </c>
      <c r="CK191" s="95" t="str">
        <f t="shared" si="581"/>
        <v/>
      </c>
      <c r="CP191" s="176"/>
      <c r="CQ191" s="99" t="str">
        <f t="shared" si="582"/>
        <v/>
      </c>
      <c r="CX191" s="196"/>
      <c r="CY191" s="89" t="e">
        <f t="shared" si="583"/>
        <v>#N/A</v>
      </c>
      <c r="CZ191" s="136" t="str">
        <f t="shared" si="584"/>
        <v/>
      </c>
      <c r="DA191" s="140" t="str">
        <f t="shared" si="585"/>
        <v/>
      </c>
      <c r="DB191" s="39" t="str">
        <f t="shared" si="586"/>
        <v/>
      </c>
      <c r="DC191" s="39" t="str">
        <f t="shared" si="587"/>
        <v/>
      </c>
      <c r="DD191" s="39" t="str">
        <f t="shared" si="588"/>
        <v/>
      </c>
      <c r="DE191" s="39" t="str">
        <f t="shared" si="589"/>
        <v/>
      </c>
      <c r="DF191" s="141" t="str">
        <f t="shared" si="590"/>
        <v/>
      </c>
      <c r="DG191" s="39" t="str">
        <f t="shared" si="591"/>
        <v/>
      </c>
      <c r="DH191" s="39" t="str">
        <f t="shared" si="592"/>
        <v/>
      </c>
      <c r="DI191" s="39" t="str">
        <f t="shared" si="593"/>
        <v/>
      </c>
      <c r="DJ191" s="74" t="str">
        <f t="shared" si="594"/>
        <v/>
      </c>
      <c r="DK191" s="45"/>
      <c r="DL191" s="84" t="e">
        <f t="shared" si="620"/>
        <v>#N/A</v>
      </c>
      <c r="DM191" s="39" t="e">
        <f t="shared" si="595"/>
        <v>#N/A</v>
      </c>
      <c r="DN191" s="74" t="e">
        <f t="shared" si="596"/>
        <v>#N/A</v>
      </c>
      <c r="DO191" s="45"/>
      <c r="DP191" s="89" t="str">
        <f t="shared" si="525"/>
        <v/>
      </c>
      <c r="DQ191" s="26" t="str">
        <f>IF(AND(Sufficient_data="Yes",Subgroup&lt;&gt;""),IF(COUNTIFS(Input!J$2:J190,"="&amp;"Yes",Input!C$2:C190,"="&amp;"Yes",Input!K$2:K190,"="&amp;Subgroup)&gt;0,"",Subgroup),"")</f>
        <v/>
      </c>
      <c r="DR191" s="7" t="str">
        <f t="shared" si="526"/>
        <v/>
      </c>
      <c r="DS191" s="7" t="str">
        <f t="shared" si="597"/>
        <v/>
      </c>
      <c r="DT191" s="19" t="str">
        <f t="shared" si="598"/>
        <v/>
      </c>
      <c r="DU191" s="12" t="str">
        <f t="shared" si="621"/>
        <v/>
      </c>
      <c r="DV191" s="11" t="str">
        <f t="shared" si="622"/>
        <v/>
      </c>
      <c r="DW191" s="12" t="str">
        <f t="shared" si="623"/>
        <v/>
      </c>
      <c r="DX191" s="12" t="str">
        <f t="shared" si="599"/>
        <v/>
      </c>
      <c r="DY191" s="19" t="str">
        <f t="shared" si="624"/>
        <v/>
      </c>
      <c r="DZ191" s="12" t="str">
        <f t="shared" si="625"/>
        <v/>
      </c>
      <c r="EA191" s="19" t="str">
        <f t="shared" si="600"/>
        <v/>
      </c>
      <c r="EB191" s="7" t="str">
        <f t="shared" si="601"/>
        <v/>
      </c>
      <c r="EC191" s="19" t="str">
        <f t="shared" si="602"/>
        <v/>
      </c>
      <c r="ED191" s="19" t="str">
        <f t="shared" si="603"/>
        <v/>
      </c>
      <c r="EE191" s="19" t="str">
        <f t="shared" si="626"/>
        <v/>
      </c>
      <c r="EF191" s="19" t="str">
        <f t="shared" si="627"/>
        <v/>
      </c>
      <c r="EG191" s="19" t="str">
        <f t="shared" si="628"/>
        <v/>
      </c>
      <c r="EH191" s="19" t="str">
        <f t="shared" si="629"/>
        <v/>
      </c>
      <c r="EI191" s="19" t="str">
        <f t="shared" si="630"/>
        <v/>
      </c>
      <c r="EJ191" s="19" t="str">
        <f t="shared" si="604"/>
        <v/>
      </c>
      <c r="EK191" s="19" t="str">
        <f t="shared" si="605"/>
        <v/>
      </c>
      <c r="EL191" s="19" t="str">
        <f t="shared" si="631"/>
        <v/>
      </c>
      <c r="EM191" s="19" t="str">
        <f t="shared" si="632"/>
        <v/>
      </c>
      <c r="EN191" s="19" t="str">
        <f t="shared" si="633"/>
        <v/>
      </c>
      <c r="EO191" s="19" t="str">
        <f t="shared" si="634"/>
        <v/>
      </c>
      <c r="EP191" s="19" t="str">
        <f t="shared" si="635"/>
        <v/>
      </c>
      <c r="EQ191" s="19" t="e">
        <f t="shared" si="636"/>
        <v>#N/A</v>
      </c>
      <c r="ER191" s="11" t="str">
        <f t="shared" si="527"/>
        <v/>
      </c>
      <c r="ES191" s="19" t="str">
        <f t="shared" si="528"/>
        <v/>
      </c>
      <c r="ET191" s="156" t="str">
        <f t="shared" si="606"/>
        <v/>
      </c>
      <c r="EU191" s="39" t="str">
        <f t="shared" si="637"/>
        <v/>
      </c>
      <c r="EV191" s="74" t="str">
        <f t="shared" si="607"/>
        <v/>
      </c>
      <c r="FA191" s="196"/>
      <c r="FB191" s="84" t="e">
        <f>IF(AND(Include_study?="Yes",Sufficient_data="Yes",Moderator&lt;&gt;""),'Moderator Analysis'!E191,NA())</f>
        <v>#N/A</v>
      </c>
      <c r="FC191" s="39" t="e">
        <f>IF(AND(Include_study?="Yes",Sufficient_data="Yes",Moderator&lt;&gt;""),'Moderator Analysis'!F191,NA())</f>
        <v>#N/A</v>
      </c>
      <c r="FD191" s="39" t="str">
        <f t="shared" si="608"/>
        <v/>
      </c>
      <c r="FE191" s="39" t="str">
        <f t="shared" si="609"/>
        <v/>
      </c>
      <c r="FF191" s="39" t="str">
        <f>IF(AND(Include_study?="Yes",Sufficient_data="Yes",Moderator&lt;&gt;""),'Moderator Analysis'!F:F-FP$2,"")</f>
        <v/>
      </c>
      <c r="FG191" s="39" t="str">
        <f>IF(AND(Include_study?="Yes",Sufficient_data="Yes",Moderator&lt;&gt;""),'Moderator Analysis'!E:E-FP$3,"")</f>
        <v/>
      </c>
      <c r="FH191" s="74" t="str">
        <f>IF(AND(Include_study?="Yes",Sufficient_data="Yes",Moderator&lt;&gt;""),FE:FE*('Moderator Analysis'!F:F-FP$5-FP$4*'Moderator Analysis'!E:E)^2,"")</f>
        <v/>
      </c>
      <c r="FI191" s="128"/>
      <c r="FJ191" s="92" t="str">
        <f t="shared" si="610"/>
        <v/>
      </c>
      <c r="FK191" s="137" t="str">
        <f>IF(AND(Include_study?="Yes",Sufficient_data="Yes",Moderator&lt;&gt;""),'Moderator Analysis'!F:F-'Moderator Analysis'!J$37,"")</f>
        <v/>
      </c>
      <c r="FL191" s="137" t="str">
        <f>IF(AND(Include_study?="Yes",Sufficient_data="Yes",Moderator&lt;&gt;""),'Moderator Analysis'!E:E-SUMPRODUCT('Moderator Analysis'!E:E,FJ:FJ)/SUM(FJ:FJ),"")</f>
        <v/>
      </c>
      <c r="FM191" s="95" t="str">
        <f>IF(AND(Include_study?="Yes",Sufficient_data="Yes",Moderator&lt;&gt;""),FJ:FJ*('Moderator Analysis'!F:F-'Moderator Analysis'!J$29-'Moderator Analysis'!J$30*'Moderator Analysis'!E:E)^2,"")</f>
        <v/>
      </c>
      <c r="FR191" s="196"/>
      <c r="FS191" s="182"/>
      <c r="FT191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1" s="39" t="str">
        <f>IF(AND(Include_study?="Yes",Sufficient_data="Yes"),1/('Publication Bias Analysis'!F:F^2+IF(Additional_model="Fixed effect",0,Calculations!GH$12)),"")</f>
        <v/>
      </c>
      <c r="FV191" s="39" t="str">
        <f>IF(AND(Include_study?="Yes",Sufficient_data="Yes"),1/('Publication Bias Analysis'!F:F^2+IF(Additional_model="Fixed effect",0,'Publication Bias Analysis'!L$32)),"")</f>
        <v/>
      </c>
      <c r="FW191" s="39" t="str">
        <f>IF(AND(Include_study?="Yes",Sufficient_data="Yes"),'Publication Bias Analysis'!E:E-'Publication Bias Analysis'!I$37,"")</f>
        <v/>
      </c>
      <c r="FX191" s="39" t="str">
        <f>IF(AND(Include_study?="Yes",Sufficient_data="Yes"),IF(Additional_model="Fixed effect",1/'Publication Bias Analysis'!F:F,1/SQRT('Publication Bias Analysis'!F:F^2+GH$12)),"")</f>
        <v/>
      </c>
      <c r="FY191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1" s="136" t="str">
        <f t="shared" si="611"/>
        <v/>
      </c>
      <c r="GA191" s="144" t="str">
        <f>IF(AND(Include_study?="Yes",Sufficient_data="Yes"),FZ:FZ+IF(GL:GL&lt;0,-1,1)*COUNTIF(FZ$2:FZ190,FZ:FZ),"")</f>
        <v/>
      </c>
      <c r="GB191" s="144" t="str">
        <f>IF(AND(Include_study?="Yes",Sufficient_data="Yes"),RANK(GP:GP,GP:GP,1)*IF(GO:GO&lt;0,-1,1)+IF(GO:GO&lt;0,-1,1)*COUNTIF(FZ$2:FZ190,FZ:FZ),"")</f>
        <v/>
      </c>
      <c r="GC191" s="144" t="str">
        <f>IF(AND(Include_study?="Yes",Sufficient_data="Yes"),RANK(GS:GS,GS:GS,1)*IF(GR:GR&lt;0,-1,1)+IF(GR:GR&lt;0,-1,1)*COUNTIF(FZ$2:FZ190,FZ:FZ),"")</f>
        <v/>
      </c>
      <c r="GD191" s="39" t="e">
        <f>IF(AND(Include_study?="Yes",Sufficient_data="Yes"),'Publication Bias Analysis'!E191,NA())</f>
        <v>#N/A</v>
      </c>
      <c r="GE191" s="74" t="e">
        <f>IF(AND(Include_study?="Yes",Sufficient_data="Yes"),'Publication Bias Analysis'!F191,NA())</f>
        <v>#N/A</v>
      </c>
      <c r="GK191" s="176"/>
      <c r="GL191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1" s="39" t="str">
        <f t="shared" si="612"/>
        <v/>
      </c>
      <c r="GN191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1" s="39" t="str">
        <f>IF(AND(Include_study?="Yes",Sufficient_data="Yes"),IF('Publication Bias Analysis'!L$38="Left",'Publication Bias Analysis'!E:E-GW$3,GW$3-'Publication Bias Analysis'!E:E),"")</f>
        <v/>
      </c>
      <c r="GP191" s="39" t="str">
        <f t="shared" si="529"/>
        <v/>
      </c>
      <c r="GQ191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1" s="39" t="str">
        <f>IF(AND(Include_study?="Yes",Sufficient_data="Yes"),IF('Publication Bias Analysis'!L$38="Left",'Publication Bias Analysis'!E:E-GW$10,GW$10-'Publication Bias Analysis'!E:E),"")</f>
        <v/>
      </c>
      <c r="GS191" s="39" t="str">
        <f t="shared" si="530"/>
        <v/>
      </c>
      <c r="GT191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1" s="176"/>
      <c r="HL191" s="69" t="str">
        <f t="shared" si="518"/>
        <v/>
      </c>
      <c r="HM191" s="74" t="str">
        <f>IF(AND(Include_study?="Yes",Sufficient_data="Yes"),Z_score-('Publication Bias Analysis'!P$3+'Publication Bias Analysis'!P$4*Inverse_standard_error),"")</f>
        <v/>
      </c>
      <c r="HO191" s="176"/>
      <c r="HP191" s="69" t="str">
        <f>IF(AND(Include_study?="Yes",Sufficient_data="Yes"),(GD:GD-SUMPRODUCT(Calculations!FT:FT,'Publication Bias Analysis'!E:E)/SUM(Calculations!FT:FT))/SQRT(Calculations!HQ:HQ),"")</f>
        <v/>
      </c>
      <c r="HQ191" s="69" t="str">
        <f>IF(AND(Include_study?="Yes",Sufficient_data="Yes"),GE:GE^2-1/SUM(Calculations!FT:FT),"")</f>
        <v/>
      </c>
      <c r="HR191" s="7" t="str">
        <f t="shared" si="638"/>
        <v/>
      </c>
      <c r="HS191" s="7" t="str">
        <f t="shared" si="639"/>
        <v/>
      </c>
      <c r="HT191" s="7" t="str">
        <f>IF(AND(Include_study?="Yes",Sufficient_data="Yes"),COUNTIFS(HR$2:HR190,"&lt;"&amp;HR191,HS$2:HS190,"&lt;"&amp;HS191)+COUNTIFS(HR192:HR$201,"&lt;"&amp;HR191,HS192:HS$201,"&lt;"&amp;HS191)+COUNTIFS(HR$2:HR190,"&gt;"&amp;HR191,HS$2:HS190,"&gt;"&amp;HS191)+COUNTIFS(HR192:HR$201,"&gt;"&amp;HR191,HS192:HS$201,"&gt;"&amp;HS191),"")</f>
        <v/>
      </c>
      <c r="HU191" s="104" t="str">
        <f>IF(AND(Include_study?="Yes",Sufficient_data="Yes"),COUNTIFS(HR$2:HR190,"&lt;"&amp;HR191,HS$2:HS190,"&gt;"&amp;HS191)+COUNTIFS(HR192:HR$201,"&lt;"&amp;HR191,HS192:HS$201,"&gt;"&amp;HS191)+COUNTIFS(HR$2:HR190,"&gt;"&amp;HR191,HS$2:HS190,"&lt;"&amp;HS191)+COUNTIFS(HR192:HR$201,"&gt;"&amp;HR191,HS192:HS$201,"&lt;"&amp;HS191),"")</f>
        <v/>
      </c>
      <c r="HW191" s="176"/>
      <c r="IB191" s="176"/>
      <c r="IC191" s="146" t="e">
        <f t="shared" si="613"/>
        <v>#N/A</v>
      </c>
      <c r="ID191" s="137" t="e">
        <f t="shared" si="614"/>
        <v>#N/A</v>
      </c>
      <c r="IE191" s="137" t="str">
        <f t="shared" si="615"/>
        <v/>
      </c>
      <c r="IF191" s="95" t="str">
        <f t="shared" si="616"/>
        <v/>
      </c>
      <c r="IK191" s="176"/>
      <c r="IL191" s="69" t="e">
        <f>IF(AND(Include_study?="Yes",Sufficient_data="Yes"),'Publication Bias Analysis'!AV:AV,NA())</f>
        <v>#N/A</v>
      </c>
      <c r="IM191" s="158" t="e">
        <f>IF(AND(Sufficient_data="Yes",Include_study?="Yes"),'Publication Bias Analysis'!AU:AU,NA())</f>
        <v>#N/A</v>
      </c>
      <c r="IN191" s="69" t="str">
        <f t="shared" si="617"/>
        <v/>
      </c>
      <c r="IO191" s="74" t="str">
        <f>IF(AND(Include_study?="Yes",Sufficient_data="Yes"),Z_score-('Publication Bias Analysis'!AY$30+'Publication Bias Analysis'!AY$31*Inverse_standard_error),"")</f>
        <v/>
      </c>
      <c r="IU191" s="176"/>
      <c r="IV191" s="7" t="str">
        <f>IF('Publication Bias Analysis'!BG:BG&lt;&gt;"",RANK('Publication Bias Analysis'!BG:BG,'Publication Bias Analysis'!BG:BG,1)+COUNTIF('Publication Bias Analysis'!BG$2:BG190,'Publication Bias Analysis'!BG191),"")</f>
        <v/>
      </c>
      <c r="IW191" s="124" t="str">
        <f t="shared" si="618"/>
        <v/>
      </c>
      <c r="IX191" s="125" t="e">
        <f>IF('Publication Bias Analysis'!BF191&lt;&gt;"",'Publication Bias Analysis'!BF191,NA())</f>
        <v>#N/A</v>
      </c>
      <c r="IY191" s="125" t="e">
        <f>IF('Publication Bias Analysis'!BG191&lt;&gt;"",'Publication Bias Analysis'!BG191,NA())</f>
        <v>#N/A</v>
      </c>
      <c r="IZ191" s="69" t="str">
        <f>IF(AND(Include_study?="Yes",Sufficient_data="Yes"),'Publication Bias Analysis'!BF:BF-AVERAGE('Publication Bias Analysis'!BF:BF),"")</f>
        <v/>
      </c>
      <c r="JA191" s="74" t="str">
        <f>IF(AND(Include_study?="Yes",Sufficient_data="Yes"),'Publication Bias Analysis'!BG:BG-('Publication Bias Analysis'!BJ$30+'Publication Bias Analysis'!BJ$31*'Publication Bias Analysis'!BF:BF),"")</f>
        <v/>
      </c>
      <c r="JG191" s="176"/>
      <c r="JH191" s="39" t="str">
        <f t="shared" si="619"/>
        <v/>
      </c>
      <c r="JI191" s="148" t="str">
        <f t="shared" si="531"/>
        <v/>
      </c>
      <c r="JJ191" s="74" t="str">
        <f t="shared" si="532"/>
        <v/>
      </c>
    </row>
    <row r="192" spans="1:270" x14ac:dyDescent="0.2">
      <c r="A192" s="56" t="str">
        <f t="shared" si="533"/>
        <v/>
      </c>
      <c r="B192" s="7" t="str">
        <f>IF(AND(Include_study?="Yes",Sufficient_data="Yes"),IF(Input!a_&lt;&gt;"",Input!a_,Input!n1_-Input!b_),"")</f>
        <v/>
      </c>
      <c r="C192" s="7" t="str">
        <f>IF(AND(Include_study?="Yes",Sufficient_data="Yes"),IF(Input!b_&lt;&gt;"",Input!b_,Input!n1_-Input!a_),"")</f>
        <v/>
      </c>
      <c r="D192" s="7" t="str">
        <f>IF(AND(Include_study?="Yes",Sufficient_data="Yes"),IF(Input!c_&lt;&gt;"",Input!c_,Input!n2_-Input!d_),"")</f>
        <v/>
      </c>
      <c r="E192" s="7" t="str">
        <f>IF(AND(Include_study?="Yes",Sufficient_data="Yes"),IF(Input!d_&lt;&gt;"",Input!d_,Input!n2_-Input!c_),"")</f>
        <v/>
      </c>
      <c r="F192" s="74" t="str">
        <f t="shared" si="534"/>
        <v/>
      </c>
      <c r="H192" s="196"/>
      <c r="I192" s="182"/>
      <c r="J192" s="146" t="str">
        <f t="shared" si="444"/>
        <v/>
      </c>
      <c r="K192" s="39" t="str">
        <f t="shared" si="535"/>
        <v/>
      </c>
      <c r="L192" s="39" t="str">
        <f t="shared" si="536"/>
        <v/>
      </c>
      <c r="M192" s="39" t="str">
        <f t="shared" si="537"/>
        <v/>
      </c>
      <c r="N192" s="74" t="str">
        <f t="shared" si="538"/>
        <v/>
      </c>
      <c r="P192" s="176"/>
      <c r="Q192" s="130" t="str">
        <f t="shared" si="539"/>
        <v/>
      </c>
      <c r="R192" s="39" t="str">
        <f t="shared" si="540"/>
        <v/>
      </c>
      <c r="S192" s="39" t="str">
        <f t="shared" si="541"/>
        <v/>
      </c>
      <c r="T192" s="74" t="str">
        <f t="shared" si="542"/>
        <v/>
      </c>
      <c r="V192" s="176"/>
      <c r="W192" s="130" t="str">
        <f t="shared" si="543"/>
        <v/>
      </c>
      <c r="X192" s="39" t="str">
        <f t="shared" si="544"/>
        <v/>
      </c>
      <c r="Y192" s="39" t="str">
        <f t="shared" si="545"/>
        <v/>
      </c>
      <c r="Z192" s="74" t="str">
        <f t="shared" si="546"/>
        <v/>
      </c>
      <c r="AB192" s="176"/>
      <c r="AC192" s="130" t="str">
        <f t="shared" si="547"/>
        <v/>
      </c>
      <c r="AD192" s="39" t="str">
        <f t="shared" si="548"/>
        <v/>
      </c>
      <c r="AE192" s="39" t="str">
        <f t="shared" si="549"/>
        <v/>
      </c>
      <c r="AF192" s="39" t="str">
        <f t="shared" si="550"/>
        <v/>
      </c>
      <c r="AG192" s="74" t="str">
        <f t="shared" si="551"/>
        <v/>
      </c>
      <c r="AI192" s="196"/>
      <c r="AJ192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2" s="136" t="str">
        <f>IF(AJ192&lt;&gt;"",IF(AJ192=0,COUNTIF(AJ$2:AJ191,0)+1,COUNTIF(AJ$2:AJ191,AJ192)+AJ192+COUNTIF(AJ:AJ,0)),"")</f>
        <v/>
      </c>
      <c r="AL192" s="136" t="str">
        <f t="shared" si="462"/>
        <v/>
      </c>
      <c r="AM192" s="155" t="str">
        <f>IF(AND(Include_study?="Yes",Sufficient_data="Yes",Input!Study_name&lt;&gt;""),Input!Study_name,"")</f>
        <v/>
      </c>
      <c r="AN192" s="136" t="str">
        <f t="shared" si="463"/>
        <v/>
      </c>
      <c r="AO192" s="19" t="str">
        <f t="shared" si="552"/>
        <v/>
      </c>
      <c r="AP192" s="158" t="str">
        <f t="shared" si="553"/>
        <v/>
      </c>
      <c r="AQ192" s="158" t="str">
        <f t="shared" si="554"/>
        <v/>
      </c>
      <c r="AR192" s="39" t="str">
        <f t="shared" si="555"/>
        <v/>
      </c>
      <c r="AS192" s="158" t="str">
        <f t="shared" si="556"/>
        <v/>
      </c>
      <c r="AT192" s="39" t="str">
        <f t="shared" si="557"/>
        <v/>
      </c>
      <c r="AU192" s="172" t="str">
        <f t="shared" si="558"/>
        <v/>
      </c>
      <c r="AV192" s="45"/>
      <c r="AW192" s="84" t="e">
        <f t="shared" si="559"/>
        <v>#N/A</v>
      </c>
      <c r="AX192" s="69" t="e">
        <f t="shared" si="560"/>
        <v>#N/A</v>
      </c>
      <c r="AY192" s="74" t="e">
        <f t="shared" si="561"/>
        <v>#N/A</v>
      </c>
      <c r="AZ192" s="45"/>
      <c r="BA192" s="45"/>
      <c r="BB192" s="45"/>
      <c r="BC192" s="45"/>
      <c r="BD192" s="196"/>
      <c r="BE192" s="182"/>
      <c r="BF192" s="69" t="str">
        <f t="shared" si="562"/>
        <v/>
      </c>
      <c r="BG192" s="69" t="str">
        <f t="shared" si="563"/>
        <v/>
      </c>
      <c r="BH192" s="69" t="str">
        <f t="shared" si="564"/>
        <v/>
      </c>
      <c r="BI192" s="39" t="str">
        <f t="shared" si="565"/>
        <v/>
      </c>
      <c r="BJ192" s="95" t="str">
        <f t="shared" si="566"/>
        <v/>
      </c>
      <c r="BO192" s="176"/>
      <c r="BP192" s="158" t="str">
        <f t="shared" si="567"/>
        <v/>
      </c>
      <c r="BQ192" s="158" t="str">
        <f t="shared" si="568"/>
        <v/>
      </c>
      <c r="BR192" s="158" t="str">
        <f t="shared" si="569"/>
        <v/>
      </c>
      <c r="BS192" s="158" t="str">
        <f>IF(AND(Sufficient_data="Yes",Include_study?="Yes"),IF(Add_0_5="Yes",(a_+d_+1)*(ab_+0.5)*(c_+0.5)/(Number_of_subjects+2)^2,(a_+d_)*b_*c_/Number_of_subjects^2),"")</f>
        <v/>
      </c>
      <c r="BT192" s="158" t="str">
        <f t="shared" si="570"/>
        <v/>
      </c>
      <c r="BU192" s="158" t="str">
        <f t="shared" si="571"/>
        <v/>
      </c>
      <c r="BV192" s="158" t="str">
        <f t="shared" si="572"/>
        <v/>
      </c>
      <c r="BW192" s="69" t="str">
        <f t="shared" si="573"/>
        <v/>
      </c>
      <c r="BX192" s="137" t="str">
        <f t="shared" si="574"/>
        <v/>
      </c>
      <c r="BY192" s="95" t="str">
        <f t="shared" si="575"/>
        <v/>
      </c>
      <c r="CD192" s="176"/>
      <c r="CE192" s="130" t="str">
        <f t="shared" si="576"/>
        <v/>
      </c>
      <c r="CF192" s="39" t="str">
        <f t="shared" si="577"/>
        <v/>
      </c>
      <c r="CG192" s="39" t="str">
        <f t="shared" si="578"/>
        <v/>
      </c>
      <c r="CH192" s="39" t="str">
        <f t="shared" si="579"/>
        <v/>
      </c>
      <c r="CI192" s="39" t="str">
        <f t="shared" si="580"/>
        <v/>
      </c>
      <c r="CJ192" s="39" t="str">
        <f t="shared" si="486"/>
        <v/>
      </c>
      <c r="CK192" s="95" t="str">
        <f t="shared" si="581"/>
        <v/>
      </c>
      <c r="CP192" s="176"/>
      <c r="CQ192" s="99" t="str">
        <f t="shared" si="582"/>
        <v/>
      </c>
      <c r="CX192" s="196"/>
      <c r="CY192" s="89" t="e">
        <f t="shared" si="583"/>
        <v>#N/A</v>
      </c>
      <c r="CZ192" s="136" t="str">
        <f t="shared" si="584"/>
        <v/>
      </c>
      <c r="DA192" s="140" t="str">
        <f t="shared" si="585"/>
        <v/>
      </c>
      <c r="DB192" s="39" t="str">
        <f t="shared" si="586"/>
        <v/>
      </c>
      <c r="DC192" s="39" t="str">
        <f t="shared" si="587"/>
        <v/>
      </c>
      <c r="DD192" s="39" t="str">
        <f t="shared" si="588"/>
        <v/>
      </c>
      <c r="DE192" s="39" t="str">
        <f t="shared" si="589"/>
        <v/>
      </c>
      <c r="DF192" s="141" t="str">
        <f t="shared" si="590"/>
        <v/>
      </c>
      <c r="DG192" s="39" t="str">
        <f t="shared" si="591"/>
        <v/>
      </c>
      <c r="DH192" s="39" t="str">
        <f t="shared" si="592"/>
        <v/>
      </c>
      <c r="DI192" s="39" t="str">
        <f t="shared" si="593"/>
        <v/>
      </c>
      <c r="DJ192" s="74" t="str">
        <f t="shared" si="594"/>
        <v/>
      </c>
      <c r="DK192" s="45"/>
      <c r="DL192" s="84" t="e">
        <f t="shared" si="620"/>
        <v>#N/A</v>
      </c>
      <c r="DM192" s="39" t="e">
        <f t="shared" si="595"/>
        <v>#N/A</v>
      </c>
      <c r="DN192" s="74" t="e">
        <f t="shared" si="596"/>
        <v>#N/A</v>
      </c>
      <c r="DO192" s="45"/>
      <c r="DP192" s="89" t="str">
        <f t="shared" si="525"/>
        <v/>
      </c>
      <c r="DQ192" s="26" t="str">
        <f>IF(AND(Sufficient_data="Yes",Subgroup&lt;&gt;""),IF(COUNTIFS(Input!J$2:J191,"="&amp;"Yes",Input!C$2:C191,"="&amp;"Yes",Input!K$2:K191,"="&amp;Subgroup)&gt;0,"",Subgroup),"")</f>
        <v/>
      </c>
      <c r="DR192" s="7" t="str">
        <f t="shared" si="526"/>
        <v/>
      </c>
      <c r="DS192" s="7" t="str">
        <f t="shared" si="597"/>
        <v/>
      </c>
      <c r="DT192" s="19" t="str">
        <f t="shared" si="598"/>
        <v/>
      </c>
      <c r="DU192" s="12" t="str">
        <f t="shared" si="621"/>
        <v/>
      </c>
      <c r="DV192" s="11" t="str">
        <f t="shared" si="622"/>
        <v/>
      </c>
      <c r="DW192" s="12" t="str">
        <f t="shared" si="623"/>
        <v/>
      </c>
      <c r="DX192" s="12" t="str">
        <f t="shared" si="599"/>
        <v/>
      </c>
      <c r="DY192" s="19" t="str">
        <f t="shared" si="624"/>
        <v/>
      </c>
      <c r="DZ192" s="12" t="str">
        <f t="shared" si="625"/>
        <v/>
      </c>
      <c r="EA192" s="19" t="str">
        <f t="shared" si="600"/>
        <v/>
      </c>
      <c r="EB192" s="7" t="str">
        <f t="shared" si="601"/>
        <v/>
      </c>
      <c r="EC192" s="19" t="str">
        <f t="shared" si="602"/>
        <v/>
      </c>
      <c r="ED192" s="19" t="str">
        <f t="shared" si="603"/>
        <v/>
      </c>
      <c r="EE192" s="19" t="str">
        <f t="shared" si="626"/>
        <v/>
      </c>
      <c r="EF192" s="19" t="str">
        <f t="shared" si="627"/>
        <v/>
      </c>
      <c r="EG192" s="19" t="str">
        <f t="shared" si="628"/>
        <v/>
      </c>
      <c r="EH192" s="19" t="str">
        <f t="shared" si="629"/>
        <v/>
      </c>
      <c r="EI192" s="19" t="str">
        <f t="shared" si="630"/>
        <v/>
      </c>
      <c r="EJ192" s="19" t="str">
        <f t="shared" si="604"/>
        <v/>
      </c>
      <c r="EK192" s="19" t="str">
        <f t="shared" si="605"/>
        <v/>
      </c>
      <c r="EL192" s="19" t="str">
        <f t="shared" si="631"/>
        <v/>
      </c>
      <c r="EM192" s="19" t="str">
        <f t="shared" si="632"/>
        <v/>
      </c>
      <c r="EN192" s="19" t="str">
        <f t="shared" si="633"/>
        <v/>
      </c>
      <c r="EO192" s="19" t="str">
        <f t="shared" si="634"/>
        <v/>
      </c>
      <c r="EP192" s="19" t="str">
        <f t="shared" si="635"/>
        <v/>
      </c>
      <c r="EQ192" s="19" t="e">
        <f t="shared" si="636"/>
        <v>#N/A</v>
      </c>
      <c r="ER192" s="11" t="str">
        <f t="shared" si="527"/>
        <v/>
      </c>
      <c r="ES192" s="19" t="str">
        <f t="shared" si="528"/>
        <v/>
      </c>
      <c r="ET192" s="156" t="str">
        <f t="shared" si="606"/>
        <v/>
      </c>
      <c r="EU192" s="39" t="str">
        <f t="shared" si="637"/>
        <v/>
      </c>
      <c r="EV192" s="74" t="str">
        <f t="shared" si="607"/>
        <v/>
      </c>
      <c r="FA192" s="196"/>
      <c r="FB192" s="84" t="e">
        <f>IF(AND(Include_study?="Yes",Sufficient_data="Yes",Moderator&lt;&gt;""),'Moderator Analysis'!E192,NA())</f>
        <v>#N/A</v>
      </c>
      <c r="FC192" s="39" t="e">
        <f>IF(AND(Include_study?="Yes",Sufficient_data="Yes",Moderator&lt;&gt;""),'Moderator Analysis'!F192,NA())</f>
        <v>#N/A</v>
      </c>
      <c r="FD192" s="39" t="str">
        <f t="shared" si="608"/>
        <v/>
      </c>
      <c r="FE192" s="39" t="str">
        <f t="shared" si="609"/>
        <v/>
      </c>
      <c r="FF192" s="39" t="str">
        <f>IF(AND(Include_study?="Yes",Sufficient_data="Yes",Moderator&lt;&gt;""),'Moderator Analysis'!F:F-FP$2,"")</f>
        <v/>
      </c>
      <c r="FG192" s="39" t="str">
        <f>IF(AND(Include_study?="Yes",Sufficient_data="Yes",Moderator&lt;&gt;""),'Moderator Analysis'!E:E-FP$3,"")</f>
        <v/>
      </c>
      <c r="FH192" s="74" t="str">
        <f>IF(AND(Include_study?="Yes",Sufficient_data="Yes",Moderator&lt;&gt;""),FE:FE*('Moderator Analysis'!F:F-FP$5-FP$4*'Moderator Analysis'!E:E)^2,"")</f>
        <v/>
      </c>
      <c r="FI192" s="128"/>
      <c r="FJ192" s="92" t="str">
        <f t="shared" si="610"/>
        <v/>
      </c>
      <c r="FK192" s="137" t="str">
        <f>IF(AND(Include_study?="Yes",Sufficient_data="Yes",Moderator&lt;&gt;""),'Moderator Analysis'!F:F-'Moderator Analysis'!J$37,"")</f>
        <v/>
      </c>
      <c r="FL192" s="137" t="str">
        <f>IF(AND(Include_study?="Yes",Sufficient_data="Yes",Moderator&lt;&gt;""),'Moderator Analysis'!E:E-SUMPRODUCT('Moderator Analysis'!E:E,FJ:FJ)/SUM(FJ:FJ),"")</f>
        <v/>
      </c>
      <c r="FM192" s="95" t="str">
        <f>IF(AND(Include_study?="Yes",Sufficient_data="Yes",Moderator&lt;&gt;""),FJ:FJ*('Moderator Analysis'!F:F-'Moderator Analysis'!J$29-'Moderator Analysis'!J$30*'Moderator Analysis'!E:E)^2,"")</f>
        <v/>
      </c>
      <c r="FR192" s="196"/>
      <c r="FS192" s="182"/>
      <c r="FT192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2" s="39" t="str">
        <f>IF(AND(Include_study?="Yes",Sufficient_data="Yes"),1/('Publication Bias Analysis'!F:F^2+IF(Additional_model="Fixed effect",0,Calculations!GH$12)),"")</f>
        <v/>
      </c>
      <c r="FV192" s="39" t="str">
        <f>IF(AND(Include_study?="Yes",Sufficient_data="Yes"),1/('Publication Bias Analysis'!F:F^2+IF(Additional_model="Fixed effect",0,'Publication Bias Analysis'!L$32)),"")</f>
        <v/>
      </c>
      <c r="FW192" s="39" t="str">
        <f>IF(AND(Include_study?="Yes",Sufficient_data="Yes"),'Publication Bias Analysis'!E:E-'Publication Bias Analysis'!I$37,"")</f>
        <v/>
      </c>
      <c r="FX192" s="39" t="str">
        <f>IF(AND(Include_study?="Yes",Sufficient_data="Yes"),IF(Additional_model="Fixed effect",1/'Publication Bias Analysis'!F:F,1/SQRT('Publication Bias Analysis'!F:F^2+GH$12)),"")</f>
        <v/>
      </c>
      <c r="FY192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2" s="136" t="str">
        <f t="shared" si="611"/>
        <v/>
      </c>
      <c r="GA192" s="144" t="str">
        <f>IF(AND(Include_study?="Yes",Sufficient_data="Yes"),FZ:FZ+IF(GL:GL&lt;0,-1,1)*COUNTIF(FZ$2:FZ191,FZ:FZ),"")</f>
        <v/>
      </c>
      <c r="GB192" s="144" t="str">
        <f>IF(AND(Include_study?="Yes",Sufficient_data="Yes"),RANK(GP:GP,GP:GP,1)*IF(GO:GO&lt;0,-1,1)+IF(GO:GO&lt;0,-1,1)*COUNTIF(FZ$2:FZ191,FZ:FZ),"")</f>
        <v/>
      </c>
      <c r="GC192" s="144" t="str">
        <f>IF(AND(Include_study?="Yes",Sufficient_data="Yes"),RANK(GS:GS,GS:GS,1)*IF(GR:GR&lt;0,-1,1)+IF(GR:GR&lt;0,-1,1)*COUNTIF(FZ$2:FZ191,FZ:FZ),"")</f>
        <v/>
      </c>
      <c r="GD192" s="39" t="e">
        <f>IF(AND(Include_study?="Yes",Sufficient_data="Yes"),'Publication Bias Analysis'!E192,NA())</f>
        <v>#N/A</v>
      </c>
      <c r="GE192" s="74" t="e">
        <f>IF(AND(Include_study?="Yes",Sufficient_data="Yes"),'Publication Bias Analysis'!F192,NA())</f>
        <v>#N/A</v>
      </c>
      <c r="GK192" s="176"/>
      <c r="GL192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2" s="39" t="str">
        <f t="shared" si="612"/>
        <v/>
      </c>
      <c r="GN192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2" s="39" t="str">
        <f>IF(AND(Include_study?="Yes",Sufficient_data="Yes"),IF('Publication Bias Analysis'!L$38="Left",'Publication Bias Analysis'!E:E-GW$3,GW$3-'Publication Bias Analysis'!E:E),"")</f>
        <v/>
      </c>
      <c r="GP192" s="39" t="str">
        <f t="shared" si="529"/>
        <v/>
      </c>
      <c r="GQ192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2" s="39" t="str">
        <f>IF(AND(Include_study?="Yes",Sufficient_data="Yes"),IF('Publication Bias Analysis'!L$38="Left",'Publication Bias Analysis'!E:E-GW$10,GW$10-'Publication Bias Analysis'!E:E),"")</f>
        <v/>
      </c>
      <c r="GS192" s="39" t="str">
        <f t="shared" si="530"/>
        <v/>
      </c>
      <c r="GT192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2" s="176"/>
      <c r="HL192" s="69" t="str">
        <f t="shared" si="518"/>
        <v/>
      </c>
      <c r="HM192" s="74" t="str">
        <f>IF(AND(Include_study?="Yes",Sufficient_data="Yes"),Z_score-('Publication Bias Analysis'!P$3+'Publication Bias Analysis'!P$4*Inverse_standard_error),"")</f>
        <v/>
      </c>
      <c r="HO192" s="176"/>
      <c r="HP192" s="69" t="str">
        <f>IF(AND(Include_study?="Yes",Sufficient_data="Yes"),(GD:GD-SUMPRODUCT(Calculations!FT:FT,'Publication Bias Analysis'!E:E)/SUM(Calculations!FT:FT))/SQRT(Calculations!HQ:HQ),"")</f>
        <v/>
      </c>
      <c r="HQ192" s="69" t="str">
        <f>IF(AND(Include_study?="Yes",Sufficient_data="Yes"),GE:GE^2-1/SUM(Calculations!FT:FT),"")</f>
        <v/>
      </c>
      <c r="HR192" s="7" t="str">
        <f t="shared" si="638"/>
        <v/>
      </c>
      <c r="HS192" s="7" t="str">
        <f t="shared" si="639"/>
        <v/>
      </c>
      <c r="HT192" s="7" t="str">
        <f>IF(AND(Include_study?="Yes",Sufficient_data="Yes"),COUNTIFS(HR$2:HR191,"&lt;"&amp;HR192,HS$2:HS191,"&lt;"&amp;HS192)+COUNTIFS(HR193:HR$201,"&lt;"&amp;HR192,HS193:HS$201,"&lt;"&amp;HS192)+COUNTIFS(HR$2:HR191,"&gt;"&amp;HR192,HS$2:HS191,"&gt;"&amp;HS192)+COUNTIFS(HR193:HR$201,"&gt;"&amp;HR192,HS193:HS$201,"&gt;"&amp;HS192),"")</f>
        <v/>
      </c>
      <c r="HU192" s="104" t="str">
        <f>IF(AND(Include_study?="Yes",Sufficient_data="Yes"),COUNTIFS(HR$2:HR191,"&lt;"&amp;HR192,HS$2:HS191,"&gt;"&amp;HS192)+COUNTIFS(HR193:HR$201,"&lt;"&amp;HR192,HS193:HS$201,"&gt;"&amp;HS192)+COUNTIFS(HR$2:HR191,"&gt;"&amp;HR192,HS$2:HS191,"&lt;"&amp;HS192)+COUNTIFS(HR193:HR$201,"&gt;"&amp;HR192,HS193:HS$201,"&lt;"&amp;HS192),"")</f>
        <v/>
      </c>
      <c r="HW192" s="176"/>
      <c r="IB192" s="176"/>
      <c r="IC192" s="146" t="e">
        <f t="shared" si="613"/>
        <v>#N/A</v>
      </c>
      <c r="ID192" s="137" t="e">
        <f t="shared" si="614"/>
        <v>#N/A</v>
      </c>
      <c r="IE192" s="137" t="str">
        <f t="shared" si="615"/>
        <v/>
      </c>
      <c r="IF192" s="95" t="str">
        <f t="shared" si="616"/>
        <v/>
      </c>
      <c r="IK192" s="176"/>
      <c r="IL192" s="69" t="e">
        <f>IF(AND(Include_study?="Yes",Sufficient_data="Yes"),'Publication Bias Analysis'!AV:AV,NA())</f>
        <v>#N/A</v>
      </c>
      <c r="IM192" s="158" t="e">
        <f>IF(AND(Sufficient_data="Yes",Include_study?="Yes"),'Publication Bias Analysis'!AU:AU,NA())</f>
        <v>#N/A</v>
      </c>
      <c r="IN192" s="69" t="str">
        <f t="shared" si="617"/>
        <v/>
      </c>
      <c r="IO192" s="74" t="str">
        <f>IF(AND(Include_study?="Yes",Sufficient_data="Yes"),Z_score-('Publication Bias Analysis'!AY$30+'Publication Bias Analysis'!AY$31*Inverse_standard_error),"")</f>
        <v/>
      </c>
      <c r="IU192" s="176"/>
      <c r="IV192" s="7" t="str">
        <f>IF('Publication Bias Analysis'!BG:BG&lt;&gt;"",RANK('Publication Bias Analysis'!BG:BG,'Publication Bias Analysis'!BG:BG,1)+COUNTIF('Publication Bias Analysis'!BG$2:BG191,'Publication Bias Analysis'!BG192),"")</f>
        <v/>
      </c>
      <c r="IW192" s="124" t="str">
        <f t="shared" si="618"/>
        <v/>
      </c>
      <c r="IX192" s="125" t="e">
        <f>IF('Publication Bias Analysis'!BF192&lt;&gt;"",'Publication Bias Analysis'!BF192,NA())</f>
        <v>#N/A</v>
      </c>
      <c r="IY192" s="125" t="e">
        <f>IF('Publication Bias Analysis'!BG192&lt;&gt;"",'Publication Bias Analysis'!BG192,NA())</f>
        <v>#N/A</v>
      </c>
      <c r="IZ192" s="69" t="str">
        <f>IF(AND(Include_study?="Yes",Sufficient_data="Yes"),'Publication Bias Analysis'!BF:BF-AVERAGE('Publication Bias Analysis'!BF:BF),"")</f>
        <v/>
      </c>
      <c r="JA192" s="74" t="str">
        <f>IF(AND(Include_study?="Yes",Sufficient_data="Yes"),'Publication Bias Analysis'!BG:BG-('Publication Bias Analysis'!BJ$30+'Publication Bias Analysis'!BJ$31*'Publication Bias Analysis'!BF:BF),"")</f>
        <v/>
      </c>
      <c r="JG192" s="176"/>
      <c r="JH192" s="39" t="str">
        <f t="shared" si="619"/>
        <v/>
      </c>
      <c r="JI192" s="148" t="str">
        <f t="shared" si="531"/>
        <v/>
      </c>
      <c r="JJ192" s="74" t="str">
        <f t="shared" si="532"/>
        <v/>
      </c>
    </row>
    <row r="193" spans="1:270" x14ac:dyDescent="0.2">
      <c r="A193" s="56" t="str">
        <f t="shared" si="533"/>
        <v/>
      </c>
      <c r="B193" s="7" t="str">
        <f>IF(AND(Include_study?="Yes",Sufficient_data="Yes"),IF(Input!a_&lt;&gt;"",Input!a_,Input!n1_-Input!b_),"")</f>
        <v/>
      </c>
      <c r="C193" s="7" t="str">
        <f>IF(AND(Include_study?="Yes",Sufficient_data="Yes"),IF(Input!b_&lt;&gt;"",Input!b_,Input!n1_-Input!a_),"")</f>
        <v/>
      </c>
      <c r="D193" s="7" t="str">
        <f>IF(AND(Include_study?="Yes",Sufficient_data="Yes"),IF(Input!c_&lt;&gt;"",Input!c_,Input!n2_-Input!d_),"")</f>
        <v/>
      </c>
      <c r="E193" s="7" t="str">
        <f>IF(AND(Include_study?="Yes",Sufficient_data="Yes"),IF(Input!d_&lt;&gt;"",Input!d_,Input!n2_-Input!c_),"")</f>
        <v/>
      </c>
      <c r="F193" s="74" t="str">
        <f t="shared" si="534"/>
        <v/>
      </c>
      <c r="H193" s="196"/>
      <c r="I193" s="182"/>
      <c r="J193" s="146" t="str">
        <f t="shared" si="444"/>
        <v/>
      </c>
      <c r="K193" s="39" t="str">
        <f t="shared" si="535"/>
        <v/>
      </c>
      <c r="L193" s="39" t="str">
        <f t="shared" si="536"/>
        <v/>
      </c>
      <c r="M193" s="39" t="str">
        <f t="shared" si="537"/>
        <v/>
      </c>
      <c r="N193" s="74" t="str">
        <f t="shared" si="538"/>
        <v/>
      </c>
      <c r="P193" s="176"/>
      <c r="Q193" s="130" t="str">
        <f t="shared" si="539"/>
        <v/>
      </c>
      <c r="R193" s="39" t="str">
        <f t="shared" si="540"/>
        <v/>
      </c>
      <c r="S193" s="39" t="str">
        <f t="shared" si="541"/>
        <v/>
      </c>
      <c r="T193" s="74" t="str">
        <f t="shared" si="542"/>
        <v/>
      </c>
      <c r="V193" s="176"/>
      <c r="W193" s="130" t="str">
        <f t="shared" si="543"/>
        <v/>
      </c>
      <c r="X193" s="39" t="str">
        <f t="shared" si="544"/>
        <v/>
      </c>
      <c r="Y193" s="39" t="str">
        <f t="shared" si="545"/>
        <v/>
      </c>
      <c r="Z193" s="74" t="str">
        <f t="shared" si="546"/>
        <v/>
      </c>
      <c r="AB193" s="176"/>
      <c r="AC193" s="130" t="str">
        <f t="shared" si="547"/>
        <v/>
      </c>
      <c r="AD193" s="39" t="str">
        <f t="shared" si="548"/>
        <v/>
      </c>
      <c r="AE193" s="39" t="str">
        <f t="shared" si="549"/>
        <v/>
      </c>
      <c r="AF193" s="39" t="str">
        <f t="shared" si="550"/>
        <v/>
      </c>
      <c r="AG193" s="74" t="str">
        <f t="shared" si="551"/>
        <v/>
      </c>
      <c r="AI193" s="196"/>
      <c r="AJ193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3" s="136" t="str">
        <f>IF(AJ193&lt;&gt;"",IF(AJ193=0,COUNTIF(AJ$2:AJ192,0)+1,COUNTIF(AJ$2:AJ192,AJ193)+AJ193+COUNTIF(AJ:AJ,0)),"")</f>
        <v/>
      </c>
      <c r="AL193" s="136" t="str">
        <f t="shared" si="462"/>
        <v/>
      </c>
      <c r="AM193" s="155" t="str">
        <f>IF(AND(Include_study?="Yes",Sufficient_data="Yes",Input!Study_name&lt;&gt;""),Input!Study_name,"")</f>
        <v/>
      </c>
      <c r="AN193" s="136" t="str">
        <f t="shared" si="463"/>
        <v/>
      </c>
      <c r="AO193" s="19" t="str">
        <f t="shared" si="552"/>
        <v/>
      </c>
      <c r="AP193" s="158" t="str">
        <f t="shared" si="553"/>
        <v/>
      </c>
      <c r="AQ193" s="158" t="str">
        <f t="shared" si="554"/>
        <v/>
      </c>
      <c r="AR193" s="39" t="str">
        <f t="shared" si="555"/>
        <v/>
      </c>
      <c r="AS193" s="158" t="str">
        <f t="shared" si="556"/>
        <v/>
      </c>
      <c r="AT193" s="39" t="str">
        <f t="shared" si="557"/>
        <v/>
      </c>
      <c r="AU193" s="172" t="str">
        <f t="shared" si="558"/>
        <v/>
      </c>
      <c r="AV193" s="45"/>
      <c r="AW193" s="84" t="e">
        <f t="shared" si="559"/>
        <v>#N/A</v>
      </c>
      <c r="AX193" s="69" t="e">
        <f t="shared" si="560"/>
        <v>#N/A</v>
      </c>
      <c r="AY193" s="74" t="e">
        <f t="shared" si="561"/>
        <v>#N/A</v>
      </c>
      <c r="AZ193" s="45"/>
      <c r="BA193" s="45"/>
      <c r="BB193" s="45"/>
      <c r="BC193" s="45"/>
      <c r="BD193" s="196"/>
      <c r="BE193" s="182"/>
      <c r="BF193" s="69" t="str">
        <f t="shared" si="562"/>
        <v/>
      </c>
      <c r="BG193" s="69" t="str">
        <f t="shared" si="563"/>
        <v/>
      </c>
      <c r="BH193" s="69" t="str">
        <f t="shared" si="564"/>
        <v/>
      </c>
      <c r="BI193" s="39" t="str">
        <f t="shared" si="565"/>
        <v/>
      </c>
      <c r="BJ193" s="95" t="str">
        <f t="shared" si="566"/>
        <v/>
      </c>
      <c r="BO193" s="176"/>
      <c r="BP193" s="158" t="str">
        <f t="shared" si="567"/>
        <v/>
      </c>
      <c r="BQ193" s="158" t="str">
        <f t="shared" si="568"/>
        <v/>
      </c>
      <c r="BR193" s="158" t="str">
        <f t="shared" si="569"/>
        <v/>
      </c>
      <c r="BS193" s="158" t="str">
        <f>IF(AND(Sufficient_data="Yes",Include_study?="Yes"),IF(Add_0_5="Yes",(a_+d_+1)*(ab_+0.5)*(c_+0.5)/(Number_of_subjects+2)^2,(a_+d_)*b_*c_/Number_of_subjects^2),"")</f>
        <v/>
      </c>
      <c r="BT193" s="158" t="str">
        <f t="shared" si="570"/>
        <v/>
      </c>
      <c r="BU193" s="158" t="str">
        <f t="shared" si="571"/>
        <v/>
      </c>
      <c r="BV193" s="158" t="str">
        <f t="shared" si="572"/>
        <v/>
      </c>
      <c r="BW193" s="69" t="str">
        <f t="shared" si="573"/>
        <v/>
      </c>
      <c r="BX193" s="137" t="str">
        <f t="shared" si="574"/>
        <v/>
      </c>
      <c r="BY193" s="95" t="str">
        <f t="shared" si="575"/>
        <v/>
      </c>
      <c r="CD193" s="176"/>
      <c r="CE193" s="130" t="str">
        <f t="shared" si="576"/>
        <v/>
      </c>
      <c r="CF193" s="39" t="str">
        <f t="shared" si="577"/>
        <v/>
      </c>
      <c r="CG193" s="39" t="str">
        <f t="shared" si="578"/>
        <v/>
      </c>
      <c r="CH193" s="39" t="str">
        <f t="shared" si="579"/>
        <v/>
      </c>
      <c r="CI193" s="39" t="str">
        <f t="shared" si="580"/>
        <v/>
      </c>
      <c r="CJ193" s="39" t="str">
        <f t="shared" si="486"/>
        <v/>
      </c>
      <c r="CK193" s="95" t="str">
        <f t="shared" si="581"/>
        <v/>
      </c>
      <c r="CP193" s="176"/>
      <c r="CQ193" s="99" t="str">
        <f t="shared" si="582"/>
        <v/>
      </c>
      <c r="CX193" s="196"/>
      <c r="CY193" s="89" t="e">
        <f t="shared" si="583"/>
        <v>#N/A</v>
      </c>
      <c r="CZ193" s="136" t="str">
        <f t="shared" si="584"/>
        <v/>
      </c>
      <c r="DA193" s="140" t="str">
        <f t="shared" si="585"/>
        <v/>
      </c>
      <c r="DB193" s="39" t="str">
        <f t="shared" si="586"/>
        <v/>
      </c>
      <c r="DC193" s="39" t="str">
        <f t="shared" si="587"/>
        <v/>
      </c>
      <c r="DD193" s="39" t="str">
        <f t="shared" si="588"/>
        <v/>
      </c>
      <c r="DE193" s="39" t="str">
        <f t="shared" si="589"/>
        <v/>
      </c>
      <c r="DF193" s="141" t="str">
        <f t="shared" si="590"/>
        <v/>
      </c>
      <c r="DG193" s="39" t="str">
        <f t="shared" si="591"/>
        <v/>
      </c>
      <c r="DH193" s="39" t="str">
        <f t="shared" si="592"/>
        <v/>
      </c>
      <c r="DI193" s="39" t="str">
        <f t="shared" si="593"/>
        <v/>
      </c>
      <c r="DJ193" s="74" t="str">
        <f t="shared" si="594"/>
        <v/>
      </c>
      <c r="DK193" s="45"/>
      <c r="DL193" s="84" t="e">
        <f t="shared" si="620"/>
        <v>#N/A</v>
      </c>
      <c r="DM193" s="39" t="e">
        <f t="shared" si="595"/>
        <v>#N/A</v>
      </c>
      <c r="DN193" s="74" t="e">
        <f t="shared" si="596"/>
        <v>#N/A</v>
      </c>
      <c r="DO193" s="45"/>
      <c r="DP193" s="89" t="str">
        <f t="shared" si="525"/>
        <v/>
      </c>
      <c r="DQ193" s="26" t="str">
        <f>IF(AND(Sufficient_data="Yes",Subgroup&lt;&gt;""),IF(COUNTIFS(Input!J$2:J192,"="&amp;"Yes",Input!C$2:C192,"="&amp;"Yes",Input!K$2:K192,"="&amp;Subgroup)&gt;0,"",Subgroup),"")</f>
        <v/>
      </c>
      <c r="DR193" s="7" t="str">
        <f t="shared" si="526"/>
        <v/>
      </c>
      <c r="DS193" s="7" t="str">
        <f t="shared" si="597"/>
        <v/>
      </c>
      <c r="DT193" s="19" t="str">
        <f t="shared" si="598"/>
        <v/>
      </c>
      <c r="DU193" s="12" t="str">
        <f t="shared" si="621"/>
        <v/>
      </c>
      <c r="DV193" s="11" t="str">
        <f t="shared" si="622"/>
        <v/>
      </c>
      <c r="DW193" s="12" t="str">
        <f t="shared" si="623"/>
        <v/>
      </c>
      <c r="DX193" s="12" t="str">
        <f t="shared" si="599"/>
        <v/>
      </c>
      <c r="DY193" s="19" t="str">
        <f t="shared" si="624"/>
        <v/>
      </c>
      <c r="DZ193" s="12" t="str">
        <f t="shared" si="625"/>
        <v/>
      </c>
      <c r="EA193" s="19" t="str">
        <f t="shared" si="600"/>
        <v/>
      </c>
      <c r="EB193" s="7" t="str">
        <f t="shared" si="601"/>
        <v/>
      </c>
      <c r="EC193" s="19" t="str">
        <f t="shared" si="602"/>
        <v/>
      </c>
      <c r="ED193" s="19" t="str">
        <f t="shared" si="603"/>
        <v/>
      </c>
      <c r="EE193" s="19" t="str">
        <f t="shared" si="626"/>
        <v/>
      </c>
      <c r="EF193" s="19" t="str">
        <f t="shared" si="627"/>
        <v/>
      </c>
      <c r="EG193" s="19" t="str">
        <f t="shared" si="628"/>
        <v/>
      </c>
      <c r="EH193" s="19" t="str">
        <f t="shared" si="629"/>
        <v/>
      </c>
      <c r="EI193" s="19" t="str">
        <f t="shared" si="630"/>
        <v/>
      </c>
      <c r="EJ193" s="19" t="str">
        <f t="shared" si="604"/>
        <v/>
      </c>
      <c r="EK193" s="19" t="str">
        <f t="shared" si="605"/>
        <v/>
      </c>
      <c r="EL193" s="19" t="str">
        <f t="shared" si="631"/>
        <v/>
      </c>
      <c r="EM193" s="19" t="str">
        <f t="shared" si="632"/>
        <v/>
      </c>
      <c r="EN193" s="19" t="str">
        <f t="shared" si="633"/>
        <v/>
      </c>
      <c r="EO193" s="19" t="str">
        <f t="shared" si="634"/>
        <v/>
      </c>
      <c r="EP193" s="19" t="str">
        <f t="shared" si="635"/>
        <v/>
      </c>
      <c r="EQ193" s="19" t="e">
        <f t="shared" si="636"/>
        <v>#N/A</v>
      </c>
      <c r="ER193" s="11" t="str">
        <f t="shared" si="527"/>
        <v/>
      </c>
      <c r="ES193" s="19" t="str">
        <f t="shared" si="528"/>
        <v/>
      </c>
      <c r="ET193" s="156" t="str">
        <f t="shared" si="606"/>
        <v/>
      </c>
      <c r="EU193" s="39" t="str">
        <f t="shared" si="637"/>
        <v/>
      </c>
      <c r="EV193" s="74" t="str">
        <f t="shared" si="607"/>
        <v/>
      </c>
      <c r="FA193" s="196"/>
      <c r="FB193" s="84" t="e">
        <f>IF(AND(Include_study?="Yes",Sufficient_data="Yes",Moderator&lt;&gt;""),'Moderator Analysis'!E193,NA())</f>
        <v>#N/A</v>
      </c>
      <c r="FC193" s="39" t="e">
        <f>IF(AND(Include_study?="Yes",Sufficient_data="Yes",Moderator&lt;&gt;""),'Moderator Analysis'!F193,NA())</f>
        <v>#N/A</v>
      </c>
      <c r="FD193" s="39" t="str">
        <f t="shared" si="608"/>
        <v/>
      </c>
      <c r="FE193" s="39" t="str">
        <f t="shared" si="609"/>
        <v/>
      </c>
      <c r="FF193" s="39" t="str">
        <f>IF(AND(Include_study?="Yes",Sufficient_data="Yes",Moderator&lt;&gt;""),'Moderator Analysis'!F:F-FP$2,"")</f>
        <v/>
      </c>
      <c r="FG193" s="39" t="str">
        <f>IF(AND(Include_study?="Yes",Sufficient_data="Yes",Moderator&lt;&gt;""),'Moderator Analysis'!E:E-FP$3,"")</f>
        <v/>
      </c>
      <c r="FH193" s="74" t="str">
        <f>IF(AND(Include_study?="Yes",Sufficient_data="Yes",Moderator&lt;&gt;""),FE:FE*('Moderator Analysis'!F:F-FP$5-FP$4*'Moderator Analysis'!E:E)^2,"")</f>
        <v/>
      </c>
      <c r="FI193" s="128"/>
      <c r="FJ193" s="92" t="str">
        <f t="shared" si="610"/>
        <v/>
      </c>
      <c r="FK193" s="137" t="str">
        <f>IF(AND(Include_study?="Yes",Sufficient_data="Yes",Moderator&lt;&gt;""),'Moderator Analysis'!F:F-'Moderator Analysis'!J$37,"")</f>
        <v/>
      </c>
      <c r="FL193" s="137" t="str">
        <f>IF(AND(Include_study?="Yes",Sufficient_data="Yes",Moderator&lt;&gt;""),'Moderator Analysis'!E:E-SUMPRODUCT('Moderator Analysis'!E:E,FJ:FJ)/SUM(FJ:FJ),"")</f>
        <v/>
      </c>
      <c r="FM193" s="95" t="str">
        <f>IF(AND(Include_study?="Yes",Sufficient_data="Yes",Moderator&lt;&gt;""),FJ:FJ*('Moderator Analysis'!F:F-'Moderator Analysis'!J$29-'Moderator Analysis'!J$30*'Moderator Analysis'!E:E)^2,"")</f>
        <v/>
      </c>
      <c r="FR193" s="196"/>
      <c r="FS193" s="182"/>
      <c r="FT193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3" s="39" t="str">
        <f>IF(AND(Include_study?="Yes",Sufficient_data="Yes"),1/('Publication Bias Analysis'!F:F^2+IF(Additional_model="Fixed effect",0,Calculations!GH$12)),"")</f>
        <v/>
      </c>
      <c r="FV193" s="39" t="str">
        <f>IF(AND(Include_study?="Yes",Sufficient_data="Yes"),1/('Publication Bias Analysis'!F:F^2+IF(Additional_model="Fixed effect",0,'Publication Bias Analysis'!L$32)),"")</f>
        <v/>
      </c>
      <c r="FW193" s="39" t="str">
        <f>IF(AND(Include_study?="Yes",Sufficient_data="Yes"),'Publication Bias Analysis'!E:E-'Publication Bias Analysis'!I$37,"")</f>
        <v/>
      </c>
      <c r="FX193" s="39" t="str">
        <f>IF(AND(Include_study?="Yes",Sufficient_data="Yes"),IF(Additional_model="Fixed effect",1/'Publication Bias Analysis'!F:F,1/SQRT('Publication Bias Analysis'!F:F^2+GH$12)),"")</f>
        <v/>
      </c>
      <c r="FY193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3" s="136" t="str">
        <f t="shared" si="611"/>
        <v/>
      </c>
      <c r="GA193" s="144" t="str">
        <f>IF(AND(Include_study?="Yes",Sufficient_data="Yes"),FZ:FZ+IF(GL:GL&lt;0,-1,1)*COUNTIF(FZ$2:FZ192,FZ:FZ),"")</f>
        <v/>
      </c>
      <c r="GB193" s="144" t="str">
        <f>IF(AND(Include_study?="Yes",Sufficient_data="Yes"),RANK(GP:GP,GP:GP,1)*IF(GO:GO&lt;0,-1,1)+IF(GO:GO&lt;0,-1,1)*COUNTIF(FZ$2:FZ192,FZ:FZ),"")</f>
        <v/>
      </c>
      <c r="GC193" s="144" t="str">
        <f>IF(AND(Include_study?="Yes",Sufficient_data="Yes"),RANK(GS:GS,GS:GS,1)*IF(GR:GR&lt;0,-1,1)+IF(GR:GR&lt;0,-1,1)*COUNTIF(FZ$2:FZ192,FZ:FZ),"")</f>
        <v/>
      </c>
      <c r="GD193" s="39" t="e">
        <f>IF(AND(Include_study?="Yes",Sufficient_data="Yes"),'Publication Bias Analysis'!E193,NA())</f>
        <v>#N/A</v>
      </c>
      <c r="GE193" s="74" t="e">
        <f>IF(AND(Include_study?="Yes",Sufficient_data="Yes"),'Publication Bias Analysis'!F193,NA())</f>
        <v>#N/A</v>
      </c>
      <c r="GK193" s="176"/>
      <c r="GL193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3" s="39" t="str">
        <f t="shared" si="612"/>
        <v/>
      </c>
      <c r="GN193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3" s="39" t="str">
        <f>IF(AND(Include_study?="Yes",Sufficient_data="Yes"),IF('Publication Bias Analysis'!L$38="Left",'Publication Bias Analysis'!E:E-GW$3,GW$3-'Publication Bias Analysis'!E:E),"")</f>
        <v/>
      </c>
      <c r="GP193" s="39" t="str">
        <f t="shared" si="529"/>
        <v/>
      </c>
      <c r="GQ193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3" s="39" t="str">
        <f>IF(AND(Include_study?="Yes",Sufficient_data="Yes"),IF('Publication Bias Analysis'!L$38="Left",'Publication Bias Analysis'!E:E-GW$10,GW$10-'Publication Bias Analysis'!E:E),"")</f>
        <v/>
      </c>
      <c r="GS193" s="39" t="str">
        <f t="shared" si="530"/>
        <v/>
      </c>
      <c r="GT193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3" s="176"/>
      <c r="HL193" s="69" t="str">
        <f t="shared" si="518"/>
        <v/>
      </c>
      <c r="HM193" s="74" t="str">
        <f>IF(AND(Include_study?="Yes",Sufficient_data="Yes"),Z_score-('Publication Bias Analysis'!P$3+'Publication Bias Analysis'!P$4*Inverse_standard_error),"")</f>
        <v/>
      </c>
      <c r="HO193" s="176"/>
      <c r="HP193" s="69" t="str">
        <f>IF(AND(Include_study?="Yes",Sufficient_data="Yes"),(GD:GD-SUMPRODUCT(Calculations!FT:FT,'Publication Bias Analysis'!E:E)/SUM(Calculations!FT:FT))/SQRT(Calculations!HQ:HQ),"")</f>
        <v/>
      </c>
      <c r="HQ193" s="69" t="str">
        <f>IF(AND(Include_study?="Yes",Sufficient_data="Yes"),GE:GE^2-1/SUM(Calculations!FT:FT),"")</f>
        <v/>
      </c>
      <c r="HR193" s="7" t="str">
        <f t="shared" si="638"/>
        <v/>
      </c>
      <c r="HS193" s="7" t="str">
        <f t="shared" si="639"/>
        <v/>
      </c>
      <c r="HT193" s="7" t="str">
        <f>IF(AND(Include_study?="Yes",Sufficient_data="Yes"),COUNTIFS(HR$2:HR192,"&lt;"&amp;HR193,HS$2:HS192,"&lt;"&amp;HS193)+COUNTIFS(HR194:HR$201,"&lt;"&amp;HR193,HS194:HS$201,"&lt;"&amp;HS193)+COUNTIFS(HR$2:HR192,"&gt;"&amp;HR193,HS$2:HS192,"&gt;"&amp;HS193)+COUNTIFS(HR194:HR$201,"&gt;"&amp;HR193,HS194:HS$201,"&gt;"&amp;HS193),"")</f>
        <v/>
      </c>
      <c r="HU193" s="104" t="str">
        <f>IF(AND(Include_study?="Yes",Sufficient_data="Yes"),COUNTIFS(HR$2:HR192,"&lt;"&amp;HR193,HS$2:HS192,"&gt;"&amp;HS193)+COUNTIFS(HR194:HR$201,"&lt;"&amp;HR193,HS194:HS$201,"&gt;"&amp;HS193)+COUNTIFS(HR$2:HR192,"&gt;"&amp;HR193,HS$2:HS192,"&lt;"&amp;HS193)+COUNTIFS(HR194:HR$201,"&gt;"&amp;HR193,HS194:HS$201,"&lt;"&amp;HS193),"")</f>
        <v/>
      </c>
      <c r="HW193" s="176"/>
      <c r="IB193" s="176"/>
      <c r="IC193" s="146" t="e">
        <f t="shared" si="613"/>
        <v>#N/A</v>
      </c>
      <c r="ID193" s="137" t="e">
        <f t="shared" si="614"/>
        <v>#N/A</v>
      </c>
      <c r="IE193" s="137" t="str">
        <f t="shared" si="615"/>
        <v/>
      </c>
      <c r="IF193" s="95" t="str">
        <f t="shared" si="616"/>
        <v/>
      </c>
      <c r="IK193" s="176"/>
      <c r="IL193" s="69" t="e">
        <f>IF(AND(Include_study?="Yes",Sufficient_data="Yes"),'Publication Bias Analysis'!AV:AV,NA())</f>
        <v>#N/A</v>
      </c>
      <c r="IM193" s="158" t="e">
        <f>IF(AND(Sufficient_data="Yes",Include_study?="Yes"),'Publication Bias Analysis'!AU:AU,NA())</f>
        <v>#N/A</v>
      </c>
      <c r="IN193" s="69" t="str">
        <f t="shared" si="617"/>
        <v/>
      </c>
      <c r="IO193" s="74" t="str">
        <f>IF(AND(Include_study?="Yes",Sufficient_data="Yes"),Z_score-('Publication Bias Analysis'!AY$30+'Publication Bias Analysis'!AY$31*Inverse_standard_error),"")</f>
        <v/>
      </c>
      <c r="IU193" s="176"/>
      <c r="IV193" s="7" t="str">
        <f>IF('Publication Bias Analysis'!BG:BG&lt;&gt;"",RANK('Publication Bias Analysis'!BG:BG,'Publication Bias Analysis'!BG:BG,1)+COUNTIF('Publication Bias Analysis'!BG$2:BG192,'Publication Bias Analysis'!BG193),"")</f>
        <v/>
      </c>
      <c r="IW193" s="124" t="str">
        <f t="shared" si="618"/>
        <v/>
      </c>
      <c r="IX193" s="125" t="e">
        <f>IF('Publication Bias Analysis'!BF193&lt;&gt;"",'Publication Bias Analysis'!BF193,NA())</f>
        <v>#N/A</v>
      </c>
      <c r="IY193" s="125" t="e">
        <f>IF('Publication Bias Analysis'!BG193&lt;&gt;"",'Publication Bias Analysis'!BG193,NA())</f>
        <v>#N/A</v>
      </c>
      <c r="IZ193" s="69" t="str">
        <f>IF(AND(Include_study?="Yes",Sufficient_data="Yes"),'Publication Bias Analysis'!BF:BF-AVERAGE('Publication Bias Analysis'!BF:BF),"")</f>
        <v/>
      </c>
      <c r="JA193" s="74" t="str">
        <f>IF(AND(Include_study?="Yes",Sufficient_data="Yes"),'Publication Bias Analysis'!BG:BG-('Publication Bias Analysis'!BJ$30+'Publication Bias Analysis'!BJ$31*'Publication Bias Analysis'!BF:BF),"")</f>
        <v/>
      </c>
      <c r="JG193" s="176"/>
      <c r="JH193" s="39" t="str">
        <f t="shared" si="619"/>
        <v/>
      </c>
      <c r="JI193" s="148" t="str">
        <f t="shared" si="531"/>
        <v/>
      </c>
      <c r="JJ193" s="74" t="str">
        <f t="shared" si="532"/>
        <v/>
      </c>
    </row>
    <row r="194" spans="1:270" x14ac:dyDescent="0.2">
      <c r="A194" s="56" t="str">
        <f t="shared" si="533"/>
        <v/>
      </c>
      <c r="B194" s="7" t="str">
        <f>IF(AND(Include_study?="Yes",Sufficient_data="Yes"),IF(Input!a_&lt;&gt;"",Input!a_,Input!n1_-Input!b_),"")</f>
        <v/>
      </c>
      <c r="C194" s="7" t="str">
        <f>IF(AND(Include_study?="Yes",Sufficient_data="Yes"),IF(Input!b_&lt;&gt;"",Input!b_,Input!n1_-Input!a_),"")</f>
        <v/>
      </c>
      <c r="D194" s="7" t="str">
        <f>IF(AND(Include_study?="Yes",Sufficient_data="Yes"),IF(Input!c_&lt;&gt;"",Input!c_,Input!n2_-Input!d_),"")</f>
        <v/>
      </c>
      <c r="E194" s="7" t="str">
        <f>IF(AND(Include_study?="Yes",Sufficient_data="Yes"),IF(Input!d_&lt;&gt;"",Input!d_,Input!n2_-Input!c_),"")</f>
        <v/>
      </c>
      <c r="F194" s="74" t="str">
        <f t="shared" ref="F194:F201" si="640">IF(AND(Include_study?="Yes",Sufficient_data="Yes"),IF(OR(a_=0,b_=0,c_=0,d_=0),"Yes","No"),"")</f>
        <v/>
      </c>
      <c r="H194" s="196"/>
      <c r="I194" s="182"/>
      <c r="J194" s="146" t="str">
        <f t="shared" ref="J194:J201" si="641">IF(AND(Include_study?="Yes",Sufficient_data="Yes"),IF(Add_0_5="Yes",((a_+0.5)*(d_+0.5))/((b_+0.5)*(c_+0.5)),(a_*d_)/(b_*c_)),"")</f>
        <v/>
      </c>
      <c r="K194" s="39" t="str">
        <f t="shared" ref="K194:K201" si="642">IF(AND(Include_study?="Yes",Sufficient_data="Yes"),LN(OddsRatio),"")</f>
        <v/>
      </c>
      <c r="L194" s="39" t="str">
        <f t="shared" ref="L194:L201" si="643">IF(AND(Include_study?="Yes",Sufficient_data="Yes"),SQRT(IF(Add_0_5="Yes",1/(a_+0.5)+1/(b_+0.5)+1/(c_+0.5)+1/(d_+0.5),1/a_+1/b_+1/c_+1/d_)),"")</f>
        <v/>
      </c>
      <c r="M194" s="39" t="str">
        <f t="shared" ref="M194:M201" si="644">IF(AND(Include_study?="Yes",Sufficient_data="Yes"),EXP(LogOddsRatio-ABS(TINV((1-Confidence_level),Number_of_subjects-2))*SELogOddsRatio),"")</f>
        <v/>
      </c>
      <c r="N194" s="74" t="str">
        <f t="shared" ref="N194:N201" si="645">IF(AND(Include_study?="Yes",Sufficient_data="Yes"),EXP(LogOddsRatio+ABS(TINV((1-Confidence_level),Number_of_subjects-2))*SELogOddsRatio),"")</f>
        <v/>
      </c>
      <c r="P194" s="176"/>
      <c r="Q194" s="130" t="str">
        <f t="shared" ref="Q194:Q201" si="646">IF(AND(Include_study?="Yes",Sufficient_data="Yes"),EXP(LogPetoOddsRatio),"")</f>
        <v/>
      </c>
      <c r="R194" s="39" t="str">
        <f t="shared" ref="R194:R201" si="647">IF(AND(Include_study?="Yes",Sufficient_data="Yes"),SQRT(VarLogPetoOddsRatio),"")</f>
        <v/>
      </c>
      <c r="S194" s="39" t="str">
        <f t="shared" ref="S194:S201" si="648">IF(AND(Include_study?="Yes",Sufficient_data="Yes"),EXP(LogPetoOddsRatio-ABS(TINV((1-Confidence_level),Number_of_subjects-2))*SELogPetoOddsRatio),"")</f>
        <v/>
      </c>
      <c r="T194" s="74" t="str">
        <f t="shared" ref="T194:T201" si="649">IF(AND(Include_study?="Yes",Sufficient_data="Yes"),EXP(LogPetoOddsRatio+ABS(TINV((1-Confidence_level),Number_of_subjects-2))*SELogPetoOddsRatio),"")</f>
        <v/>
      </c>
      <c r="V194" s="176"/>
      <c r="W194" s="130" t="str">
        <f t="shared" ref="W194:W201" si="650">IF(AND(Include_study?="Yes",Sufficient_data="Yes"),a_/(a_+b_)-c_/(c_+d_),"")</f>
        <v/>
      </c>
      <c r="X194" s="39" t="str">
        <f t="shared" ref="X194:X201" si="651">IF(AND(Include_study?="Yes",Sufficient_data="Yes"),SQRT(a_*b_/(a_+b_)^3+c_*d_/(c_+d_)^3),"")</f>
        <v/>
      </c>
      <c r="Y194" s="39" t="str">
        <f t="shared" ref="Y194:Y201" si="652">IF(AND(Include_study?="Yes",Sufficient_data="Yes"),Risk_Difference-SERiskDifference*ABS(TINV((1-Confidence_level),Number_of_subjects-2)),"")</f>
        <v/>
      </c>
      <c r="Z194" s="74" t="str">
        <f t="shared" ref="Z194:Z201" si="653">IF(AND(Include_study?="Yes",Sufficient_data="Yes"),Risk_Difference+SERiskDifference*ABS(TINV((1-Confidence_level),Number_of_subjects-2)),"")</f>
        <v/>
      </c>
      <c r="AB194" s="176"/>
      <c r="AC194" s="130" t="str">
        <f t="shared" ref="AC194:AC201" si="654">IF(AND(Include_study?="Yes",Sufficient_data="Yes"),IF(Add_0_5="Yes",((a_+0.5)/(a_+0.5+b_+0.5))/((c_+0.5)/(c_+0.5+d_+0.5)),(a_/(a_+b_))/(c_/(c_+d_))),"")</f>
        <v/>
      </c>
      <c r="AD194" s="39" t="str">
        <f t="shared" ref="AD194:AD201" si="655">IF(AND(Include_study?="Yes",Sufficient_data="Yes"),LN(Risk_Ratio),"")</f>
        <v/>
      </c>
      <c r="AE194" s="39" t="str">
        <f t="shared" ref="AE194:AE201" si="656">IF(AND(Include_study?="Yes",Sufficient_data="Yes"),IF(Add_0_5="Yes",SQRT(1/(a_+0.5)-1/(a_+0.5+b_+0.5)+1/(c_+0.5)-1/(c_+0.5+d_+0.5)),SQRT(1/a_-1/(a_+b_)+1/c_-1/(c_+d_))),"")</f>
        <v/>
      </c>
      <c r="AF194" s="39" t="str">
        <f t="shared" ref="AF194:AF201" si="657">IF(AND(Include_study?="Yes",Sufficient_data="Yes"),EXP(LN(Risk_Ratio)-ABS(TINV((1-Confidence_level),Number_of_subjects-2))*SELogRiskRatio),"")</f>
        <v/>
      </c>
      <c r="AG194" s="74" t="str">
        <f t="shared" ref="AG194:AG201" si="658">IF(AND(Include_study?="Yes",Sufficient_data="Yes"),EXP(LN(Risk_Ratio)+ABS(TINV((1-Confidence_level),Number_of_subjects-2))*SELogRiskRatio),"")</f>
        <v/>
      </c>
      <c r="AI194" s="196"/>
      <c r="AJ194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4" s="136" t="str">
        <f>IF(AJ194&lt;&gt;"",IF(AJ194=0,COUNTIF(AJ$2:AJ193,0)+1,COUNTIF(AJ$2:AJ193,AJ194)+AJ194+COUNTIF(AJ:AJ,0)),"")</f>
        <v/>
      </c>
      <c r="AL194" s="136" t="str">
        <f t="shared" ref="AL194:AL201" si="659">Entry_number</f>
        <v/>
      </c>
      <c r="AM194" s="155" t="str">
        <f>IF(AND(Include_study?="Yes",Sufficient_data="Yes",Input!Study_name&lt;&gt;""),Input!Study_name,"")</f>
        <v/>
      </c>
      <c r="AN194" s="136" t="str">
        <f t="shared" ref="AN194:AN201" si="660">IF(AND(Sufficient_data="Yes",Include_study?="Yes"),(a_+b_+c_+d_),"")</f>
        <v/>
      </c>
      <c r="AO194" s="19" t="str">
        <f t="shared" ref="AO194:AO201" si="661">IF(AND(Include_study?="Yes",Sufficient_data="Yes"),IF(Present_Effect_size_measure="Risk difference",Risk_Difference,IF(Present_Effect_size_measure="Risk ratio",Risk_Ratio,IF(Present_Effect_size_measure="Odds Ratio",OddsRatio,IF(Present_Effect_size_measure="Peto Odds Ratio",PetoOddsRatio,"")))),"")</f>
        <v/>
      </c>
      <c r="AP194" s="158" t="str">
        <f t="shared" ref="AP194:AP201" si="662">IF(AND(Include_study?="Yes",Sufficient_data="Yes"),IF(Weighting_method="Inverse variance",Weightf,IF(Weighting_method="Mantel-Haenszel",Weightf_MH,Weightf_Peto)),"")</f>
        <v/>
      </c>
      <c r="AQ194" s="158" t="str">
        <f t="shared" ref="AQ194:AQ201" si="663">IF(AND(Include_study?="Yes",Sufficient_data="Yes"),IF(Weighting_method="Inverse variance",Weight,IF(Weighting_method="Mantel-Haenszel",Weight_MH,Weight_Peto)),"")</f>
        <v/>
      </c>
      <c r="AR194" s="39" t="str">
        <f t="shared" ref="AR194:AR201" si="664">IF(AND(Include_study?="Yes",Sufficient_data="Yes"),IF(Present_Effect_size_measure="Risk difference",SERiskDifference,IF(Present_Effect_size_measure="Risk ratio",SELogRiskRatio,IF(Present_Effect_size_measure="Odds Ratio",SELogOddsRatio,IF(Present_Effect_size_measure="Peto Odds Ratio",SELogPetoOddsRatio)))),"")</f>
        <v/>
      </c>
      <c r="AS194" s="158" t="str">
        <f t="shared" ref="AS194:AS201" si="665">IF(AND(Include_study?="Yes",Sufficient_data="Yes"),IF(Present_Effect_size_measure="Risk difference",CI_LLRiskDifference,IF(Present_Effect_size_measure="Risk ratio",CI_LLRiskRatio,CI_LLOddsRatio)),"")</f>
        <v/>
      </c>
      <c r="AT194" s="39" t="str">
        <f t="shared" ref="AT194:AT201" si="666">IF(AND(Include_study?="Yes",Sufficient_data="Yes"),IF(Present_Effect_size_measure="Risk difference",CI_ULRiskDifference,IF(Present_Effect_size_measure="Risk ratio",CI_ULRiskRatio,CI_ULOddsRatio)),"")</f>
        <v/>
      </c>
      <c r="AU194" s="172" t="str">
        <f t="shared" ref="AU194:AU201" si="667">IF(AND(Include_study?="Yes",Sufficient_data="Yes",Valid_options="Yes"),IF(Meta_analysis_model="Fixed effect model",Weightf_lookup/SUM(Weightf_lookup),Weightr_lookup/SUM(Weightr_lookup)),"")</f>
        <v/>
      </c>
      <c r="AV194" s="45"/>
      <c r="AW194" s="84" t="e">
        <f t="shared" si="559"/>
        <v>#N/A</v>
      </c>
      <c r="AX194" s="69" t="e">
        <f t="shared" ref="AX194:AX201" si="668">IF(Effect_size_lookup&lt;&gt;"",Effect_size_lookup-AS194,NA())</f>
        <v>#N/A</v>
      </c>
      <c r="AY194" s="74" t="e">
        <f t="shared" ref="AY194:AY201" si="669">IF(Effect_size_lookup&lt;&gt;"",AT194-Effect_size_lookup,NA())</f>
        <v>#N/A</v>
      </c>
      <c r="AZ194" s="45"/>
      <c r="BA194" s="45"/>
      <c r="BB194" s="45"/>
      <c r="BC194" s="45"/>
      <c r="BD194" s="196"/>
      <c r="BE194" s="182"/>
      <c r="BF194" s="69" t="str">
        <f t="shared" si="562"/>
        <v/>
      </c>
      <c r="BG194" s="69" t="str">
        <f t="shared" si="563"/>
        <v/>
      </c>
      <c r="BH194" s="69" t="str">
        <f t="shared" si="564"/>
        <v/>
      </c>
      <c r="BI194" s="39" t="str">
        <f t="shared" si="565"/>
        <v/>
      </c>
      <c r="BJ194" s="95" t="str">
        <f t="shared" ref="BJ194:BJ201" si="670">IF(Weightf&lt;&gt;"",Model_Effect_size-IF(OR(Model_effect_size_measure="Odds Ratio",Model_effect_size_measure="Risk Ratio",Model_effect_size_measure="Peto Odds Ratio"),lnCES_IV,CES_IV),"")</f>
        <v/>
      </c>
      <c r="BO194" s="176"/>
      <c r="BP194" s="158" t="str">
        <f t="shared" ref="BP194:BP201" si="671">IF(AND(Sufficient_data="Yes",Include_study?="Yes"),IF(Add_0_5="Yes",(a_+0.5)*(d_+0.5)/(Number_of_subjects+2),a_*d_/Number_of_subjects),"")</f>
        <v/>
      </c>
      <c r="BQ194" s="158" t="str">
        <f t="shared" ref="BQ194:BQ201" si="672">IF(AND(Sufficient_data="Yes",Include_study?="Yes"),IF(Add_0_5="Yes",(b_+0.5)*(c_+0.5)/(Number_of_subjects+2),b_*c_/Number_of_subjects),"")</f>
        <v/>
      </c>
      <c r="BR194" s="158" t="str">
        <f t="shared" ref="BR194:BR201" si="673">IF(AND(Sufficient_data="Yes",Include_study?="Yes"),IF(Add_0_5="Yes",(a_+d_+1)*(a_+0.5)*(d_+0.5)/(Number_of_subjects+2)^2,(a_+d_)*a_*d_/Number_of_subjects^2),"")</f>
        <v/>
      </c>
      <c r="BS194" s="158" t="str">
        <f>IF(AND(Sufficient_data="Yes",Include_study?="Yes"),IF(Add_0_5="Yes",(a_+d_+1)*(ab_+0.5)*(c_+0.5)/(Number_of_subjects+2)^2,(a_+d_)*b_*c_/Number_of_subjects^2),"")</f>
        <v/>
      </c>
      <c r="BT194" s="158" t="str">
        <f t="shared" ref="BT194:BT201" si="674">IF(AND(Sufficient_data="Yes",Include_study?="Yes"),IF(Add_0_5="Yes",(b_+c_+1)*(a_+0.5)*(d_+0.5)/(Number_of_subjects+2)^2,(b_+c_)*a_*d_/Number_of_subjects^2),"")</f>
        <v/>
      </c>
      <c r="BU194" s="158" t="str">
        <f t="shared" ref="BU194:BU201" si="675">IF(AND(Sufficient_data="Yes",Include_study?="Yes"),IF(Add_0_5="Yes",(b_+c_+1)*(b_+0.5)*(c_+0.5)/(Number_of_subjects+2)^2,(b_+c_)*b_*c_/Number_of_subjects^2),"")</f>
        <v/>
      </c>
      <c r="BV194" s="158" t="str">
        <f t="shared" ref="BV194:BV201" si="676">IF(AND(Sufficient_data="Yes",Include_study?="Yes"),IF(Add_0_5="Yes",(b_+0.5)*(c_+0.5)/(Number_of_subjects+2),b_*c_/Number_of_subjects),"")</f>
        <v/>
      </c>
      <c r="BW194" s="69" t="str">
        <f t="shared" si="573"/>
        <v/>
      </c>
      <c r="BX194" s="137" t="str">
        <f t="shared" si="574"/>
        <v/>
      </c>
      <c r="BY194" s="95" t="str">
        <f t="shared" ref="BY194:BY201" si="677">IF(Weithf_MH&lt;&gt;"",LogOddsRatio-lnCES_OddsRatio_MH,"")</f>
        <v/>
      </c>
      <c r="CD194" s="176"/>
      <c r="CE194" s="130" t="str">
        <f t="shared" ref="CE194:CE201" si="678">IF(AND(Include_study?="Yes",Sufficient_data="Yes"),((a_+b_)*(a_+c_))/(Number_of_subjects),"")</f>
        <v/>
      </c>
      <c r="CF194" s="39" t="str">
        <f t="shared" ref="CF194:CF201" si="679">IF(AND(Include_study?="Yes",Sufficient_data="Yes"),((a_+b_)*(c_+d_)*(a_+c_)*(b_+d_))/((Number_of_subjects)^2*(Number_of_subjects-1)),"")</f>
        <v/>
      </c>
      <c r="CG194" s="39" t="str">
        <f t="shared" ref="CG194:CG201" si="680">IF(AND(Include_study?="Yes",Sufficient_data="Yes"),(a_-Expected)/VarExpected,"")</f>
        <v/>
      </c>
      <c r="CH194" s="39" t="str">
        <f t="shared" ref="CH194:CH201" si="681">IF(AND(Include_study?="Yes",Sufficient_data="Yes"),1/VarExpected,"")</f>
        <v/>
      </c>
      <c r="CI194" s="39" t="str">
        <f t="shared" ref="CI194:CI201" si="682">IF(AND(Sufficient_data="Yes",Include_study?="Yes"),VarExpected,"")</f>
        <v/>
      </c>
      <c r="CJ194" s="39" t="str">
        <f t="shared" ref="CJ194:CJ201" si="683">IF(Weightf_Peto&lt;&gt;"",1/(VarLogPetoOddsRatio+T2_Peto),"")</f>
        <v/>
      </c>
      <c r="CK194" s="95" t="str">
        <f t="shared" ref="CK194:CK201" si="684">IF(Weightf_Peto&lt;&gt;"",LogPetoOddsRatio-lnCES_PetoOddsRatio,"")</f>
        <v/>
      </c>
      <c r="CP194" s="176"/>
      <c r="CQ194" s="99" t="str">
        <f t="shared" si="582"/>
        <v/>
      </c>
      <c r="CX194" s="196"/>
      <c r="CY194" s="89" t="e">
        <f t="shared" ref="CY194:CY201" si="685">IF(AND(Include_study?="Yes",Sufficient_data="Yes",Subgroup&lt;&gt;""),COUNTIFS(Include_study?,"Yes",Sufficient_data,"Yes",DA:DA,"&lt;"&amp;Subgroup,Subgroup,"*")+COUNTIFS(Entry_number,"&lt;"&amp;Entry_number,DA:DA,Subgroup)+COUNTIFS(DS:DS,"&gt;="&amp;0,DQ:DQ,"&lt;"&amp;Subgroup)+1,NA())</f>
        <v>#N/A</v>
      </c>
      <c r="CZ194" s="136" t="str">
        <f t="shared" ref="CZ194:CZ201" si="686">IF(AND(Include_study?="Yes",Sufficient_data="Yes",Subgroup&lt;&gt;""),Study_name,"")</f>
        <v/>
      </c>
      <c r="DA194" s="140" t="str">
        <f t="shared" ref="DA194:DA201" si="687">IF(AND(Include_study?="Yes",Sufficient_data="Yes",Subgroup&lt;&gt;""),Subgroup,"")</f>
        <v/>
      </c>
      <c r="DB194" s="39" t="str">
        <f t="shared" ref="DB194:DB201" si="688">IF(AND(Include_study?="Yes",Sufficient_data="Yes",Subgroup&lt;&gt;""),IF(Subgroup_effect_size_measure="Odds Ratio",LogOddsRatio,IF(Subgroup_effect_size_measure="Risk Ratio",LogRiskRatio,IF(Subgroup_effect_size_measure="Risk Difference",Risk_Difference,IF(Subgroup_effect_size_measure="Peto Odds Ratio",LogPetoOddsRatio,"")))),"")</f>
        <v/>
      </c>
      <c r="DC194" s="39" t="str">
        <f t="shared" ref="DC194:DC201" si="689">IF(AND(Include_study?="Yes",Sufficient_data="Yes",Subgroup&lt;&gt;""),IF(Subgroup_effect_size_measure="Odds Ratio",SELogOddsRatio,IF(Subgroup_effect_size_measure="Risk Ratio",SELogRiskRatio,IF(Subgroup_effect_size_measure="Risk Difference",SERiskDifference,IF(Subgroup_effect_size_measure="Peto Odds Ratio",SELogPetoOddsRatio,"")))),"")</f>
        <v/>
      </c>
      <c r="DD194" s="39" t="str">
        <f t="shared" ref="DD194:DD201" si="690">IF(AND(Include_study?="Yes",Sufficient_data="Yes",Subgroup&lt;&gt;""),IF(Subgroup_weighting_method="Inverse variance",1/DC194^2,IF(Subgroup_weighting_method="Mantel-Haenszel",Weightf_MH,Weightf_Peto)),"")</f>
        <v/>
      </c>
      <c r="DE194" s="39" t="str">
        <f t="shared" ref="DE194:DE201" si="691">IF(AND(Include_study?="Yes",Sufficient_data="Yes",Subgroup&lt;&gt;""),1/(DC194^2+IF(Within_subgroup_weighting=EX$42,0,INDEX(DQ:DX,MATCH(Subgroup,DQ:DQ,0),8))),"")</f>
        <v/>
      </c>
      <c r="DF194" s="141" t="str">
        <f t="shared" ref="DF194:DF201" si="692">IF(AND(Include_study?="Yes",Sufficient_data="Yes",Subgroup_valid_options="Yes",Subgroup&lt;&gt;""),DE194/SUMIF(Subgroup,Subgroup,DE:DE),"")</f>
        <v/>
      </c>
      <c r="DG194" s="39" t="str">
        <f t="shared" ref="DG194:DG201" si="693">IF(AND(Include_study?="Yes",Sufficient_data="Yes",Subgroup&lt;&gt;"",DG$1&lt;&gt;""),IF(Subgroup_effect_size_measure="Risk Ratio",Risk_Ratio,IF(Subgroup_effect_size_measure="Odds Ratio",OddsRatio,IF(Subgroup_effect_size_measure="Peto Odds Ratio",PetoOddsRatio,""))),"")</f>
        <v/>
      </c>
      <c r="DH194" s="39" t="str">
        <f t="shared" ref="DH194:DH201" si="694">IF(AND(Include_study?="Yes",Sufficient_data="Yes",Subgroup&lt;&gt;""),IF(Subgroup_effect_size_measure="Risk Difference",Subgroup_effect_size-ABS(TINV((1-Subgroup_confidence_level),Number_of_subjects-1))*DC:DC,EXP(Subgroup_effect_size-ABS(TINV((1-Subgroup_confidence_level),Number_of_subjects-1))*DC:DC)),"")</f>
        <v/>
      </c>
      <c r="DI194" s="39" t="str">
        <f t="shared" ref="DI194:DI201" si="695">IF(AND(Include_study?="Yes",Sufficient_data="Yes",Subgroup&lt;&gt;""),IF(Subgroup_effect_size_measure="Risk Difference",Subgroup_effect_size+ABS(TINV((1-Subgroup_confidence_level),Number_of_subjects-1))*DC:DC,EXP(Subgroup_effect_size+ABS(TINV((1-Subgroup_confidence_level),Number_of_subjects-1))*DC:DC)),"")</f>
        <v/>
      </c>
      <c r="DJ194" s="74" t="str">
        <f t="shared" ref="DJ194:DJ201" si="696">IF(AND(Include_study?="Yes",Sufficient_data="Yes",Subgroup&lt;&gt;""),Subgroup_effect_size-VLOOKUP(DA:DA,DQ:DZ,10,FALSE),"")</f>
        <v/>
      </c>
      <c r="DK194" s="45"/>
      <c r="DL194" s="84" t="e">
        <f t="shared" si="620"/>
        <v>#N/A</v>
      </c>
      <c r="DM194" s="39" t="e">
        <f t="shared" ref="DM194:DM201" si="697">IF(AND(Include_study?="Yes",Sufficient_data="Yes",Subgroup&lt;&gt;""),IF(Subgroup_effect_size_measure="Risk Difference",DB194-DH194,DG194-DH194),NA())</f>
        <v>#N/A</v>
      </c>
      <c r="DN194" s="74" t="e">
        <f t="shared" ref="DN194:DN201" si="698">IF(AND(Include_study?="Yes",Sufficient_data="Yes",Subgroup&lt;&gt;""),IF(Subgroup_effect_size_measure="Risk Difference",DI194-DB194,DI194-DG194),NA())</f>
        <v>#N/A</v>
      </c>
      <c r="DO194" s="45"/>
      <c r="DP194" s="89" t="str">
        <f t="shared" si="525"/>
        <v/>
      </c>
      <c r="DQ194" s="26" t="str">
        <f>IF(AND(Sufficient_data="Yes",Subgroup&lt;&gt;""),IF(COUNTIFS(Input!J$2:J193,"="&amp;"Yes",Input!C$2:C193,"="&amp;"Yes",Input!K$2:K193,"="&amp;Subgroup)&gt;0,"",Subgroup),"")</f>
        <v/>
      </c>
      <c r="DR194" s="7" t="str">
        <f t="shared" si="526"/>
        <v/>
      </c>
      <c r="DS194" s="7" t="str">
        <f t="shared" ref="DS194:DS201" si="699">IF(DQ194&lt;&gt;"",COUNTIFS(Sufficient_data,"Yes",Include_study?,"Yes",Subgroup,DQ194),"")</f>
        <v/>
      </c>
      <c r="DT194" s="19" t="str">
        <f t="shared" ref="DT194:DT201" si="700">IF(AND(DQ194&lt;&gt;"",Subgroup_valid_options="Yes",SUMIF(Subgroup,DQ194,Subgroup_weightf)&gt;0),MAX(0,SUMPRODUCT(--(Subgroup=DQ194),Subgroup_weightf,Subgroup_effect_size,Subgroup_effect_size)-(SUMPRODUCT(--(Subgroup=DQ194),Subgroup_weightf,Subgroup_effect_size)^2/SUMIF(Subgroup,DQ194,Subgroup_weightf))),"")</f>
        <v/>
      </c>
      <c r="DU194" s="12" t="str">
        <f t="shared" si="621"/>
        <v/>
      </c>
      <c r="DV194" s="11" t="str">
        <f t="shared" si="622"/>
        <v/>
      </c>
      <c r="DW194" s="12" t="str">
        <f t="shared" si="623"/>
        <v/>
      </c>
      <c r="DX194" s="12" t="str">
        <f t="shared" ref="DX194:DX201" si="701">IF(DT194&lt;&gt;"",IF(Within_subgroup_weighting=EX$44,MAX(0,(SUM(DT:DT)-(Subgroup_k-COUNT(DT:DT)))/SUM(DW:DW)),MAX(0,(DT194-(DS194-1))/DW194)),"")</f>
        <v/>
      </c>
      <c r="DY194" s="19" t="str">
        <f t="shared" si="624"/>
        <v/>
      </c>
      <c r="DZ194" s="12" t="str">
        <f t="shared" si="625"/>
        <v/>
      </c>
      <c r="EA194" s="19" t="str">
        <f t="shared" ref="EA194:EA201" si="702">IF(DT194&lt;&gt;"",IF(Within_subgroup_weighting=EX$42,1/SQRT(SUMIF(Subgroup,DQ194,DD:DD)),SQRT(SUMPRODUCT(--(Subgroup=DQ194),DE:DE,DJ:DJ,DJ:DJ)/((DS194-1)*SUMIF(Subgroup,DQ194,DE:DE)))),"")</f>
        <v/>
      </c>
      <c r="EB194" s="7" t="str">
        <f t="shared" ref="EB194:EB201" si="703">IF(DT194&lt;&gt;"",SUMIFS(Number_of_subjects,Subgroup,DQ194,Include_study?,"Yes",Sufficient_data,"Yes"),"")</f>
        <v/>
      </c>
      <c r="EC194" s="19" t="str">
        <f t="shared" ref="EC194:EC201" si="704">IF(DT194&lt;&gt;"",DZ194-ABS(TINV((1-Subgroup_confidence_level),DS194-1))*EA194,"")</f>
        <v/>
      </c>
      <c r="ED194" s="19" t="str">
        <f t="shared" ref="ED194:ED201" si="705">IF(DT194&lt;&gt;"",DZ194+ABS(TINV((1-Subgroup_confidence_level),DS194-1))*EA194,"")</f>
        <v/>
      </c>
      <c r="EE194" s="19" t="str">
        <f t="shared" si="626"/>
        <v/>
      </c>
      <c r="EF194" s="19" t="str">
        <f t="shared" si="627"/>
        <v/>
      </c>
      <c r="EG194" s="19" t="str">
        <f t="shared" si="628"/>
        <v/>
      </c>
      <c r="EH194" s="19" t="str">
        <f t="shared" si="629"/>
        <v/>
      </c>
      <c r="EI194" s="19" t="str">
        <f t="shared" si="630"/>
        <v/>
      </c>
      <c r="EJ194" s="19" t="str">
        <f t="shared" ref="EJ194:EJ201" si="706">IF(DT194&lt;&gt;"",DZ194-ABS(TINV((1-Subgroup_confidence_level),DS194-1))*SQRT(DX194+EA194^2),"")</f>
        <v/>
      </c>
      <c r="EK194" s="19" t="str">
        <f t="shared" ref="EK194:EK201" si="707">IF(DT194&lt;&gt;"",DZ194+ABS(TINV((1-Subgroup_confidence_level),DS194-1))*SQRT(DX194+EA194^2),"")</f>
        <v/>
      </c>
      <c r="EL194" s="19" t="str">
        <f t="shared" si="631"/>
        <v/>
      </c>
      <c r="EM194" s="19" t="str">
        <f t="shared" si="632"/>
        <v/>
      </c>
      <c r="EN194" s="19" t="str">
        <f t="shared" si="633"/>
        <v/>
      </c>
      <c r="EO194" s="19" t="str">
        <f t="shared" si="634"/>
        <v/>
      </c>
      <c r="EP194" s="19" t="str">
        <f t="shared" si="635"/>
        <v/>
      </c>
      <c r="EQ194" s="19" t="e">
        <f t="shared" si="636"/>
        <v>#N/A</v>
      </c>
      <c r="ER194" s="11" t="str">
        <f t="shared" si="527"/>
        <v/>
      </c>
      <c r="ES194" s="19" t="str">
        <f t="shared" si="528"/>
        <v/>
      </c>
      <c r="ET194" s="156" t="str">
        <f t="shared" ref="ET194:ET201" si="708">IF(EA194&lt;&gt;"",1/(EA194^2+IF(Between_subgroup_weighting=EX$38,0,EY$35)),"")</f>
        <v/>
      </c>
      <c r="EU194" s="39" t="str">
        <f t="shared" si="637"/>
        <v/>
      </c>
      <c r="EV194" s="74" t="str">
        <f t="shared" ref="EV194:EV201" si="709">IF(DT194&lt;&gt;"",IF(Subgroup_effect_size_measure="Risk Difference",EE:EE-EY$9,DZ:DZ-EY$2),"")</f>
        <v/>
      </c>
      <c r="FA194" s="196"/>
      <c r="FB194" s="84" t="e">
        <f>IF(AND(Include_study?="Yes",Sufficient_data="Yes",Moderator&lt;&gt;""),'Moderator Analysis'!E194,NA())</f>
        <v>#N/A</v>
      </c>
      <c r="FC194" s="39" t="e">
        <f>IF(AND(Include_study?="Yes",Sufficient_data="Yes",Moderator&lt;&gt;""),'Moderator Analysis'!F194,NA())</f>
        <v>#N/A</v>
      </c>
      <c r="FD194" s="39" t="str">
        <f t="shared" ref="FD194:FD201" si="710">IF(AND(Include_study?="Yes",Sufficient_data="Yes",Moderator&lt;&gt;""),IF(Moderator_effect_size_measure="Log Odds Ratio",SELogOddsRatio,IF(Moderator_effect_size_measure="Log Risk Ratio",SELogRiskRatio,IF(Moderator_effect_size_measure="Risk Difference",SERiskDifference,SELogPetoOddsRatio))),"")</f>
        <v/>
      </c>
      <c r="FE194" s="39" t="str">
        <f t="shared" ref="FE194:FE201" si="711">IF(AND(Include_study?="Yes",Sufficient_data="Yes",Moderator&lt;&gt;""),IF(Moderator_weighting_method="Inverse Variance",1/FD:FD^2,IF(Moderator_weighting_method="Mantel-Haenszel",Weightf_MH,Weightf_Peto)),"")</f>
        <v/>
      </c>
      <c r="FF194" s="39" t="str">
        <f>IF(AND(Include_study?="Yes",Sufficient_data="Yes",Moderator&lt;&gt;""),'Moderator Analysis'!F:F-FP$2,"")</f>
        <v/>
      </c>
      <c r="FG194" s="39" t="str">
        <f>IF(AND(Include_study?="Yes",Sufficient_data="Yes",Moderator&lt;&gt;""),'Moderator Analysis'!E:E-FP$3,"")</f>
        <v/>
      </c>
      <c r="FH194" s="74" t="str">
        <f>IF(AND(Include_study?="Yes",Sufficient_data="Yes",Moderator&lt;&gt;""),FE:FE*('Moderator Analysis'!F:F-FP$5-FP$4*'Moderator Analysis'!E:E)^2,"")</f>
        <v/>
      </c>
      <c r="FI194" s="128"/>
      <c r="FJ194" s="92" t="str">
        <f t="shared" ref="FJ194:FJ201" si="712">IF(AND(Include_study?="Yes",Sufficient_data="Yes",Moderator&lt;&gt;""),1/(FD:FD^2+FP$7),"")</f>
        <v/>
      </c>
      <c r="FK194" s="137" t="str">
        <f>IF(AND(Include_study?="Yes",Sufficient_data="Yes",Moderator&lt;&gt;""),'Moderator Analysis'!F:F-'Moderator Analysis'!J$37,"")</f>
        <v/>
      </c>
      <c r="FL194" s="137" t="str">
        <f>IF(AND(Include_study?="Yes",Sufficient_data="Yes",Moderator&lt;&gt;""),'Moderator Analysis'!E:E-SUMPRODUCT('Moderator Analysis'!E:E,FJ:FJ)/SUM(FJ:FJ),"")</f>
        <v/>
      </c>
      <c r="FM194" s="95" t="str">
        <f>IF(AND(Include_study?="Yes",Sufficient_data="Yes",Moderator&lt;&gt;""),FJ:FJ*('Moderator Analysis'!F:F-'Moderator Analysis'!J$29-'Moderator Analysis'!J$30*'Moderator Analysis'!E:E)^2,"")</f>
        <v/>
      </c>
      <c r="FR194" s="196"/>
      <c r="FS194" s="182"/>
      <c r="FT194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4" s="39" t="str">
        <f>IF(AND(Include_study?="Yes",Sufficient_data="Yes"),1/('Publication Bias Analysis'!F:F^2+IF(Additional_model="Fixed effect",0,Calculations!GH$12)),"")</f>
        <v/>
      </c>
      <c r="FV194" s="39" t="str">
        <f>IF(AND(Include_study?="Yes",Sufficient_data="Yes"),1/('Publication Bias Analysis'!F:F^2+IF(Additional_model="Fixed effect",0,'Publication Bias Analysis'!L$32)),"")</f>
        <v/>
      </c>
      <c r="FW194" s="39" t="str">
        <f>IF(AND(Include_study?="Yes",Sufficient_data="Yes"),'Publication Bias Analysis'!E:E-'Publication Bias Analysis'!I$37,"")</f>
        <v/>
      </c>
      <c r="FX194" s="39" t="str">
        <f>IF(AND(Include_study?="Yes",Sufficient_data="Yes"),IF(Additional_model="Fixed effect",1/'Publication Bias Analysis'!F:F,1/SQRT('Publication Bias Analysis'!F:F^2+GH$12)),"")</f>
        <v/>
      </c>
      <c r="FY194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4" s="136" t="str">
        <f t="shared" ref="FZ194:FZ201" si="713">IF(AND(Include_study?="Yes",Sufficient_data="Yes"),RANK(GM:GM,GM:GM,1)*IF(GL:GL&gt;0,1,-1),"")</f>
        <v/>
      </c>
      <c r="GA194" s="144" t="str">
        <f>IF(AND(Include_study?="Yes",Sufficient_data="Yes"),FZ:FZ+IF(GL:GL&lt;0,-1,1)*COUNTIF(FZ$2:FZ193,FZ:FZ),"")</f>
        <v/>
      </c>
      <c r="GB194" s="144" t="str">
        <f>IF(AND(Include_study?="Yes",Sufficient_data="Yes"),RANK(GP:GP,GP:GP,1)*IF(GO:GO&lt;0,-1,1)+IF(GO:GO&lt;0,-1,1)*COUNTIF(FZ$2:FZ193,FZ:FZ),"")</f>
        <v/>
      </c>
      <c r="GC194" s="144" t="str">
        <f>IF(AND(Include_study?="Yes",Sufficient_data="Yes"),RANK(GS:GS,GS:GS,1)*IF(GR:GR&lt;0,-1,1)+IF(GR:GR&lt;0,-1,1)*COUNTIF(FZ$2:FZ193,FZ:FZ),"")</f>
        <v/>
      </c>
      <c r="GD194" s="39" t="e">
        <f>IF(AND(Include_study?="Yes",Sufficient_data="Yes"),'Publication Bias Analysis'!E194,NA())</f>
        <v>#N/A</v>
      </c>
      <c r="GE194" s="74" t="e">
        <f>IF(AND(Include_study?="Yes",Sufficient_data="Yes"),'Publication Bias Analysis'!F194,NA())</f>
        <v>#N/A</v>
      </c>
      <c r="GK194" s="176"/>
      <c r="GL194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4" s="39" t="str">
        <f t="shared" ref="GM194:GM201" si="714">IF(AND(Include_study?="Yes",Sufficient_data="Yes"),ABS(GL194),"")</f>
        <v/>
      </c>
      <c r="GN194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4" s="39" t="str">
        <f>IF(AND(Include_study?="Yes",Sufficient_data="Yes"),IF('Publication Bias Analysis'!L$38="Left",'Publication Bias Analysis'!E:E-GW$3,GW$3-'Publication Bias Analysis'!E:E),"")</f>
        <v/>
      </c>
      <c r="GP194" s="39" t="str">
        <f t="shared" si="529"/>
        <v/>
      </c>
      <c r="GQ194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4" s="39" t="str">
        <f>IF(AND(Include_study?="Yes",Sufficient_data="Yes"),IF('Publication Bias Analysis'!L$38="Left",'Publication Bias Analysis'!E:E-GW$10,GW$10-'Publication Bias Analysis'!E:E),"")</f>
        <v/>
      </c>
      <c r="GS194" s="39" t="str">
        <f t="shared" si="530"/>
        <v/>
      </c>
      <c r="GT194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4" s="176"/>
      <c r="HL194" s="69" t="str">
        <f t="shared" ref="HL194:HL201" si="715">IF(AND(Include_study?="Yes",Sufficient_data="Yes"),Inverse_standard_error-AVERAGE(Inverse_standard_error),"")</f>
        <v/>
      </c>
      <c r="HM194" s="74" t="str">
        <f>IF(AND(Include_study?="Yes",Sufficient_data="Yes"),Z_score-('Publication Bias Analysis'!P$3+'Publication Bias Analysis'!P$4*Inverse_standard_error),"")</f>
        <v/>
      </c>
      <c r="HO194" s="176"/>
      <c r="HP194" s="69" t="str">
        <f>IF(AND(Include_study?="Yes",Sufficient_data="Yes"),(GD:GD-SUMPRODUCT(Calculations!FT:FT,'Publication Bias Analysis'!E:E)/SUM(Calculations!FT:FT))/SQRT(Calculations!HQ:HQ),"")</f>
        <v/>
      </c>
      <c r="HQ194" s="69" t="str">
        <f>IF(AND(Include_study?="Yes",Sufficient_data="Yes"),GE:GE^2-1/SUM(Calculations!FT:FT),"")</f>
        <v/>
      </c>
      <c r="HR194" s="7" t="str">
        <f t="shared" si="638"/>
        <v/>
      </c>
      <c r="HS194" s="7" t="str">
        <f t="shared" si="639"/>
        <v/>
      </c>
      <c r="HT194" s="7" t="str">
        <f>IF(AND(Include_study?="Yes",Sufficient_data="Yes"),COUNTIFS(HR$2:HR193,"&lt;"&amp;HR194,HS$2:HS193,"&lt;"&amp;HS194)+COUNTIFS(HR195:HR$201,"&lt;"&amp;HR194,HS195:HS$201,"&lt;"&amp;HS194)+COUNTIFS(HR$2:HR193,"&gt;"&amp;HR194,HS$2:HS193,"&gt;"&amp;HS194)+COUNTIFS(HR195:HR$201,"&gt;"&amp;HR194,HS195:HS$201,"&gt;"&amp;HS194),"")</f>
        <v/>
      </c>
      <c r="HU194" s="104" t="str">
        <f>IF(AND(Include_study?="Yes",Sufficient_data="Yes"),COUNTIFS(HR$2:HR193,"&lt;"&amp;HR194,HS$2:HS193,"&gt;"&amp;HS194)+COUNTIFS(HR195:HR$201,"&lt;"&amp;HR194,HS195:HS$201,"&gt;"&amp;HS194)+COUNTIFS(HR$2:HR193,"&gt;"&amp;HR194,HS$2:HS193,"&lt;"&amp;HS194)+COUNTIFS(HR195:HR$201,"&gt;"&amp;HR194,HS195:HS$201,"&lt;"&amp;HS194),"")</f>
        <v/>
      </c>
      <c r="HW194" s="176"/>
      <c r="IB194" s="176"/>
      <c r="IC194" s="146" t="e">
        <f t="shared" ref="IC194:IC201" si="716">IF(AND(Include_study?="Yes",Sufficient_data="Yes"),a_/(a_+b_),NA())</f>
        <v>#N/A</v>
      </c>
      <c r="ID194" s="137" t="e">
        <f t="shared" ref="ID194:ID201" si="717">IF(AND(Include_study?="Yes",Sufficient_data="Yes"),c_/(c_+d_),NA())</f>
        <v>#N/A</v>
      </c>
      <c r="IE194" s="137" t="str">
        <f t="shared" ref="IE194:IE201" si="718">IF(AND(Include_study?="Yes",Sufficient_data="Yes"),1/SELogRiskRatio^2,"")</f>
        <v/>
      </c>
      <c r="IF194" s="95" t="str">
        <f t="shared" ref="IF194:IF201" si="719">IF(AND(Include_study?="Yes",Sufficient_data="Yes"),IF(Additional_model="Fixed effect",Weightf,Weightr),"")</f>
        <v/>
      </c>
      <c r="IK194" s="176"/>
      <c r="IL194" s="69" t="e">
        <f>IF(AND(Include_study?="Yes",Sufficient_data="Yes"),'Publication Bias Analysis'!AV:AV,NA())</f>
        <v>#N/A</v>
      </c>
      <c r="IM194" s="158" t="e">
        <f>IF(AND(Sufficient_data="Yes",Include_study?="Yes"),'Publication Bias Analysis'!AU:AU,NA())</f>
        <v>#N/A</v>
      </c>
      <c r="IN194" s="69" t="str">
        <f t="shared" si="617"/>
        <v/>
      </c>
      <c r="IO194" s="74" t="str">
        <f>IF(AND(Include_study?="Yes",Sufficient_data="Yes"),Z_score-('Publication Bias Analysis'!AY$30+'Publication Bias Analysis'!AY$31*Inverse_standard_error),"")</f>
        <v/>
      </c>
      <c r="IU194" s="176"/>
      <c r="IV194" s="7" t="str">
        <f>IF('Publication Bias Analysis'!BG:BG&lt;&gt;"",RANK('Publication Bias Analysis'!BG:BG,'Publication Bias Analysis'!BG:BG,1)+COUNTIF('Publication Bias Analysis'!BG$2:BG193,'Publication Bias Analysis'!BG194),"")</f>
        <v/>
      </c>
      <c r="IW194" s="124" t="str">
        <f t="shared" ref="IW194:IW201" si="720">IF(IV:IV&lt;&gt;"",(IV:IV-1/3)/(k_+1/3),"")</f>
        <v/>
      </c>
      <c r="IX194" s="125" t="e">
        <f>IF('Publication Bias Analysis'!BF194&lt;&gt;"",'Publication Bias Analysis'!BF194,NA())</f>
        <v>#N/A</v>
      </c>
      <c r="IY194" s="125" t="e">
        <f>IF('Publication Bias Analysis'!BG194&lt;&gt;"",'Publication Bias Analysis'!BG194,NA())</f>
        <v>#N/A</v>
      </c>
      <c r="IZ194" s="69" t="str">
        <f>IF(AND(Include_study?="Yes",Sufficient_data="Yes"),'Publication Bias Analysis'!BF:BF-AVERAGE('Publication Bias Analysis'!BF:BF),"")</f>
        <v/>
      </c>
      <c r="JA194" s="74" t="str">
        <f>IF(AND(Include_study?="Yes",Sufficient_data="Yes"),'Publication Bias Analysis'!BG:BG-('Publication Bias Analysis'!BJ$30+'Publication Bias Analysis'!BJ$31*'Publication Bias Analysis'!BF:BF),"")</f>
        <v/>
      </c>
      <c r="JG194" s="176"/>
      <c r="JH194" s="39" t="str">
        <f t="shared" ref="JH194:JH201" si="721">IF(AND(Include_study?="Yes",Sufficient_data="Yes"),IF(AND(Additional_valid_options="No",Additional_model="Random effects"),NA(),Z_score),"")</f>
        <v/>
      </c>
      <c r="JI194" s="148" t="str">
        <f t="shared" si="531"/>
        <v/>
      </c>
      <c r="JJ194" s="74" t="str">
        <f t="shared" si="532"/>
        <v/>
      </c>
    </row>
    <row r="195" spans="1:270" x14ac:dyDescent="0.2">
      <c r="A195" s="56" t="str">
        <f t="shared" si="533"/>
        <v/>
      </c>
      <c r="B195" s="7" t="str">
        <f>IF(AND(Include_study?="Yes",Sufficient_data="Yes"),IF(Input!a_&lt;&gt;"",Input!a_,Input!n1_-Input!b_),"")</f>
        <v/>
      </c>
      <c r="C195" s="7" t="str">
        <f>IF(AND(Include_study?="Yes",Sufficient_data="Yes"),IF(Input!b_&lt;&gt;"",Input!b_,Input!n1_-Input!a_),"")</f>
        <v/>
      </c>
      <c r="D195" s="7" t="str">
        <f>IF(AND(Include_study?="Yes",Sufficient_data="Yes"),IF(Input!c_&lt;&gt;"",Input!c_,Input!n2_-Input!d_),"")</f>
        <v/>
      </c>
      <c r="E195" s="7" t="str">
        <f>IF(AND(Include_study?="Yes",Sufficient_data="Yes"),IF(Input!d_&lt;&gt;"",Input!d_,Input!n2_-Input!c_),"")</f>
        <v/>
      </c>
      <c r="F195" s="74" t="str">
        <f t="shared" si="640"/>
        <v/>
      </c>
      <c r="H195" s="196"/>
      <c r="I195" s="182"/>
      <c r="J195" s="146" t="str">
        <f t="shared" si="641"/>
        <v/>
      </c>
      <c r="K195" s="39" t="str">
        <f t="shared" si="642"/>
        <v/>
      </c>
      <c r="L195" s="39" t="str">
        <f t="shared" si="643"/>
        <v/>
      </c>
      <c r="M195" s="39" t="str">
        <f t="shared" si="644"/>
        <v/>
      </c>
      <c r="N195" s="74" t="str">
        <f t="shared" si="645"/>
        <v/>
      </c>
      <c r="P195" s="176"/>
      <c r="Q195" s="130" t="str">
        <f t="shared" si="646"/>
        <v/>
      </c>
      <c r="R195" s="39" t="str">
        <f t="shared" si="647"/>
        <v/>
      </c>
      <c r="S195" s="39" t="str">
        <f t="shared" si="648"/>
        <v/>
      </c>
      <c r="T195" s="74" t="str">
        <f t="shared" si="649"/>
        <v/>
      </c>
      <c r="V195" s="176"/>
      <c r="W195" s="130" t="str">
        <f t="shared" si="650"/>
        <v/>
      </c>
      <c r="X195" s="39" t="str">
        <f t="shared" si="651"/>
        <v/>
      </c>
      <c r="Y195" s="39" t="str">
        <f t="shared" si="652"/>
        <v/>
      </c>
      <c r="Z195" s="74" t="str">
        <f t="shared" si="653"/>
        <v/>
      </c>
      <c r="AB195" s="176"/>
      <c r="AC195" s="130" t="str">
        <f t="shared" si="654"/>
        <v/>
      </c>
      <c r="AD195" s="39" t="str">
        <f t="shared" si="655"/>
        <v/>
      </c>
      <c r="AE195" s="39" t="str">
        <f t="shared" si="656"/>
        <v/>
      </c>
      <c r="AF195" s="39" t="str">
        <f t="shared" si="657"/>
        <v/>
      </c>
      <c r="AG195" s="74" t="str">
        <f t="shared" si="658"/>
        <v/>
      </c>
      <c r="AI195" s="196"/>
      <c r="AJ195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5" s="136" t="str">
        <f>IF(AJ195&lt;&gt;"",IF(AJ195=0,COUNTIF(AJ$2:AJ194,0)+1,COUNTIF(AJ$2:AJ194,AJ195)+AJ195+COUNTIF(AJ:AJ,0)),"")</f>
        <v/>
      </c>
      <c r="AL195" s="136" t="str">
        <f t="shared" si="659"/>
        <v/>
      </c>
      <c r="AM195" s="155" t="str">
        <f>IF(AND(Include_study?="Yes",Sufficient_data="Yes",Input!Study_name&lt;&gt;""),Input!Study_name,"")</f>
        <v/>
      </c>
      <c r="AN195" s="136" t="str">
        <f t="shared" si="660"/>
        <v/>
      </c>
      <c r="AO195" s="19" t="str">
        <f t="shared" si="661"/>
        <v/>
      </c>
      <c r="AP195" s="158" t="str">
        <f t="shared" si="662"/>
        <v/>
      </c>
      <c r="AQ195" s="158" t="str">
        <f t="shared" si="663"/>
        <v/>
      </c>
      <c r="AR195" s="39" t="str">
        <f t="shared" si="664"/>
        <v/>
      </c>
      <c r="AS195" s="158" t="str">
        <f t="shared" si="665"/>
        <v/>
      </c>
      <c r="AT195" s="39" t="str">
        <f t="shared" si="666"/>
        <v/>
      </c>
      <c r="AU195" s="172" t="str">
        <f t="shared" si="667"/>
        <v/>
      </c>
      <c r="AV195" s="45"/>
      <c r="AW195" s="84" t="e">
        <f t="shared" si="559"/>
        <v>#N/A</v>
      </c>
      <c r="AX195" s="69" t="e">
        <f t="shared" si="668"/>
        <v>#N/A</v>
      </c>
      <c r="AY195" s="74" t="e">
        <f t="shared" si="669"/>
        <v>#N/A</v>
      </c>
      <c r="AZ195" s="45"/>
      <c r="BA195" s="45"/>
      <c r="BB195" s="45"/>
      <c r="BC195" s="45"/>
      <c r="BD195" s="196"/>
      <c r="BE195" s="182"/>
      <c r="BF195" s="69" t="str">
        <f t="shared" si="562"/>
        <v/>
      </c>
      <c r="BG195" s="69" t="str">
        <f t="shared" si="563"/>
        <v/>
      </c>
      <c r="BH195" s="69" t="str">
        <f t="shared" si="564"/>
        <v/>
      </c>
      <c r="BI195" s="39" t="str">
        <f t="shared" si="565"/>
        <v/>
      </c>
      <c r="BJ195" s="95" t="str">
        <f t="shared" si="670"/>
        <v/>
      </c>
      <c r="BO195" s="176"/>
      <c r="BP195" s="158" t="str">
        <f t="shared" si="671"/>
        <v/>
      </c>
      <c r="BQ195" s="158" t="str">
        <f t="shared" si="672"/>
        <v/>
      </c>
      <c r="BR195" s="158" t="str">
        <f t="shared" si="673"/>
        <v/>
      </c>
      <c r="BS195" s="158" t="str">
        <f>IF(AND(Sufficient_data="Yes",Include_study?="Yes"),IF(Add_0_5="Yes",(a_+d_+1)*(ab_+0.5)*(c_+0.5)/(Number_of_subjects+2)^2,(a_+d_)*b_*c_/Number_of_subjects^2),"")</f>
        <v/>
      </c>
      <c r="BT195" s="158" t="str">
        <f t="shared" si="674"/>
        <v/>
      </c>
      <c r="BU195" s="158" t="str">
        <f t="shared" si="675"/>
        <v/>
      </c>
      <c r="BV195" s="158" t="str">
        <f t="shared" si="676"/>
        <v/>
      </c>
      <c r="BW195" s="69" t="str">
        <f t="shared" si="573"/>
        <v/>
      </c>
      <c r="BX195" s="137" t="str">
        <f t="shared" si="574"/>
        <v/>
      </c>
      <c r="BY195" s="95" t="str">
        <f t="shared" si="677"/>
        <v/>
      </c>
      <c r="CD195" s="176"/>
      <c r="CE195" s="130" t="str">
        <f t="shared" si="678"/>
        <v/>
      </c>
      <c r="CF195" s="39" t="str">
        <f t="shared" si="679"/>
        <v/>
      </c>
      <c r="CG195" s="39" t="str">
        <f t="shared" si="680"/>
        <v/>
      </c>
      <c r="CH195" s="39" t="str">
        <f t="shared" si="681"/>
        <v/>
      </c>
      <c r="CI195" s="39" t="str">
        <f t="shared" si="682"/>
        <v/>
      </c>
      <c r="CJ195" s="39" t="str">
        <f t="shared" si="683"/>
        <v/>
      </c>
      <c r="CK195" s="95" t="str">
        <f t="shared" si="684"/>
        <v/>
      </c>
      <c r="CP195" s="176"/>
      <c r="CQ195" s="99" t="str">
        <f t="shared" si="582"/>
        <v/>
      </c>
      <c r="CX195" s="196"/>
      <c r="CY195" s="89" t="e">
        <f t="shared" si="685"/>
        <v>#N/A</v>
      </c>
      <c r="CZ195" s="136" t="str">
        <f t="shared" si="686"/>
        <v/>
      </c>
      <c r="DA195" s="140" t="str">
        <f t="shared" si="687"/>
        <v/>
      </c>
      <c r="DB195" s="39" t="str">
        <f t="shared" si="688"/>
        <v/>
      </c>
      <c r="DC195" s="39" t="str">
        <f t="shared" si="689"/>
        <v/>
      </c>
      <c r="DD195" s="39" t="str">
        <f t="shared" si="690"/>
        <v/>
      </c>
      <c r="DE195" s="39" t="str">
        <f t="shared" si="691"/>
        <v/>
      </c>
      <c r="DF195" s="141" t="str">
        <f t="shared" si="692"/>
        <v/>
      </c>
      <c r="DG195" s="39" t="str">
        <f t="shared" si="693"/>
        <v/>
      </c>
      <c r="DH195" s="39" t="str">
        <f t="shared" si="694"/>
        <v/>
      </c>
      <c r="DI195" s="39" t="str">
        <f t="shared" si="695"/>
        <v/>
      </c>
      <c r="DJ195" s="74" t="str">
        <f t="shared" si="696"/>
        <v/>
      </c>
      <c r="DK195" s="45"/>
      <c r="DL195" s="84" t="e">
        <f t="shared" si="620"/>
        <v>#N/A</v>
      </c>
      <c r="DM195" s="39" t="e">
        <f t="shared" si="697"/>
        <v>#N/A</v>
      </c>
      <c r="DN195" s="74" t="e">
        <f t="shared" si="698"/>
        <v>#N/A</v>
      </c>
      <c r="DO195" s="45"/>
      <c r="DP195" s="89" t="str">
        <f t="shared" ref="DP195:DP201" si="722">IF(DQ195&lt;&gt;"",SUMIFS(DS:DS,DS:DS,"&gt;="&amp;0,DQ:DQ,"&lt;"&amp;DQ195)+DS195+DR195,"")</f>
        <v/>
      </c>
      <c r="DQ195" s="26" t="str">
        <f>IF(AND(Sufficient_data="Yes",Subgroup&lt;&gt;""),IF(COUNTIFS(Input!J$2:J194,"="&amp;"Yes",Input!C$2:C194,"="&amp;"Yes",Input!K$2:K194,"="&amp;Subgroup)&gt;0,"",Subgroup),"")</f>
        <v/>
      </c>
      <c r="DR195" s="7" t="str">
        <f t="shared" ref="DR195:DR201" si="723">IF(DQ195&lt;&gt;"",(COUNTIFS(DS:DS,"&gt;"&amp;0,DQ:DQ,"&lt;"&amp;DQ195)+1),"")</f>
        <v/>
      </c>
      <c r="DS195" s="7" t="str">
        <f t="shared" si="699"/>
        <v/>
      </c>
      <c r="DT195" s="19" t="str">
        <f t="shared" si="700"/>
        <v/>
      </c>
      <c r="DU195" s="12" t="str">
        <f t="shared" si="621"/>
        <v/>
      </c>
      <c r="DV195" s="11" t="str">
        <f t="shared" si="622"/>
        <v/>
      </c>
      <c r="DW195" s="12" t="str">
        <f t="shared" si="623"/>
        <v/>
      </c>
      <c r="DX195" s="12" t="str">
        <f t="shared" si="701"/>
        <v/>
      </c>
      <c r="DY195" s="19" t="str">
        <f t="shared" si="624"/>
        <v/>
      </c>
      <c r="DZ195" s="12" t="str">
        <f t="shared" si="625"/>
        <v/>
      </c>
      <c r="EA195" s="19" t="str">
        <f t="shared" si="702"/>
        <v/>
      </c>
      <c r="EB195" s="7" t="str">
        <f t="shared" si="703"/>
        <v/>
      </c>
      <c r="EC195" s="19" t="str">
        <f t="shared" si="704"/>
        <v/>
      </c>
      <c r="ED195" s="19" t="str">
        <f t="shared" si="705"/>
        <v/>
      </c>
      <c r="EE195" s="19" t="str">
        <f t="shared" si="626"/>
        <v/>
      </c>
      <c r="EF195" s="19" t="str">
        <f t="shared" si="627"/>
        <v/>
      </c>
      <c r="EG195" s="19" t="str">
        <f t="shared" si="628"/>
        <v/>
      </c>
      <c r="EH195" s="19" t="str">
        <f t="shared" si="629"/>
        <v/>
      </c>
      <c r="EI195" s="19" t="str">
        <f t="shared" si="630"/>
        <v/>
      </c>
      <c r="EJ195" s="19" t="str">
        <f t="shared" si="706"/>
        <v/>
      </c>
      <c r="EK195" s="19" t="str">
        <f t="shared" si="707"/>
        <v/>
      </c>
      <c r="EL195" s="19" t="str">
        <f t="shared" si="631"/>
        <v/>
      </c>
      <c r="EM195" s="19" t="str">
        <f t="shared" si="632"/>
        <v/>
      </c>
      <c r="EN195" s="19" t="str">
        <f t="shared" si="633"/>
        <v/>
      </c>
      <c r="EO195" s="19" t="str">
        <f t="shared" si="634"/>
        <v/>
      </c>
      <c r="EP195" s="19" t="str">
        <f t="shared" si="635"/>
        <v/>
      </c>
      <c r="EQ195" s="19" t="e">
        <f t="shared" si="636"/>
        <v>#N/A</v>
      </c>
      <c r="ER195" s="11" t="str">
        <f t="shared" ref="ER195:ER201" si="724">IF(DT195&lt;&gt;"",(ET195/SUM(ET:ET)),"")</f>
        <v/>
      </c>
      <c r="ES195" s="19" t="str">
        <f t="shared" ref="ES195:ES201" si="725">IF(DT195&lt;&gt;"",1/(EA195^2),"")</f>
        <v/>
      </c>
      <c r="ET195" s="156" t="str">
        <f t="shared" si="708"/>
        <v/>
      </c>
      <c r="EU195" s="39" t="str">
        <f t="shared" si="637"/>
        <v/>
      </c>
      <c r="EV195" s="74" t="str">
        <f t="shared" si="709"/>
        <v/>
      </c>
      <c r="FA195" s="196"/>
      <c r="FB195" s="84" t="e">
        <f>IF(AND(Include_study?="Yes",Sufficient_data="Yes",Moderator&lt;&gt;""),'Moderator Analysis'!E195,NA())</f>
        <v>#N/A</v>
      </c>
      <c r="FC195" s="39" t="e">
        <f>IF(AND(Include_study?="Yes",Sufficient_data="Yes",Moderator&lt;&gt;""),'Moderator Analysis'!F195,NA())</f>
        <v>#N/A</v>
      </c>
      <c r="FD195" s="39" t="str">
        <f t="shared" si="710"/>
        <v/>
      </c>
      <c r="FE195" s="39" t="str">
        <f t="shared" si="711"/>
        <v/>
      </c>
      <c r="FF195" s="39" t="str">
        <f>IF(AND(Include_study?="Yes",Sufficient_data="Yes",Moderator&lt;&gt;""),'Moderator Analysis'!F:F-FP$2,"")</f>
        <v/>
      </c>
      <c r="FG195" s="39" t="str">
        <f>IF(AND(Include_study?="Yes",Sufficient_data="Yes",Moderator&lt;&gt;""),'Moderator Analysis'!E:E-FP$3,"")</f>
        <v/>
      </c>
      <c r="FH195" s="74" t="str">
        <f>IF(AND(Include_study?="Yes",Sufficient_data="Yes",Moderator&lt;&gt;""),FE:FE*('Moderator Analysis'!F:F-FP$5-FP$4*'Moderator Analysis'!E:E)^2,"")</f>
        <v/>
      </c>
      <c r="FI195" s="128"/>
      <c r="FJ195" s="92" t="str">
        <f t="shared" si="712"/>
        <v/>
      </c>
      <c r="FK195" s="137" t="str">
        <f>IF(AND(Include_study?="Yes",Sufficient_data="Yes",Moderator&lt;&gt;""),'Moderator Analysis'!F:F-'Moderator Analysis'!J$37,"")</f>
        <v/>
      </c>
      <c r="FL195" s="137" t="str">
        <f>IF(AND(Include_study?="Yes",Sufficient_data="Yes",Moderator&lt;&gt;""),'Moderator Analysis'!E:E-SUMPRODUCT('Moderator Analysis'!E:E,FJ:FJ)/SUM(FJ:FJ),"")</f>
        <v/>
      </c>
      <c r="FM195" s="95" t="str">
        <f>IF(AND(Include_study?="Yes",Sufficient_data="Yes",Moderator&lt;&gt;""),FJ:FJ*('Moderator Analysis'!F:F-'Moderator Analysis'!J$29-'Moderator Analysis'!J$30*'Moderator Analysis'!E:E)^2,"")</f>
        <v/>
      </c>
      <c r="FR195" s="196"/>
      <c r="FS195" s="182"/>
      <c r="FT195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5" s="39" t="str">
        <f>IF(AND(Include_study?="Yes",Sufficient_data="Yes"),1/('Publication Bias Analysis'!F:F^2+IF(Additional_model="Fixed effect",0,Calculations!GH$12)),"")</f>
        <v/>
      </c>
      <c r="FV195" s="39" t="str">
        <f>IF(AND(Include_study?="Yes",Sufficient_data="Yes"),1/('Publication Bias Analysis'!F:F^2+IF(Additional_model="Fixed effect",0,'Publication Bias Analysis'!L$32)),"")</f>
        <v/>
      </c>
      <c r="FW195" s="39" t="str">
        <f>IF(AND(Include_study?="Yes",Sufficient_data="Yes"),'Publication Bias Analysis'!E:E-'Publication Bias Analysis'!I$37,"")</f>
        <v/>
      </c>
      <c r="FX195" s="39" t="str">
        <f>IF(AND(Include_study?="Yes",Sufficient_data="Yes"),IF(Additional_model="Fixed effect",1/'Publication Bias Analysis'!F:F,1/SQRT('Publication Bias Analysis'!F:F^2+GH$12)),"")</f>
        <v/>
      </c>
      <c r="FY195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5" s="136" t="str">
        <f t="shared" si="713"/>
        <v/>
      </c>
      <c r="GA195" s="144" t="str">
        <f>IF(AND(Include_study?="Yes",Sufficient_data="Yes"),FZ:FZ+IF(GL:GL&lt;0,-1,1)*COUNTIF(FZ$2:FZ194,FZ:FZ),"")</f>
        <v/>
      </c>
      <c r="GB195" s="144" t="str">
        <f>IF(AND(Include_study?="Yes",Sufficient_data="Yes"),RANK(GP:GP,GP:GP,1)*IF(GO:GO&lt;0,-1,1)+IF(GO:GO&lt;0,-1,1)*COUNTIF(FZ$2:FZ194,FZ:FZ),"")</f>
        <v/>
      </c>
      <c r="GC195" s="144" t="str">
        <f>IF(AND(Include_study?="Yes",Sufficient_data="Yes"),RANK(GS:GS,GS:GS,1)*IF(GR:GR&lt;0,-1,1)+IF(GR:GR&lt;0,-1,1)*COUNTIF(FZ$2:FZ194,FZ:FZ),"")</f>
        <v/>
      </c>
      <c r="GD195" s="39" t="e">
        <f>IF(AND(Include_study?="Yes",Sufficient_data="Yes"),'Publication Bias Analysis'!E195,NA())</f>
        <v>#N/A</v>
      </c>
      <c r="GE195" s="74" t="e">
        <f>IF(AND(Include_study?="Yes",Sufficient_data="Yes"),'Publication Bias Analysis'!F195,NA())</f>
        <v>#N/A</v>
      </c>
      <c r="GK195" s="176"/>
      <c r="GL195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5" s="39" t="str">
        <f t="shared" si="714"/>
        <v/>
      </c>
      <c r="GN195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5" s="39" t="str">
        <f>IF(AND(Include_study?="Yes",Sufficient_data="Yes"),IF('Publication Bias Analysis'!L$38="Left",'Publication Bias Analysis'!E:E-GW$3,GW$3-'Publication Bias Analysis'!E:E),"")</f>
        <v/>
      </c>
      <c r="GP195" s="39" t="str">
        <f t="shared" ref="GP195:GP201" si="726">IF(GO195&lt;&gt;"",ABS(GO195),"")</f>
        <v/>
      </c>
      <c r="GQ195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5" s="39" t="str">
        <f>IF(AND(Include_study?="Yes",Sufficient_data="Yes"),IF('Publication Bias Analysis'!L$38="Left",'Publication Bias Analysis'!E:E-GW$10,GW$10-'Publication Bias Analysis'!E:E),"")</f>
        <v/>
      </c>
      <c r="GS195" s="39" t="str">
        <f t="shared" ref="GS195:GS201" si="727">IF(GR195&lt;&gt;"",ABS(GR195),"")</f>
        <v/>
      </c>
      <c r="GT195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5" s="176"/>
      <c r="HL195" s="69" t="str">
        <f t="shared" si="715"/>
        <v/>
      </c>
      <c r="HM195" s="74" t="str">
        <f>IF(AND(Include_study?="Yes",Sufficient_data="Yes"),Z_score-('Publication Bias Analysis'!P$3+'Publication Bias Analysis'!P$4*Inverse_standard_error),"")</f>
        <v/>
      </c>
      <c r="HO195" s="176"/>
      <c r="HP195" s="69" t="str">
        <f>IF(AND(Include_study?="Yes",Sufficient_data="Yes"),(GD:GD-SUMPRODUCT(Calculations!FT:FT,'Publication Bias Analysis'!E:E)/SUM(Calculations!FT:FT))/SQRT(Calculations!HQ:HQ),"")</f>
        <v/>
      </c>
      <c r="HQ195" s="69" t="str">
        <f>IF(AND(Include_study?="Yes",Sufficient_data="Yes"),GE:GE^2-1/SUM(Calculations!FT:FT),"")</f>
        <v/>
      </c>
      <c r="HR195" s="7" t="str">
        <f t="shared" si="638"/>
        <v/>
      </c>
      <c r="HS195" s="7" t="str">
        <f t="shared" si="639"/>
        <v/>
      </c>
      <c r="HT195" s="7" t="str">
        <f>IF(AND(Include_study?="Yes",Sufficient_data="Yes"),COUNTIFS(HR$2:HR194,"&lt;"&amp;HR195,HS$2:HS194,"&lt;"&amp;HS195)+COUNTIFS(HR196:HR$201,"&lt;"&amp;HR195,HS196:HS$201,"&lt;"&amp;HS195)+COUNTIFS(HR$2:HR194,"&gt;"&amp;HR195,HS$2:HS194,"&gt;"&amp;HS195)+COUNTIFS(HR196:HR$201,"&gt;"&amp;HR195,HS196:HS$201,"&gt;"&amp;HS195),"")</f>
        <v/>
      </c>
      <c r="HU195" s="104" t="str">
        <f>IF(AND(Include_study?="Yes",Sufficient_data="Yes"),COUNTIFS(HR$2:HR194,"&lt;"&amp;HR195,HS$2:HS194,"&gt;"&amp;HS195)+COUNTIFS(HR196:HR$201,"&lt;"&amp;HR195,HS196:HS$201,"&gt;"&amp;HS195)+COUNTIFS(HR$2:HR194,"&gt;"&amp;HR195,HS$2:HS194,"&lt;"&amp;HS195)+COUNTIFS(HR196:HR$201,"&gt;"&amp;HR195,HS196:HS$201,"&lt;"&amp;HS195),"")</f>
        <v/>
      </c>
      <c r="HW195" s="176"/>
      <c r="IB195" s="176"/>
      <c r="IC195" s="146" t="e">
        <f t="shared" si="716"/>
        <v>#N/A</v>
      </c>
      <c r="ID195" s="137" t="e">
        <f t="shared" si="717"/>
        <v>#N/A</v>
      </c>
      <c r="IE195" s="137" t="str">
        <f t="shared" si="718"/>
        <v/>
      </c>
      <c r="IF195" s="95" t="str">
        <f t="shared" si="719"/>
        <v/>
      </c>
      <c r="IK195" s="176"/>
      <c r="IL195" s="69" t="e">
        <f>IF(AND(Include_study?="Yes",Sufficient_data="Yes"),'Publication Bias Analysis'!AV:AV,NA())</f>
        <v>#N/A</v>
      </c>
      <c r="IM195" s="158" t="e">
        <f>IF(AND(Sufficient_data="Yes",Include_study?="Yes"),'Publication Bias Analysis'!AU:AU,NA())</f>
        <v>#N/A</v>
      </c>
      <c r="IN195" s="69" t="str">
        <f t="shared" si="617"/>
        <v/>
      </c>
      <c r="IO195" s="74" t="str">
        <f>IF(AND(Include_study?="Yes",Sufficient_data="Yes"),Z_score-('Publication Bias Analysis'!AY$30+'Publication Bias Analysis'!AY$31*Inverse_standard_error),"")</f>
        <v/>
      </c>
      <c r="IU195" s="176"/>
      <c r="IV195" s="7" t="str">
        <f>IF('Publication Bias Analysis'!BG:BG&lt;&gt;"",RANK('Publication Bias Analysis'!BG:BG,'Publication Bias Analysis'!BG:BG,1)+COUNTIF('Publication Bias Analysis'!BG$2:BG194,'Publication Bias Analysis'!BG195),"")</f>
        <v/>
      </c>
      <c r="IW195" s="124" t="str">
        <f t="shared" si="720"/>
        <v/>
      </c>
      <c r="IX195" s="125" t="e">
        <f>IF('Publication Bias Analysis'!BF195&lt;&gt;"",'Publication Bias Analysis'!BF195,NA())</f>
        <v>#N/A</v>
      </c>
      <c r="IY195" s="125" t="e">
        <f>IF('Publication Bias Analysis'!BG195&lt;&gt;"",'Publication Bias Analysis'!BG195,NA())</f>
        <v>#N/A</v>
      </c>
      <c r="IZ195" s="69" t="str">
        <f>IF(AND(Include_study?="Yes",Sufficient_data="Yes"),'Publication Bias Analysis'!BF:BF-AVERAGE('Publication Bias Analysis'!BF:BF),"")</f>
        <v/>
      </c>
      <c r="JA195" s="74" t="str">
        <f>IF(AND(Include_study?="Yes",Sufficient_data="Yes"),'Publication Bias Analysis'!BG:BG-('Publication Bias Analysis'!BJ$30+'Publication Bias Analysis'!BJ$31*'Publication Bias Analysis'!BF:BF),"")</f>
        <v/>
      </c>
      <c r="JG195" s="176"/>
      <c r="JH195" s="39" t="str">
        <f t="shared" si="721"/>
        <v/>
      </c>
      <c r="JI195" s="148" t="str">
        <f t="shared" ref="JI195:JI201" si="728">IF(JH195&lt;&gt;"",1-NORMSDIST(ABS(JH195)),"")</f>
        <v/>
      </c>
      <c r="JJ195" s="74" t="str">
        <f t="shared" ref="JJ195:JJ201" si="729">IF(JI195&lt;&gt;"",LN(MAX(10^-306,JI195)),"")</f>
        <v/>
      </c>
    </row>
    <row r="196" spans="1:270" x14ac:dyDescent="0.2">
      <c r="A196" s="56" t="str">
        <f t="shared" si="533"/>
        <v/>
      </c>
      <c r="B196" s="7" t="str">
        <f>IF(AND(Include_study?="Yes",Sufficient_data="Yes"),IF(Input!a_&lt;&gt;"",Input!a_,Input!n1_-Input!b_),"")</f>
        <v/>
      </c>
      <c r="C196" s="7" t="str">
        <f>IF(AND(Include_study?="Yes",Sufficient_data="Yes"),IF(Input!b_&lt;&gt;"",Input!b_,Input!n1_-Input!a_),"")</f>
        <v/>
      </c>
      <c r="D196" s="7" t="str">
        <f>IF(AND(Include_study?="Yes",Sufficient_data="Yes"),IF(Input!c_&lt;&gt;"",Input!c_,Input!n2_-Input!d_),"")</f>
        <v/>
      </c>
      <c r="E196" s="7" t="str">
        <f>IF(AND(Include_study?="Yes",Sufficient_data="Yes"),IF(Input!d_&lt;&gt;"",Input!d_,Input!n2_-Input!c_),"")</f>
        <v/>
      </c>
      <c r="F196" s="74" t="str">
        <f t="shared" si="640"/>
        <v/>
      </c>
      <c r="H196" s="196"/>
      <c r="I196" s="182"/>
      <c r="J196" s="146" t="str">
        <f t="shared" si="641"/>
        <v/>
      </c>
      <c r="K196" s="39" t="str">
        <f t="shared" si="642"/>
        <v/>
      </c>
      <c r="L196" s="39" t="str">
        <f t="shared" si="643"/>
        <v/>
      </c>
      <c r="M196" s="39" t="str">
        <f t="shared" si="644"/>
        <v/>
      </c>
      <c r="N196" s="74" t="str">
        <f t="shared" si="645"/>
        <v/>
      </c>
      <c r="P196" s="176"/>
      <c r="Q196" s="130" t="str">
        <f t="shared" si="646"/>
        <v/>
      </c>
      <c r="R196" s="39" t="str">
        <f t="shared" si="647"/>
        <v/>
      </c>
      <c r="S196" s="39" t="str">
        <f t="shared" si="648"/>
        <v/>
      </c>
      <c r="T196" s="74" t="str">
        <f t="shared" si="649"/>
        <v/>
      </c>
      <c r="V196" s="176"/>
      <c r="W196" s="130" t="str">
        <f t="shared" si="650"/>
        <v/>
      </c>
      <c r="X196" s="39" t="str">
        <f t="shared" si="651"/>
        <v/>
      </c>
      <c r="Y196" s="39" t="str">
        <f t="shared" si="652"/>
        <v/>
      </c>
      <c r="Z196" s="74" t="str">
        <f t="shared" si="653"/>
        <v/>
      </c>
      <c r="AB196" s="176"/>
      <c r="AC196" s="130" t="str">
        <f t="shared" si="654"/>
        <v/>
      </c>
      <c r="AD196" s="39" t="str">
        <f t="shared" si="655"/>
        <v/>
      </c>
      <c r="AE196" s="39" t="str">
        <f t="shared" si="656"/>
        <v/>
      </c>
      <c r="AF196" s="39" t="str">
        <f t="shared" si="657"/>
        <v/>
      </c>
      <c r="AG196" s="74" t="str">
        <f t="shared" si="658"/>
        <v/>
      </c>
      <c r="AI196" s="196"/>
      <c r="AJ196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6" s="136" t="str">
        <f>IF(AJ196&lt;&gt;"",IF(AJ196=0,COUNTIF(AJ$2:AJ195,0)+1,COUNTIF(AJ$2:AJ195,AJ196)+AJ196+COUNTIF(AJ:AJ,0)),"")</f>
        <v/>
      </c>
      <c r="AL196" s="136" t="str">
        <f t="shared" si="659"/>
        <v/>
      </c>
      <c r="AM196" s="155" t="str">
        <f>IF(AND(Include_study?="Yes",Sufficient_data="Yes",Input!Study_name&lt;&gt;""),Input!Study_name,"")</f>
        <v/>
      </c>
      <c r="AN196" s="136" t="str">
        <f t="shared" si="660"/>
        <v/>
      </c>
      <c r="AO196" s="19" t="str">
        <f t="shared" si="661"/>
        <v/>
      </c>
      <c r="AP196" s="158" t="str">
        <f t="shared" si="662"/>
        <v/>
      </c>
      <c r="AQ196" s="158" t="str">
        <f t="shared" si="663"/>
        <v/>
      </c>
      <c r="AR196" s="39" t="str">
        <f t="shared" si="664"/>
        <v/>
      </c>
      <c r="AS196" s="158" t="str">
        <f t="shared" si="665"/>
        <v/>
      </c>
      <c r="AT196" s="39" t="str">
        <f t="shared" si="666"/>
        <v/>
      </c>
      <c r="AU196" s="172" t="str">
        <f t="shared" si="667"/>
        <v/>
      </c>
      <c r="AV196" s="45"/>
      <c r="AW196" s="84" t="e">
        <f t="shared" si="559"/>
        <v>#N/A</v>
      </c>
      <c r="AX196" s="69" t="e">
        <f t="shared" si="668"/>
        <v>#N/A</v>
      </c>
      <c r="AY196" s="74" t="e">
        <f t="shared" si="669"/>
        <v>#N/A</v>
      </c>
      <c r="AZ196" s="45"/>
      <c r="BA196" s="45"/>
      <c r="BB196" s="45"/>
      <c r="BC196" s="45"/>
      <c r="BD196" s="196"/>
      <c r="BE196" s="182"/>
      <c r="BF196" s="69" t="str">
        <f t="shared" si="562"/>
        <v/>
      </c>
      <c r="BG196" s="69" t="str">
        <f t="shared" si="563"/>
        <v/>
      </c>
      <c r="BH196" s="69" t="str">
        <f t="shared" si="564"/>
        <v/>
      </c>
      <c r="BI196" s="39" t="str">
        <f t="shared" si="565"/>
        <v/>
      </c>
      <c r="BJ196" s="95" t="str">
        <f t="shared" si="670"/>
        <v/>
      </c>
      <c r="BO196" s="176"/>
      <c r="BP196" s="158" t="str">
        <f t="shared" si="671"/>
        <v/>
      </c>
      <c r="BQ196" s="158" t="str">
        <f t="shared" si="672"/>
        <v/>
      </c>
      <c r="BR196" s="158" t="str">
        <f t="shared" si="673"/>
        <v/>
      </c>
      <c r="BS196" s="158" t="str">
        <f>IF(AND(Sufficient_data="Yes",Include_study?="Yes"),IF(Add_0_5="Yes",(a_+d_+1)*(ab_+0.5)*(c_+0.5)/(Number_of_subjects+2)^2,(a_+d_)*b_*c_/Number_of_subjects^2),"")</f>
        <v/>
      </c>
      <c r="BT196" s="158" t="str">
        <f t="shared" si="674"/>
        <v/>
      </c>
      <c r="BU196" s="158" t="str">
        <f t="shared" si="675"/>
        <v/>
      </c>
      <c r="BV196" s="158" t="str">
        <f t="shared" si="676"/>
        <v/>
      </c>
      <c r="BW196" s="69" t="str">
        <f t="shared" si="573"/>
        <v/>
      </c>
      <c r="BX196" s="137" t="str">
        <f t="shared" si="574"/>
        <v/>
      </c>
      <c r="BY196" s="95" t="str">
        <f t="shared" si="677"/>
        <v/>
      </c>
      <c r="CD196" s="176"/>
      <c r="CE196" s="130" t="str">
        <f t="shared" si="678"/>
        <v/>
      </c>
      <c r="CF196" s="39" t="str">
        <f t="shared" si="679"/>
        <v/>
      </c>
      <c r="CG196" s="39" t="str">
        <f t="shared" si="680"/>
        <v/>
      </c>
      <c r="CH196" s="39" t="str">
        <f t="shared" si="681"/>
        <v/>
      </c>
      <c r="CI196" s="39" t="str">
        <f t="shared" si="682"/>
        <v/>
      </c>
      <c r="CJ196" s="39" t="str">
        <f t="shared" si="683"/>
        <v/>
      </c>
      <c r="CK196" s="95" t="str">
        <f t="shared" si="684"/>
        <v/>
      </c>
      <c r="CP196" s="176"/>
      <c r="CQ196" s="99" t="str">
        <f t="shared" si="582"/>
        <v/>
      </c>
      <c r="CX196" s="196"/>
      <c r="CY196" s="89" t="e">
        <f t="shared" si="685"/>
        <v>#N/A</v>
      </c>
      <c r="CZ196" s="136" t="str">
        <f t="shared" si="686"/>
        <v/>
      </c>
      <c r="DA196" s="140" t="str">
        <f t="shared" si="687"/>
        <v/>
      </c>
      <c r="DB196" s="39" t="str">
        <f t="shared" si="688"/>
        <v/>
      </c>
      <c r="DC196" s="39" t="str">
        <f t="shared" si="689"/>
        <v/>
      </c>
      <c r="DD196" s="39" t="str">
        <f t="shared" si="690"/>
        <v/>
      </c>
      <c r="DE196" s="39" t="str">
        <f t="shared" si="691"/>
        <v/>
      </c>
      <c r="DF196" s="141" t="str">
        <f t="shared" si="692"/>
        <v/>
      </c>
      <c r="DG196" s="39" t="str">
        <f t="shared" si="693"/>
        <v/>
      </c>
      <c r="DH196" s="39" t="str">
        <f t="shared" si="694"/>
        <v/>
      </c>
      <c r="DI196" s="39" t="str">
        <f t="shared" si="695"/>
        <v/>
      </c>
      <c r="DJ196" s="74" t="str">
        <f t="shared" si="696"/>
        <v/>
      </c>
      <c r="DK196" s="45"/>
      <c r="DL196" s="84" t="e">
        <f t="shared" si="620"/>
        <v>#N/A</v>
      </c>
      <c r="DM196" s="39" t="e">
        <f t="shared" si="697"/>
        <v>#N/A</v>
      </c>
      <c r="DN196" s="74" t="e">
        <f t="shared" si="698"/>
        <v>#N/A</v>
      </c>
      <c r="DO196" s="45"/>
      <c r="DP196" s="89" t="str">
        <f t="shared" si="722"/>
        <v/>
      </c>
      <c r="DQ196" s="26" t="str">
        <f>IF(AND(Sufficient_data="Yes",Subgroup&lt;&gt;""),IF(COUNTIFS(Input!J$2:J195,"="&amp;"Yes",Input!C$2:C195,"="&amp;"Yes",Input!K$2:K195,"="&amp;Subgroup)&gt;0,"",Subgroup),"")</f>
        <v/>
      </c>
      <c r="DR196" s="7" t="str">
        <f t="shared" si="723"/>
        <v/>
      </c>
      <c r="DS196" s="7" t="str">
        <f t="shared" si="699"/>
        <v/>
      </c>
      <c r="DT196" s="19" t="str">
        <f t="shared" si="700"/>
        <v/>
      </c>
      <c r="DU196" s="12" t="str">
        <f t="shared" si="621"/>
        <v/>
      </c>
      <c r="DV196" s="11" t="str">
        <f t="shared" si="622"/>
        <v/>
      </c>
      <c r="DW196" s="12" t="str">
        <f t="shared" si="623"/>
        <v/>
      </c>
      <c r="DX196" s="12" t="str">
        <f t="shared" si="701"/>
        <v/>
      </c>
      <c r="DY196" s="19" t="str">
        <f t="shared" si="624"/>
        <v/>
      </c>
      <c r="DZ196" s="12" t="str">
        <f t="shared" si="625"/>
        <v/>
      </c>
      <c r="EA196" s="19" t="str">
        <f t="shared" si="702"/>
        <v/>
      </c>
      <c r="EB196" s="7" t="str">
        <f t="shared" si="703"/>
        <v/>
      </c>
      <c r="EC196" s="19" t="str">
        <f t="shared" si="704"/>
        <v/>
      </c>
      <c r="ED196" s="19" t="str">
        <f t="shared" si="705"/>
        <v/>
      </c>
      <c r="EE196" s="19" t="str">
        <f t="shared" si="626"/>
        <v/>
      </c>
      <c r="EF196" s="19" t="str">
        <f t="shared" si="627"/>
        <v/>
      </c>
      <c r="EG196" s="19" t="str">
        <f t="shared" si="628"/>
        <v/>
      </c>
      <c r="EH196" s="19" t="str">
        <f t="shared" si="629"/>
        <v/>
      </c>
      <c r="EI196" s="19" t="str">
        <f t="shared" si="630"/>
        <v/>
      </c>
      <c r="EJ196" s="19" t="str">
        <f t="shared" si="706"/>
        <v/>
      </c>
      <c r="EK196" s="19" t="str">
        <f t="shared" si="707"/>
        <v/>
      </c>
      <c r="EL196" s="19" t="str">
        <f t="shared" si="631"/>
        <v/>
      </c>
      <c r="EM196" s="19" t="str">
        <f t="shared" si="632"/>
        <v/>
      </c>
      <c r="EN196" s="19" t="str">
        <f t="shared" si="633"/>
        <v/>
      </c>
      <c r="EO196" s="19" t="str">
        <f t="shared" si="634"/>
        <v/>
      </c>
      <c r="EP196" s="19" t="str">
        <f t="shared" si="635"/>
        <v/>
      </c>
      <c r="EQ196" s="19" t="e">
        <f t="shared" si="636"/>
        <v>#N/A</v>
      </c>
      <c r="ER196" s="11" t="str">
        <f t="shared" si="724"/>
        <v/>
      </c>
      <c r="ES196" s="19" t="str">
        <f t="shared" si="725"/>
        <v/>
      </c>
      <c r="ET196" s="156" t="str">
        <f t="shared" si="708"/>
        <v/>
      </c>
      <c r="EU196" s="39" t="str">
        <f t="shared" si="637"/>
        <v/>
      </c>
      <c r="EV196" s="74" t="str">
        <f t="shared" si="709"/>
        <v/>
      </c>
      <c r="FA196" s="196"/>
      <c r="FB196" s="84" t="e">
        <f>IF(AND(Include_study?="Yes",Sufficient_data="Yes",Moderator&lt;&gt;""),'Moderator Analysis'!E196,NA())</f>
        <v>#N/A</v>
      </c>
      <c r="FC196" s="39" t="e">
        <f>IF(AND(Include_study?="Yes",Sufficient_data="Yes",Moderator&lt;&gt;""),'Moderator Analysis'!F196,NA())</f>
        <v>#N/A</v>
      </c>
      <c r="FD196" s="39" t="str">
        <f t="shared" si="710"/>
        <v/>
      </c>
      <c r="FE196" s="39" t="str">
        <f t="shared" si="711"/>
        <v/>
      </c>
      <c r="FF196" s="39" t="str">
        <f>IF(AND(Include_study?="Yes",Sufficient_data="Yes",Moderator&lt;&gt;""),'Moderator Analysis'!F:F-FP$2,"")</f>
        <v/>
      </c>
      <c r="FG196" s="39" t="str">
        <f>IF(AND(Include_study?="Yes",Sufficient_data="Yes",Moderator&lt;&gt;""),'Moderator Analysis'!E:E-FP$3,"")</f>
        <v/>
      </c>
      <c r="FH196" s="74" t="str">
        <f>IF(AND(Include_study?="Yes",Sufficient_data="Yes",Moderator&lt;&gt;""),FE:FE*('Moderator Analysis'!F:F-FP$5-FP$4*'Moderator Analysis'!E:E)^2,"")</f>
        <v/>
      </c>
      <c r="FI196" s="128"/>
      <c r="FJ196" s="92" t="str">
        <f t="shared" si="712"/>
        <v/>
      </c>
      <c r="FK196" s="137" t="str">
        <f>IF(AND(Include_study?="Yes",Sufficient_data="Yes",Moderator&lt;&gt;""),'Moderator Analysis'!F:F-'Moderator Analysis'!J$37,"")</f>
        <v/>
      </c>
      <c r="FL196" s="137" t="str">
        <f>IF(AND(Include_study?="Yes",Sufficient_data="Yes",Moderator&lt;&gt;""),'Moderator Analysis'!E:E-SUMPRODUCT('Moderator Analysis'!E:E,FJ:FJ)/SUM(FJ:FJ),"")</f>
        <v/>
      </c>
      <c r="FM196" s="95" t="str">
        <f>IF(AND(Include_study?="Yes",Sufficient_data="Yes",Moderator&lt;&gt;""),FJ:FJ*('Moderator Analysis'!F:F-'Moderator Analysis'!J$29-'Moderator Analysis'!J$30*'Moderator Analysis'!E:E)^2,"")</f>
        <v/>
      </c>
      <c r="FR196" s="196"/>
      <c r="FS196" s="182"/>
      <c r="FT196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6" s="39" t="str">
        <f>IF(AND(Include_study?="Yes",Sufficient_data="Yes"),1/('Publication Bias Analysis'!F:F^2+IF(Additional_model="Fixed effect",0,Calculations!GH$12)),"")</f>
        <v/>
      </c>
      <c r="FV196" s="39" t="str">
        <f>IF(AND(Include_study?="Yes",Sufficient_data="Yes"),1/('Publication Bias Analysis'!F:F^2+IF(Additional_model="Fixed effect",0,'Publication Bias Analysis'!L$32)),"")</f>
        <v/>
      </c>
      <c r="FW196" s="39" t="str">
        <f>IF(AND(Include_study?="Yes",Sufficient_data="Yes"),'Publication Bias Analysis'!E:E-'Publication Bias Analysis'!I$37,"")</f>
        <v/>
      </c>
      <c r="FX196" s="39" t="str">
        <f>IF(AND(Include_study?="Yes",Sufficient_data="Yes"),IF(Additional_model="Fixed effect",1/'Publication Bias Analysis'!F:F,1/SQRT('Publication Bias Analysis'!F:F^2+GH$12)),"")</f>
        <v/>
      </c>
      <c r="FY196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6" s="136" t="str">
        <f t="shared" si="713"/>
        <v/>
      </c>
      <c r="GA196" s="144" t="str">
        <f>IF(AND(Include_study?="Yes",Sufficient_data="Yes"),FZ:FZ+IF(GL:GL&lt;0,-1,1)*COUNTIF(FZ$2:FZ195,FZ:FZ),"")</f>
        <v/>
      </c>
      <c r="GB196" s="144" t="str">
        <f>IF(AND(Include_study?="Yes",Sufficient_data="Yes"),RANK(GP:GP,GP:GP,1)*IF(GO:GO&lt;0,-1,1)+IF(GO:GO&lt;0,-1,1)*COUNTIF(FZ$2:FZ195,FZ:FZ),"")</f>
        <v/>
      </c>
      <c r="GC196" s="144" t="str">
        <f>IF(AND(Include_study?="Yes",Sufficient_data="Yes"),RANK(GS:GS,GS:GS,1)*IF(GR:GR&lt;0,-1,1)+IF(GR:GR&lt;0,-1,1)*COUNTIF(FZ$2:FZ195,FZ:FZ),"")</f>
        <v/>
      </c>
      <c r="GD196" s="39" t="e">
        <f>IF(AND(Include_study?="Yes",Sufficient_data="Yes"),'Publication Bias Analysis'!E196,NA())</f>
        <v>#N/A</v>
      </c>
      <c r="GE196" s="74" t="e">
        <f>IF(AND(Include_study?="Yes",Sufficient_data="Yes"),'Publication Bias Analysis'!F196,NA())</f>
        <v>#N/A</v>
      </c>
      <c r="GK196" s="176"/>
      <c r="GL196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6" s="39" t="str">
        <f t="shared" si="714"/>
        <v/>
      </c>
      <c r="GN196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6" s="39" t="str">
        <f>IF(AND(Include_study?="Yes",Sufficient_data="Yes"),IF('Publication Bias Analysis'!L$38="Left",'Publication Bias Analysis'!E:E-GW$3,GW$3-'Publication Bias Analysis'!E:E),"")</f>
        <v/>
      </c>
      <c r="GP196" s="39" t="str">
        <f t="shared" si="726"/>
        <v/>
      </c>
      <c r="GQ196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6" s="39" t="str">
        <f>IF(AND(Include_study?="Yes",Sufficient_data="Yes"),IF('Publication Bias Analysis'!L$38="Left",'Publication Bias Analysis'!E:E-GW$10,GW$10-'Publication Bias Analysis'!E:E),"")</f>
        <v/>
      </c>
      <c r="GS196" s="39" t="str">
        <f t="shared" si="727"/>
        <v/>
      </c>
      <c r="GT196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6" s="176"/>
      <c r="HL196" s="69" t="str">
        <f t="shared" si="715"/>
        <v/>
      </c>
      <c r="HM196" s="74" t="str">
        <f>IF(AND(Include_study?="Yes",Sufficient_data="Yes"),Z_score-('Publication Bias Analysis'!P$3+'Publication Bias Analysis'!P$4*Inverse_standard_error),"")</f>
        <v/>
      </c>
      <c r="HO196" s="176"/>
      <c r="HP196" s="69" t="str">
        <f>IF(AND(Include_study?="Yes",Sufficient_data="Yes"),(GD:GD-SUMPRODUCT(Calculations!FT:FT,'Publication Bias Analysis'!E:E)/SUM(Calculations!FT:FT))/SQRT(Calculations!HQ:HQ),"")</f>
        <v/>
      </c>
      <c r="HQ196" s="69" t="str">
        <f>IF(AND(Include_study?="Yes",Sufficient_data="Yes"),GE:GE^2-1/SUM(Calculations!FT:FT),"")</f>
        <v/>
      </c>
      <c r="HR196" s="7" t="str">
        <f t="shared" si="638"/>
        <v/>
      </c>
      <c r="HS196" s="7" t="str">
        <f t="shared" si="639"/>
        <v/>
      </c>
      <c r="HT196" s="7" t="str">
        <f>IF(AND(Include_study?="Yes",Sufficient_data="Yes"),COUNTIFS(HR$2:HR195,"&lt;"&amp;HR196,HS$2:HS195,"&lt;"&amp;HS196)+COUNTIFS(HR197:HR$201,"&lt;"&amp;HR196,HS197:HS$201,"&lt;"&amp;HS196)+COUNTIFS(HR$2:HR195,"&gt;"&amp;HR196,HS$2:HS195,"&gt;"&amp;HS196)+COUNTIFS(HR197:HR$201,"&gt;"&amp;HR196,HS197:HS$201,"&gt;"&amp;HS196),"")</f>
        <v/>
      </c>
      <c r="HU196" s="104" t="str">
        <f>IF(AND(Include_study?="Yes",Sufficient_data="Yes"),COUNTIFS(HR$2:HR195,"&lt;"&amp;HR196,HS$2:HS195,"&gt;"&amp;HS196)+COUNTIFS(HR197:HR$201,"&lt;"&amp;HR196,HS197:HS$201,"&gt;"&amp;HS196)+COUNTIFS(HR$2:HR195,"&gt;"&amp;HR196,HS$2:HS195,"&lt;"&amp;HS196)+COUNTIFS(HR197:HR$201,"&gt;"&amp;HR196,HS197:HS$201,"&lt;"&amp;HS196),"")</f>
        <v/>
      </c>
      <c r="HW196" s="176"/>
      <c r="IB196" s="176"/>
      <c r="IC196" s="146" t="e">
        <f t="shared" si="716"/>
        <v>#N/A</v>
      </c>
      <c r="ID196" s="137" t="e">
        <f t="shared" si="717"/>
        <v>#N/A</v>
      </c>
      <c r="IE196" s="137" t="str">
        <f t="shared" si="718"/>
        <v/>
      </c>
      <c r="IF196" s="95" t="str">
        <f t="shared" si="719"/>
        <v/>
      </c>
      <c r="IK196" s="176"/>
      <c r="IL196" s="69" t="e">
        <f>IF(AND(Include_study?="Yes",Sufficient_data="Yes"),'Publication Bias Analysis'!AV:AV,NA())</f>
        <v>#N/A</v>
      </c>
      <c r="IM196" s="158" t="e">
        <f>IF(AND(Sufficient_data="Yes",Include_study?="Yes"),'Publication Bias Analysis'!AU:AU,NA())</f>
        <v>#N/A</v>
      </c>
      <c r="IN196" s="69" t="str">
        <f t="shared" si="617"/>
        <v/>
      </c>
      <c r="IO196" s="74" t="str">
        <f>IF(AND(Include_study?="Yes",Sufficient_data="Yes"),Z_score-('Publication Bias Analysis'!AY$30+'Publication Bias Analysis'!AY$31*Inverse_standard_error),"")</f>
        <v/>
      </c>
      <c r="IU196" s="176"/>
      <c r="IV196" s="7" t="str">
        <f>IF('Publication Bias Analysis'!BG:BG&lt;&gt;"",RANK('Publication Bias Analysis'!BG:BG,'Publication Bias Analysis'!BG:BG,1)+COUNTIF('Publication Bias Analysis'!BG$2:BG195,'Publication Bias Analysis'!BG196),"")</f>
        <v/>
      </c>
      <c r="IW196" s="124" t="str">
        <f t="shared" si="720"/>
        <v/>
      </c>
      <c r="IX196" s="125" t="e">
        <f>IF('Publication Bias Analysis'!BF196&lt;&gt;"",'Publication Bias Analysis'!BF196,NA())</f>
        <v>#N/A</v>
      </c>
      <c r="IY196" s="125" t="e">
        <f>IF('Publication Bias Analysis'!BG196&lt;&gt;"",'Publication Bias Analysis'!BG196,NA())</f>
        <v>#N/A</v>
      </c>
      <c r="IZ196" s="69" t="str">
        <f>IF(AND(Include_study?="Yes",Sufficient_data="Yes"),'Publication Bias Analysis'!BF:BF-AVERAGE('Publication Bias Analysis'!BF:BF),"")</f>
        <v/>
      </c>
      <c r="JA196" s="74" t="str">
        <f>IF(AND(Include_study?="Yes",Sufficient_data="Yes"),'Publication Bias Analysis'!BG:BG-('Publication Bias Analysis'!BJ$30+'Publication Bias Analysis'!BJ$31*'Publication Bias Analysis'!BF:BF),"")</f>
        <v/>
      </c>
      <c r="JG196" s="176"/>
      <c r="JH196" s="39" t="str">
        <f t="shared" si="721"/>
        <v/>
      </c>
      <c r="JI196" s="148" t="str">
        <f t="shared" si="728"/>
        <v/>
      </c>
      <c r="JJ196" s="74" t="str">
        <f t="shared" si="729"/>
        <v/>
      </c>
    </row>
    <row r="197" spans="1:270" x14ac:dyDescent="0.2">
      <c r="A197" s="56" t="str">
        <f t="shared" si="533"/>
        <v/>
      </c>
      <c r="B197" s="7" t="str">
        <f>IF(AND(Include_study?="Yes",Sufficient_data="Yes"),IF(Input!a_&lt;&gt;"",Input!a_,Input!n1_-Input!b_),"")</f>
        <v/>
      </c>
      <c r="C197" s="7" t="str">
        <f>IF(AND(Include_study?="Yes",Sufficient_data="Yes"),IF(Input!b_&lt;&gt;"",Input!b_,Input!n1_-Input!a_),"")</f>
        <v/>
      </c>
      <c r="D197" s="7" t="str">
        <f>IF(AND(Include_study?="Yes",Sufficient_data="Yes"),IF(Input!c_&lt;&gt;"",Input!c_,Input!n2_-Input!d_),"")</f>
        <v/>
      </c>
      <c r="E197" s="7" t="str">
        <f>IF(AND(Include_study?="Yes",Sufficient_data="Yes"),IF(Input!d_&lt;&gt;"",Input!d_,Input!n2_-Input!c_),"")</f>
        <v/>
      </c>
      <c r="F197" s="74" t="str">
        <f t="shared" si="640"/>
        <v/>
      </c>
      <c r="H197" s="196"/>
      <c r="I197" s="182"/>
      <c r="J197" s="146" t="str">
        <f t="shared" si="641"/>
        <v/>
      </c>
      <c r="K197" s="39" t="str">
        <f t="shared" si="642"/>
        <v/>
      </c>
      <c r="L197" s="39" t="str">
        <f t="shared" si="643"/>
        <v/>
      </c>
      <c r="M197" s="39" t="str">
        <f t="shared" si="644"/>
        <v/>
      </c>
      <c r="N197" s="74" t="str">
        <f t="shared" si="645"/>
        <v/>
      </c>
      <c r="P197" s="176"/>
      <c r="Q197" s="130" t="str">
        <f t="shared" si="646"/>
        <v/>
      </c>
      <c r="R197" s="39" t="str">
        <f t="shared" si="647"/>
        <v/>
      </c>
      <c r="S197" s="39" t="str">
        <f t="shared" si="648"/>
        <v/>
      </c>
      <c r="T197" s="74" t="str">
        <f t="shared" si="649"/>
        <v/>
      </c>
      <c r="V197" s="176"/>
      <c r="W197" s="130" t="str">
        <f t="shared" si="650"/>
        <v/>
      </c>
      <c r="X197" s="39" t="str">
        <f t="shared" si="651"/>
        <v/>
      </c>
      <c r="Y197" s="39" t="str">
        <f t="shared" si="652"/>
        <v/>
      </c>
      <c r="Z197" s="74" t="str">
        <f t="shared" si="653"/>
        <v/>
      </c>
      <c r="AB197" s="176"/>
      <c r="AC197" s="130" t="str">
        <f t="shared" si="654"/>
        <v/>
      </c>
      <c r="AD197" s="39" t="str">
        <f t="shared" si="655"/>
        <v/>
      </c>
      <c r="AE197" s="39" t="str">
        <f t="shared" si="656"/>
        <v/>
      </c>
      <c r="AF197" s="39" t="str">
        <f t="shared" si="657"/>
        <v/>
      </c>
      <c r="AG197" s="74" t="str">
        <f t="shared" si="658"/>
        <v/>
      </c>
      <c r="AI197" s="196"/>
      <c r="AJ197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7" s="136" t="str">
        <f>IF(AJ197&lt;&gt;"",IF(AJ197=0,COUNTIF(AJ$2:AJ196,0)+1,COUNTIF(AJ$2:AJ196,AJ197)+AJ197+COUNTIF(AJ:AJ,0)),"")</f>
        <v/>
      </c>
      <c r="AL197" s="136" t="str">
        <f t="shared" si="659"/>
        <v/>
      </c>
      <c r="AM197" s="155" t="str">
        <f>IF(AND(Include_study?="Yes",Sufficient_data="Yes",Input!Study_name&lt;&gt;""),Input!Study_name,"")</f>
        <v/>
      </c>
      <c r="AN197" s="136" t="str">
        <f t="shared" si="660"/>
        <v/>
      </c>
      <c r="AO197" s="19" t="str">
        <f t="shared" si="661"/>
        <v/>
      </c>
      <c r="AP197" s="158" t="str">
        <f t="shared" si="662"/>
        <v/>
      </c>
      <c r="AQ197" s="158" t="str">
        <f t="shared" si="663"/>
        <v/>
      </c>
      <c r="AR197" s="39" t="str">
        <f t="shared" si="664"/>
        <v/>
      </c>
      <c r="AS197" s="158" t="str">
        <f t="shared" si="665"/>
        <v/>
      </c>
      <c r="AT197" s="39" t="str">
        <f t="shared" si="666"/>
        <v/>
      </c>
      <c r="AU197" s="172" t="str">
        <f t="shared" si="667"/>
        <v/>
      </c>
      <c r="AV197" s="45"/>
      <c r="AW197" s="84" t="e">
        <f t="shared" si="559"/>
        <v>#N/A</v>
      </c>
      <c r="AX197" s="69" t="e">
        <f t="shared" si="668"/>
        <v>#N/A</v>
      </c>
      <c r="AY197" s="74" t="e">
        <f t="shared" si="669"/>
        <v>#N/A</v>
      </c>
      <c r="AZ197" s="45"/>
      <c r="BA197" s="45"/>
      <c r="BB197" s="45"/>
      <c r="BC197" s="45"/>
      <c r="BD197" s="196"/>
      <c r="BE197" s="182"/>
      <c r="BF197" s="69" t="str">
        <f t="shared" si="562"/>
        <v/>
      </c>
      <c r="BG197" s="69" t="str">
        <f t="shared" si="563"/>
        <v/>
      </c>
      <c r="BH197" s="69" t="str">
        <f t="shared" si="564"/>
        <v/>
      </c>
      <c r="BI197" s="39" t="str">
        <f t="shared" si="565"/>
        <v/>
      </c>
      <c r="BJ197" s="95" t="str">
        <f t="shared" si="670"/>
        <v/>
      </c>
      <c r="BO197" s="176"/>
      <c r="BP197" s="158" t="str">
        <f t="shared" si="671"/>
        <v/>
      </c>
      <c r="BQ197" s="158" t="str">
        <f t="shared" si="672"/>
        <v/>
      </c>
      <c r="BR197" s="158" t="str">
        <f t="shared" si="673"/>
        <v/>
      </c>
      <c r="BS197" s="158" t="str">
        <f>IF(AND(Sufficient_data="Yes",Include_study?="Yes"),IF(Add_0_5="Yes",(a_+d_+1)*(ab_+0.5)*(c_+0.5)/(Number_of_subjects+2)^2,(a_+d_)*b_*c_/Number_of_subjects^2),"")</f>
        <v/>
      </c>
      <c r="BT197" s="158" t="str">
        <f t="shared" si="674"/>
        <v/>
      </c>
      <c r="BU197" s="158" t="str">
        <f t="shared" si="675"/>
        <v/>
      </c>
      <c r="BV197" s="158" t="str">
        <f t="shared" si="676"/>
        <v/>
      </c>
      <c r="BW197" s="69" t="str">
        <f t="shared" si="573"/>
        <v/>
      </c>
      <c r="BX197" s="137" t="str">
        <f t="shared" si="574"/>
        <v/>
      </c>
      <c r="BY197" s="95" t="str">
        <f t="shared" si="677"/>
        <v/>
      </c>
      <c r="CD197" s="176"/>
      <c r="CE197" s="130" t="str">
        <f t="shared" si="678"/>
        <v/>
      </c>
      <c r="CF197" s="39" t="str">
        <f t="shared" si="679"/>
        <v/>
      </c>
      <c r="CG197" s="39" t="str">
        <f t="shared" si="680"/>
        <v/>
      </c>
      <c r="CH197" s="39" t="str">
        <f t="shared" si="681"/>
        <v/>
      </c>
      <c r="CI197" s="39" t="str">
        <f t="shared" si="682"/>
        <v/>
      </c>
      <c r="CJ197" s="39" t="str">
        <f t="shared" si="683"/>
        <v/>
      </c>
      <c r="CK197" s="95" t="str">
        <f t="shared" si="684"/>
        <v/>
      </c>
      <c r="CP197" s="176"/>
      <c r="CQ197" s="99" t="str">
        <f t="shared" si="582"/>
        <v/>
      </c>
      <c r="CX197" s="196"/>
      <c r="CY197" s="89" t="e">
        <f t="shared" si="685"/>
        <v>#N/A</v>
      </c>
      <c r="CZ197" s="136" t="str">
        <f t="shared" si="686"/>
        <v/>
      </c>
      <c r="DA197" s="140" t="str">
        <f t="shared" si="687"/>
        <v/>
      </c>
      <c r="DB197" s="39" t="str">
        <f t="shared" si="688"/>
        <v/>
      </c>
      <c r="DC197" s="39" t="str">
        <f t="shared" si="689"/>
        <v/>
      </c>
      <c r="DD197" s="39" t="str">
        <f t="shared" si="690"/>
        <v/>
      </c>
      <c r="DE197" s="39" t="str">
        <f t="shared" si="691"/>
        <v/>
      </c>
      <c r="DF197" s="141" t="str">
        <f t="shared" si="692"/>
        <v/>
      </c>
      <c r="DG197" s="39" t="str">
        <f t="shared" si="693"/>
        <v/>
      </c>
      <c r="DH197" s="39" t="str">
        <f t="shared" si="694"/>
        <v/>
      </c>
      <c r="DI197" s="39" t="str">
        <f t="shared" si="695"/>
        <v/>
      </c>
      <c r="DJ197" s="74" t="str">
        <f t="shared" si="696"/>
        <v/>
      </c>
      <c r="DK197" s="45"/>
      <c r="DL197" s="84" t="e">
        <f t="shared" si="620"/>
        <v>#N/A</v>
      </c>
      <c r="DM197" s="39" t="e">
        <f t="shared" si="697"/>
        <v>#N/A</v>
      </c>
      <c r="DN197" s="74" t="e">
        <f t="shared" si="698"/>
        <v>#N/A</v>
      </c>
      <c r="DO197" s="45"/>
      <c r="DP197" s="89" t="str">
        <f t="shared" si="722"/>
        <v/>
      </c>
      <c r="DQ197" s="26" t="str">
        <f>IF(AND(Sufficient_data="Yes",Subgroup&lt;&gt;""),IF(COUNTIFS(Input!J$2:J196,"="&amp;"Yes",Input!C$2:C196,"="&amp;"Yes",Input!K$2:K196,"="&amp;Subgroup)&gt;0,"",Subgroup),"")</f>
        <v/>
      </c>
      <c r="DR197" s="7" t="str">
        <f t="shared" si="723"/>
        <v/>
      </c>
      <c r="DS197" s="7" t="str">
        <f t="shared" si="699"/>
        <v/>
      </c>
      <c r="DT197" s="19" t="str">
        <f t="shared" si="700"/>
        <v/>
      </c>
      <c r="DU197" s="12" t="str">
        <f t="shared" si="621"/>
        <v/>
      </c>
      <c r="DV197" s="11" t="str">
        <f t="shared" si="622"/>
        <v/>
      </c>
      <c r="DW197" s="12" t="str">
        <f t="shared" si="623"/>
        <v/>
      </c>
      <c r="DX197" s="12" t="str">
        <f t="shared" si="701"/>
        <v/>
      </c>
      <c r="DY197" s="19" t="str">
        <f t="shared" si="624"/>
        <v/>
      </c>
      <c r="DZ197" s="12" t="str">
        <f t="shared" si="625"/>
        <v/>
      </c>
      <c r="EA197" s="19" t="str">
        <f t="shared" si="702"/>
        <v/>
      </c>
      <c r="EB197" s="7" t="str">
        <f t="shared" si="703"/>
        <v/>
      </c>
      <c r="EC197" s="19" t="str">
        <f t="shared" si="704"/>
        <v/>
      </c>
      <c r="ED197" s="19" t="str">
        <f t="shared" si="705"/>
        <v/>
      </c>
      <c r="EE197" s="19" t="str">
        <f t="shared" si="626"/>
        <v/>
      </c>
      <c r="EF197" s="19" t="str">
        <f t="shared" si="627"/>
        <v/>
      </c>
      <c r="EG197" s="19" t="str">
        <f t="shared" si="628"/>
        <v/>
      </c>
      <c r="EH197" s="19" t="str">
        <f t="shared" si="629"/>
        <v/>
      </c>
      <c r="EI197" s="19" t="str">
        <f t="shared" si="630"/>
        <v/>
      </c>
      <c r="EJ197" s="19" t="str">
        <f t="shared" si="706"/>
        <v/>
      </c>
      <c r="EK197" s="19" t="str">
        <f t="shared" si="707"/>
        <v/>
      </c>
      <c r="EL197" s="19" t="str">
        <f t="shared" si="631"/>
        <v/>
      </c>
      <c r="EM197" s="19" t="str">
        <f t="shared" si="632"/>
        <v/>
      </c>
      <c r="EN197" s="19" t="str">
        <f t="shared" si="633"/>
        <v/>
      </c>
      <c r="EO197" s="19" t="str">
        <f t="shared" si="634"/>
        <v/>
      </c>
      <c r="EP197" s="19" t="str">
        <f t="shared" si="635"/>
        <v/>
      </c>
      <c r="EQ197" s="19" t="e">
        <f t="shared" si="636"/>
        <v>#N/A</v>
      </c>
      <c r="ER197" s="11" t="str">
        <f t="shared" si="724"/>
        <v/>
      </c>
      <c r="ES197" s="19" t="str">
        <f t="shared" si="725"/>
        <v/>
      </c>
      <c r="ET197" s="156" t="str">
        <f t="shared" si="708"/>
        <v/>
      </c>
      <c r="EU197" s="39" t="str">
        <f t="shared" si="637"/>
        <v/>
      </c>
      <c r="EV197" s="74" t="str">
        <f t="shared" si="709"/>
        <v/>
      </c>
      <c r="FA197" s="196"/>
      <c r="FB197" s="84" t="e">
        <f>IF(AND(Include_study?="Yes",Sufficient_data="Yes",Moderator&lt;&gt;""),'Moderator Analysis'!E197,NA())</f>
        <v>#N/A</v>
      </c>
      <c r="FC197" s="39" t="e">
        <f>IF(AND(Include_study?="Yes",Sufficient_data="Yes",Moderator&lt;&gt;""),'Moderator Analysis'!F197,NA())</f>
        <v>#N/A</v>
      </c>
      <c r="FD197" s="39" t="str">
        <f t="shared" si="710"/>
        <v/>
      </c>
      <c r="FE197" s="39" t="str">
        <f t="shared" si="711"/>
        <v/>
      </c>
      <c r="FF197" s="39" t="str">
        <f>IF(AND(Include_study?="Yes",Sufficient_data="Yes",Moderator&lt;&gt;""),'Moderator Analysis'!F:F-FP$2,"")</f>
        <v/>
      </c>
      <c r="FG197" s="39" t="str">
        <f>IF(AND(Include_study?="Yes",Sufficient_data="Yes",Moderator&lt;&gt;""),'Moderator Analysis'!E:E-FP$3,"")</f>
        <v/>
      </c>
      <c r="FH197" s="74" t="str">
        <f>IF(AND(Include_study?="Yes",Sufficient_data="Yes",Moderator&lt;&gt;""),FE:FE*('Moderator Analysis'!F:F-FP$5-FP$4*'Moderator Analysis'!E:E)^2,"")</f>
        <v/>
      </c>
      <c r="FI197" s="128"/>
      <c r="FJ197" s="92" t="str">
        <f t="shared" si="712"/>
        <v/>
      </c>
      <c r="FK197" s="137" t="str">
        <f>IF(AND(Include_study?="Yes",Sufficient_data="Yes",Moderator&lt;&gt;""),'Moderator Analysis'!F:F-'Moderator Analysis'!J$37,"")</f>
        <v/>
      </c>
      <c r="FL197" s="137" t="str">
        <f>IF(AND(Include_study?="Yes",Sufficient_data="Yes",Moderator&lt;&gt;""),'Moderator Analysis'!E:E-SUMPRODUCT('Moderator Analysis'!E:E,FJ:FJ)/SUM(FJ:FJ),"")</f>
        <v/>
      </c>
      <c r="FM197" s="95" t="str">
        <f>IF(AND(Include_study?="Yes",Sufficient_data="Yes",Moderator&lt;&gt;""),FJ:FJ*('Moderator Analysis'!F:F-'Moderator Analysis'!J$29-'Moderator Analysis'!J$30*'Moderator Analysis'!E:E)^2,"")</f>
        <v/>
      </c>
      <c r="FR197" s="196"/>
      <c r="FS197" s="182"/>
      <c r="FT197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7" s="39" t="str">
        <f>IF(AND(Include_study?="Yes",Sufficient_data="Yes"),1/('Publication Bias Analysis'!F:F^2+IF(Additional_model="Fixed effect",0,Calculations!GH$12)),"")</f>
        <v/>
      </c>
      <c r="FV197" s="39" t="str">
        <f>IF(AND(Include_study?="Yes",Sufficient_data="Yes"),1/('Publication Bias Analysis'!F:F^2+IF(Additional_model="Fixed effect",0,'Publication Bias Analysis'!L$32)),"")</f>
        <v/>
      </c>
      <c r="FW197" s="39" t="str">
        <f>IF(AND(Include_study?="Yes",Sufficient_data="Yes"),'Publication Bias Analysis'!E:E-'Publication Bias Analysis'!I$37,"")</f>
        <v/>
      </c>
      <c r="FX197" s="39" t="str">
        <f>IF(AND(Include_study?="Yes",Sufficient_data="Yes"),IF(Additional_model="Fixed effect",1/'Publication Bias Analysis'!F:F,1/SQRT('Publication Bias Analysis'!F:F^2+GH$12)),"")</f>
        <v/>
      </c>
      <c r="FY197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7" s="136" t="str">
        <f t="shared" si="713"/>
        <v/>
      </c>
      <c r="GA197" s="144" t="str">
        <f>IF(AND(Include_study?="Yes",Sufficient_data="Yes"),FZ:FZ+IF(GL:GL&lt;0,-1,1)*COUNTIF(FZ$2:FZ196,FZ:FZ),"")</f>
        <v/>
      </c>
      <c r="GB197" s="144" t="str">
        <f>IF(AND(Include_study?="Yes",Sufficient_data="Yes"),RANK(GP:GP,GP:GP,1)*IF(GO:GO&lt;0,-1,1)+IF(GO:GO&lt;0,-1,1)*COUNTIF(FZ$2:FZ196,FZ:FZ),"")</f>
        <v/>
      </c>
      <c r="GC197" s="144" t="str">
        <f>IF(AND(Include_study?="Yes",Sufficient_data="Yes"),RANK(GS:GS,GS:GS,1)*IF(GR:GR&lt;0,-1,1)+IF(GR:GR&lt;0,-1,1)*COUNTIF(FZ$2:FZ196,FZ:FZ),"")</f>
        <v/>
      </c>
      <c r="GD197" s="39" t="e">
        <f>IF(AND(Include_study?="Yes",Sufficient_data="Yes"),'Publication Bias Analysis'!E197,NA())</f>
        <v>#N/A</v>
      </c>
      <c r="GE197" s="74" t="e">
        <f>IF(AND(Include_study?="Yes",Sufficient_data="Yes"),'Publication Bias Analysis'!F197,NA())</f>
        <v>#N/A</v>
      </c>
      <c r="GK197" s="176"/>
      <c r="GL197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7" s="39" t="str">
        <f t="shared" si="714"/>
        <v/>
      </c>
      <c r="GN197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7" s="39" t="str">
        <f>IF(AND(Include_study?="Yes",Sufficient_data="Yes"),IF('Publication Bias Analysis'!L$38="Left",'Publication Bias Analysis'!E:E-GW$3,GW$3-'Publication Bias Analysis'!E:E),"")</f>
        <v/>
      </c>
      <c r="GP197" s="39" t="str">
        <f t="shared" si="726"/>
        <v/>
      </c>
      <c r="GQ197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7" s="39" t="str">
        <f>IF(AND(Include_study?="Yes",Sufficient_data="Yes"),IF('Publication Bias Analysis'!L$38="Left",'Publication Bias Analysis'!E:E-GW$10,GW$10-'Publication Bias Analysis'!E:E),"")</f>
        <v/>
      </c>
      <c r="GS197" s="39" t="str">
        <f t="shared" si="727"/>
        <v/>
      </c>
      <c r="GT197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7" s="176"/>
      <c r="HL197" s="69" t="str">
        <f t="shared" si="715"/>
        <v/>
      </c>
      <c r="HM197" s="74" t="str">
        <f>IF(AND(Include_study?="Yes",Sufficient_data="Yes"),Z_score-('Publication Bias Analysis'!P$3+'Publication Bias Analysis'!P$4*Inverse_standard_error),"")</f>
        <v/>
      </c>
      <c r="HO197" s="176"/>
      <c r="HP197" s="69" t="str">
        <f>IF(AND(Include_study?="Yes",Sufficient_data="Yes"),(GD:GD-SUMPRODUCT(Calculations!FT:FT,'Publication Bias Analysis'!E:E)/SUM(Calculations!FT:FT))/SQRT(Calculations!HQ:HQ),"")</f>
        <v/>
      </c>
      <c r="HQ197" s="69" t="str">
        <f>IF(AND(Include_study?="Yes",Sufficient_data="Yes"),GE:GE^2-1/SUM(Calculations!FT:FT),"")</f>
        <v/>
      </c>
      <c r="HR197" s="7" t="str">
        <f t="shared" si="638"/>
        <v/>
      </c>
      <c r="HS197" s="7" t="str">
        <f t="shared" si="639"/>
        <v/>
      </c>
      <c r="HT197" s="7" t="str">
        <f>IF(AND(Include_study?="Yes",Sufficient_data="Yes"),COUNTIFS(HR$2:HR196,"&lt;"&amp;HR197,HS$2:HS196,"&lt;"&amp;HS197)+COUNTIFS(HR198:HR$201,"&lt;"&amp;HR197,HS198:HS$201,"&lt;"&amp;HS197)+COUNTIFS(HR$2:HR196,"&gt;"&amp;HR197,HS$2:HS196,"&gt;"&amp;HS197)+COUNTIFS(HR198:HR$201,"&gt;"&amp;HR197,HS198:HS$201,"&gt;"&amp;HS197),"")</f>
        <v/>
      </c>
      <c r="HU197" s="104" t="str">
        <f>IF(AND(Include_study?="Yes",Sufficient_data="Yes"),COUNTIFS(HR$2:HR196,"&lt;"&amp;HR197,HS$2:HS196,"&gt;"&amp;HS197)+COUNTIFS(HR198:HR$201,"&lt;"&amp;HR197,HS198:HS$201,"&gt;"&amp;HS197)+COUNTIFS(HR$2:HR196,"&gt;"&amp;HR197,HS$2:HS196,"&lt;"&amp;HS197)+COUNTIFS(HR198:HR$201,"&gt;"&amp;HR197,HS198:HS$201,"&lt;"&amp;HS197),"")</f>
        <v/>
      </c>
      <c r="HW197" s="176"/>
      <c r="IB197" s="176"/>
      <c r="IC197" s="146" t="e">
        <f t="shared" si="716"/>
        <v>#N/A</v>
      </c>
      <c r="ID197" s="137" t="e">
        <f t="shared" si="717"/>
        <v>#N/A</v>
      </c>
      <c r="IE197" s="137" t="str">
        <f t="shared" si="718"/>
        <v/>
      </c>
      <c r="IF197" s="95" t="str">
        <f t="shared" si="719"/>
        <v/>
      </c>
      <c r="IK197" s="176"/>
      <c r="IL197" s="69" t="e">
        <f>IF(AND(Include_study?="Yes",Sufficient_data="Yes"),'Publication Bias Analysis'!AV:AV,NA())</f>
        <v>#N/A</v>
      </c>
      <c r="IM197" s="158" t="e">
        <f>IF(AND(Sufficient_data="Yes",Include_study?="Yes"),'Publication Bias Analysis'!AU:AU,NA())</f>
        <v>#N/A</v>
      </c>
      <c r="IN197" s="69" t="str">
        <f t="shared" si="617"/>
        <v/>
      </c>
      <c r="IO197" s="74" t="str">
        <f>IF(AND(Include_study?="Yes",Sufficient_data="Yes"),Z_score-('Publication Bias Analysis'!AY$30+'Publication Bias Analysis'!AY$31*Inverse_standard_error),"")</f>
        <v/>
      </c>
      <c r="IU197" s="176"/>
      <c r="IV197" s="7" t="str">
        <f>IF('Publication Bias Analysis'!BG:BG&lt;&gt;"",RANK('Publication Bias Analysis'!BG:BG,'Publication Bias Analysis'!BG:BG,1)+COUNTIF('Publication Bias Analysis'!BG$2:BG196,'Publication Bias Analysis'!BG197),"")</f>
        <v/>
      </c>
      <c r="IW197" s="124" t="str">
        <f t="shared" si="720"/>
        <v/>
      </c>
      <c r="IX197" s="125" t="e">
        <f>IF('Publication Bias Analysis'!BF197&lt;&gt;"",'Publication Bias Analysis'!BF197,NA())</f>
        <v>#N/A</v>
      </c>
      <c r="IY197" s="125" t="e">
        <f>IF('Publication Bias Analysis'!BG197&lt;&gt;"",'Publication Bias Analysis'!BG197,NA())</f>
        <v>#N/A</v>
      </c>
      <c r="IZ197" s="69" t="str">
        <f>IF(AND(Include_study?="Yes",Sufficient_data="Yes"),'Publication Bias Analysis'!BF:BF-AVERAGE('Publication Bias Analysis'!BF:BF),"")</f>
        <v/>
      </c>
      <c r="JA197" s="74" t="str">
        <f>IF(AND(Include_study?="Yes",Sufficient_data="Yes"),'Publication Bias Analysis'!BG:BG-('Publication Bias Analysis'!BJ$30+'Publication Bias Analysis'!BJ$31*'Publication Bias Analysis'!BF:BF),"")</f>
        <v/>
      </c>
      <c r="JG197" s="176"/>
      <c r="JH197" s="39" t="str">
        <f t="shared" si="721"/>
        <v/>
      </c>
      <c r="JI197" s="148" t="str">
        <f t="shared" si="728"/>
        <v/>
      </c>
      <c r="JJ197" s="74" t="str">
        <f t="shared" si="729"/>
        <v/>
      </c>
    </row>
    <row r="198" spans="1:270" x14ac:dyDescent="0.2">
      <c r="A198" s="56" t="str">
        <f t="shared" si="533"/>
        <v/>
      </c>
      <c r="B198" s="7" t="str">
        <f>IF(AND(Include_study?="Yes",Sufficient_data="Yes"),IF(Input!a_&lt;&gt;"",Input!a_,Input!n1_-Input!b_),"")</f>
        <v/>
      </c>
      <c r="C198" s="7" t="str">
        <f>IF(AND(Include_study?="Yes",Sufficient_data="Yes"),IF(Input!b_&lt;&gt;"",Input!b_,Input!n1_-Input!a_),"")</f>
        <v/>
      </c>
      <c r="D198" s="7" t="str">
        <f>IF(AND(Include_study?="Yes",Sufficient_data="Yes"),IF(Input!c_&lt;&gt;"",Input!c_,Input!n2_-Input!d_),"")</f>
        <v/>
      </c>
      <c r="E198" s="7" t="str">
        <f>IF(AND(Include_study?="Yes",Sufficient_data="Yes"),IF(Input!d_&lt;&gt;"",Input!d_,Input!n2_-Input!c_),"")</f>
        <v/>
      </c>
      <c r="F198" s="74" t="str">
        <f t="shared" si="640"/>
        <v/>
      </c>
      <c r="H198" s="196"/>
      <c r="I198" s="182"/>
      <c r="J198" s="146" t="str">
        <f t="shared" si="641"/>
        <v/>
      </c>
      <c r="K198" s="39" t="str">
        <f t="shared" si="642"/>
        <v/>
      </c>
      <c r="L198" s="39" t="str">
        <f t="shared" si="643"/>
        <v/>
      </c>
      <c r="M198" s="39" t="str">
        <f t="shared" si="644"/>
        <v/>
      </c>
      <c r="N198" s="74" t="str">
        <f t="shared" si="645"/>
        <v/>
      </c>
      <c r="P198" s="176"/>
      <c r="Q198" s="130" t="str">
        <f t="shared" si="646"/>
        <v/>
      </c>
      <c r="R198" s="39" t="str">
        <f t="shared" si="647"/>
        <v/>
      </c>
      <c r="S198" s="39" t="str">
        <f t="shared" si="648"/>
        <v/>
      </c>
      <c r="T198" s="74" t="str">
        <f t="shared" si="649"/>
        <v/>
      </c>
      <c r="V198" s="176"/>
      <c r="W198" s="130" t="str">
        <f t="shared" si="650"/>
        <v/>
      </c>
      <c r="X198" s="39" t="str">
        <f t="shared" si="651"/>
        <v/>
      </c>
      <c r="Y198" s="39" t="str">
        <f t="shared" si="652"/>
        <v/>
      </c>
      <c r="Z198" s="74" t="str">
        <f t="shared" si="653"/>
        <v/>
      </c>
      <c r="AB198" s="176"/>
      <c r="AC198" s="130" t="str">
        <f t="shared" si="654"/>
        <v/>
      </c>
      <c r="AD198" s="39" t="str">
        <f t="shared" si="655"/>
        <v/>
      </c>
      <c r="AE198" s="39" t="str">
        <f t="shared" si="656"/>
        <v/>
      </c>
      <c r="AF198" s="39" t="str">
        <f t="shared" si="657"/>
        <v/>
      </c>
      <c r="AG198" s="74" t="str">
        <f t="shared" si="658"/>
        <v/>
      </c>
      <c r="AI198" s="196"/>
      <c r="AJ198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8" s="136" t="str">
        <f>IF(AJ198&lt;&gt;"",IF(AJ198=0,COUNTIF(AJ$2:AJ197,0)+1,COUNTIF(AJ$2:AJ197,AJ198)+AJ198+COUNTIF(AJ:AJ,0)),"")</f>
        <v/>
      </c>
      <c r="AL198" s="136" t="str">
        <f t="shared" si="659"/>
        <v/>
      </c>
      <c r="AM198" s="155" t="str">
        <f>IF(AND(Include_study?="Yes",Sufficient_data="Yes",Input!Study_name&lt;&gt;""),Input!Study_name,"")</f>
        <v/>
      </c>
      <c r="AN198" s="136" t="str">
        <f t="shared" si="660"/>
        <v/>
      </c>
      <c r="AO198" s="19" t="str">
        <f t="shared" si="661"/>
        <v/>
      </c>
      <c r="AP198" s="158" t="str">
        <f t="shared" si="662"/>
        <v/>
      </c>
      <c r="AQ198" s="158" t="str">
        <f t="shared" si="663"/>
        <v/>
      </c>
      <c r="AR198" s="39" t="str">
        <f t="shared" si="664"/>
        <v/>
      </c>
      <c r="AS198" s="158" t="str">
        <f t="shared" si="665"/>
        <v/>
      </c>
      <c r="AT198" s="39" t="str">
        <f t="shared" si="666"/>
        <v/>
      </c>
      <c r="AU198" s="172" t="str">
        <f t="shared" si="667"/>
        <v/>
      </c>
      <c r="AV198" s="45"/>
      <c r="AW198" s="84" t="e">
        <f t="shared" si="559"/>
        <v>#N/A</v>
      </c>
      <c r="AX198" s="69" t="e">
        <f t="shared" si="668"/>
        <v>#N/A</v>
      </c>
      <c r="AY198" s="74" t="e">
        <f t="shared" si="669"/>
        <v>#N/A</v>
      </c>
      <c r="AZ198" s="45"/>
      <c r="BA198" s="45"/>
      <c r="BB198" s="45"/>
      <c r="BC198" s="45"/>
      <c r="BD198" s="196"/>
      <c r="BE198" s="182"/>
      <c r="BF198" s="69" t="str">
        <f t="shared" si="562"/>
        <v/>
      </c>
      <c r="BG198" s="69" t="str">
        <f t="shared" si="563"/>
        <v/>
      </c>
      <c r="BH198" s="69" t="str">
        <f t="shared" si="564"/>
        <v/>
      </c>
      <c r="BI198" s="39" t="str">
        <f t="shared" si="565"/>
        <v/>
      </c>
      <c r="BJ198" s="95" t="str">
        <f t="shared" si="670"/>
        <v/>
      </c>
      <c r="BO198" s="176"/>
      <c r="BP198" s="158" t="str">
        <f t="shared" si="671"/>
        <v/>
      </c>
      <c r="BQ198" s="158" t="str">
        <f t="shared" si="672"/>
        <v/>
      </c>
      <c r="BR198" s="158" t="str">
        <f t="shared" si="673"/>
        <v/>
      </c>
      <c r="BS198" s="158" t="str">
        <f>IF(AND(Sufficient_data="Yes",Include_study?="Yes"),IF(Add_0_5="Yes",(a_+d_+1)*(ab_+0.5)*(c_+0.5)/(Number_of_subjects+2)^2,(a_+d_)*b_*c_/Number_of_subjects^2),"")</f>
        <v/>
      </c>
      <c r="BT198" s="158" t="str">
        <f t="shared" si="674"/>
        <v/>
      </c>
      <c r="BU198" s="158" t="str">
        <f t="shared" si="675"/>
        <v/>
      </c>
      <c r="BV198" s="158" t="str">
        <f t="shared" si="676"/>
        <v/>
      </c>
      <c r="BW198" s="69" t="str">
        <f t="shared" si="573"/>
        <v/>
      </c>
      <c r="BX198" s="137" t="str">
        <f t="shared" si="574"/>
        <v/>
      </c>
      <c r="BY198" s="95" t="str">
        <f t="shared" si="677"/>
        <v/>
      </c>
      <c r="CD198" s="176"/>
      <c r="CE198" s="130" t="str">
        <f t="shared" si="678"/>
        <v/>
      </c>
      <c r="CF198" s="39" t="str">
        <f t="shared" si="679"/>
        <v/>
      </c>
      <c r="CG198" s="39" t="str">
        <f t="shared" si="680"/>
        <v/>
      </c>
      <c r="CH198" s="39" t="str">
        <f t="shared" si="681"/>
        <v/>
      </c>
      <c r="CI198" s="39" t="str">
        <f t="shared" si="682"/>
        <v/>
      </c>
      <c r="CJ198" s="39" t="str">
        <f t="shared" si="683"/>
        <v/>
      </c>
      <c r="CK198" s="95" t="str">
        <f t="shared" si="684"/>
        <v/>
      </c>
      <c r="CP198" s="176"/>
      <c r="CQ198" s="99" t="str">
        <f t="shared" si="582"/>
        <v/>
      </c>
      <c r="CX198" s="196"/>
      <c r="CY198" s="89" t="e">
        <f t="shared" si="685"/>
        <v>#N/A</v>
      </c>
      <c r="CZ198" s="136" t="str">
        <f t="shared" si="686"/>
        <v/>
      </c>
      <c r="DA198" s="140" t="str">
        <f t="shared" si="687"/>
        <v/>
      </c>
      <c r="DB198" s="39" t="str">
        <f t="shared" si="688"/>
        <v/>
      </c>
      <c r="DC198" s="39" t="str">
        <f t="shared" si="689"/>
        <v/>
      </c>
      <c r="DD198" s="39" t="str">
        <f t="shared" si="690"/>
        <v/>
      </c>
      <c r="DE198" s="39" t="str">
        <f t="shared" si="691"/>
        <v/>
      </c>
      <c r="DF198" s="141" t="str">
        <f t="shared" si="692"/>
        <v/>
      </c>
      <c r="DG198" s="39" t="str">
        <f t="shared" si="693"/>
        <v/>
      </c>
      <c r="DH198" s="39" t="str">
        <f t="shared" si="694"/>
        <v/>
      </c>
      <c r="DI198" s="39" t="str">
        <f t="shared" si="695"/>
        <v/>
      </c>
      <c r="DJ198" s="74" t="str">
        <f t="shared" si="696"/>
        <v/>
      </c>
      <c r="DK198" s="45"/>
      <c r="DL198" s="84" t="e">
        <f t="shared" si="620"/>
        <v>#N/A</v>
      </c>
      <c r="DM198" s="39" t="e">
        <f t="shared" si="697"/>
        <v>#N/A</v>
      </c>
      <c r="DN198" s="74" t="e">
        <f t="shared" si="698"/>
        <v>#N/A</v>
      </c>
      <c r="DO198" s="45"/>
      <c r="DP198" s="89" t="str">
        <f t="shared" si="722"/>
        <v/>
      </c>
      <c r="DQ198" s="26" t="str">
        <f>IF(AND(Sufficient_data="Yes",Subgroup&lt;&gt;""),IF(COUNTIFS(Input!J$2:J197,"="&amp;"Yes",Input!C$2:C197,"="&amp;"Yes",Input!K$2:K197,"="&amp;Subgroup)&gt;0,"",Subgroup),"")</f>
        <v/>
      </c>
      <c r="DR198" s="7" t="str">
        <f t="shared" si="723"/>
        <v/>
      </c>
      <c r="DS198" s="7" t="str">
        <f t="shared" si="699"/>
        <v/>
      </c>
      <c r="DT198" s="19" t="str">
        <f t="shared" si="700"/>
        <v/>
      </c>
      <c r="DU198" s="12" t="str">
        <f t="shared" si="621"/>
        <v/>
      </c>
      <c r="DV198" s="11" t="str">
        <f t="shared" si="622"/>
        <v/>
      </c>
      <c r="DW198" s="12" t="str">
        <f t="shared" si="623"/>
        <v/>
      </c>
      <c r="DX198" s="12" t="str">
        <f t="shared" si="701"/>
        <v/>
      </c>
      <c r="DY198" s="19" t="str">
        <f t="shared" si="624"/>
        <v/>
      </c>
      <c r="DZ198" s="12" t="str">
        <f t="shared" si="625"/>
        <v/>
      </c>
      <c r="EA198" s="19" t="str">
        <f t="shared" si="702"/>
        <v/>
      </c>
      <c r="EB198" s="7" t="str">
        <f t="shared" si="703"/>
        <v/>
      </c>
      <c r="EC198" s="19" t="str">
        <f t="shared" si="704"/>
        <v/>
      </c>
      <c r="ED198" s="19" t="str">
        <f t="shared" si="705"/>
        <v/>
      </c>
      <c r="EE198" s="19" t="str">
        <f t="shared" si="626"/>
        <v/>
      </c>
      <c r="EF198" s="19" t="str">
        <f t="shared" si="627"/>
        <v/>
      </c>
      <c r="EG198" s="19" t="str">
        <f t="shared" si="628"/>
        <v/>
      </c>
      <c r="EH198" s="19" t="str">
        <f t="shared" si="629"/>
        <v/>
      </c>
      <c r="EI198" s="19" t="str">
        <f t="shared" si="630"/>
        <v/>
      </c>
      <c r="EJ198" s="19" t="str">
        <f t="shared" si="706"/>
        <v/>
      </c>
      <c r="EK198" s="19" t="str">
        <f t="shared" si="707"/>
        <v/>
      </c>
      <c r="EL198" s="19" t="str">
        <f t="shared" si="631"/>
        <v/>
      </c>
      <c r="EM198" s="19" t="str">
        <f t="shared" si="632"/>
        <v/>
      </c>
      <c r="EN198" s="19" t="str">
        <f t="shared" si="633"/>
        <v/>
      </c>
      <c r="EO198" s="19" t="str">
        <f t="shared" si="634"/>
        <v/>
      </c>
      <c r="EP198" s="19" t="str">
        <f t="shared" si="635"/>
        <v/>
      </c>
      <c r="EQ198" s="19" t="e">
        <f t="shared" si="636"/>
        <v>#N/A</v>
      </c>
      <c r="ER198" s="11" t="str">
        <f t="shared" si="724"/>
        <v/>
      </c>
      <c r="ES198" s="19" t="str">
        <f t="shared" si="725"/>
        <v/>
      </c>
      <c r="ET198" s="156" t="str">
        <f t="shared" si="708"/>
        <v/>
      </c>
      <c r="EU198" s="39" t="str">
        <f t="shared" si="637"/>
        <v/>
      </c>
      <c r="EV198" s="74" t="str">
        <f t="shared" si="709"/>
        <v/>
      </c>
      <c r="FA198" s="196"/>
      <c r="FB198" s="84" t="e">
        <f>IF(AND(Include_study?="Yes",Sufficient_data="Yes",Moderator&lt;&gt;""),'Moderator Analysis'!E198,NA())</f>
        <v>#N/A</v>
      </c>
      <c r="FC198" s="39" t="e">
        <f>IF(AND(Include_study?="Yes",Sufficient_data="Yes",Moderator&lt;&gt;""),'Moderator Analysis'!F198,NA())</f>
        <v>#N/A</v>
      </c>
      <c r="FD198" s="39" t="str">
        <f t="shared" si="710"/>
        <v/>
      </c>
      <c r="FE198" s="39" t="str">
        <f t="shared" si="711"/>
        <v/>
      </c>
      <c r="FF198" s="39" t="str">
        <f>IF(AND(Include_study?="Yes",Sufficient_data="Yes",Moderator&lt;&gt;""),'Moderator Analysis'!F:F-FP$2,"")</f>
        <v/>
      </c>
      <c r="FG198" s="39" t="str">
        <f>IF(AND(Include_study?="Yes",Sufficient_data="Yes",Moderator&lt;&gt;""),'Moderator Analysis'!E:E-FP$3,"")</f>
        <v/>
      </c>
      <c r="FH198" s="74" t="str">
        <f>IF(AND(Include_study?="Yes",Sufficient_data="Yes",Moderator&lt;&gt;""),FE:FE*('Moderator Analysis'!F:F-FP$5-FP$4*'Moderator Analysis'!E:E)^2,"")</f>
        <v/>
      </c>
      <c r="FI198" s="128"/>
      <c r="FJ198" s="92" t="str">
        <f t="shared" si="712"/>
        <v/>
      </c>
      <c r="FK198" s="137" t="str">
        <f>IF(AND(Include_study?="Yes",Sufficient_data="Yes",Moderator&lt;&gt;""),'Moderator Analysis'!F:F-'Moderator Analysis'!J$37,"")</f>
        <v/>
      </c>
      <c r="FL198" s="137" t="str">
        <f>IF(AND(Include_study?="Yes",Sufficient_data="Yes",Moderator&lt;&gt;""),'Moderator Analysis'!E:E-SUMPRODUCT('Moderator Analysis'!E:E,FJ:FJ)/SUM(FJ:FJ),"")</f>
        <v/>
      </c>
      <c r="FM198" s="95" t="str">
        <f>IF(AND(Include_study?="Yes",Sufficient_data="Yes",Moderator&lt;&gt;""),FJ:FJ*('Moderator Analysis'!F:F-'Moderator Analysis'!J$29-'Moderator Analysis'!J$30*'Moderator Analysis'!E:E)^2,"")</f>
        <v/>
      </c>
      <c r="FR198" s="196"/>
      <c r="FS198" s="182"/>
      <c r="FT198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8" s="39" t="str">
        <f>IF(AND(Include_study?="Yes",Sufficient_data="Yes"),1/('Publication Bias Analysis'!F:F^2+IF(Additional_model="Fixed effect",0,Calculations!GH$12)),"")</f>
        <v/>
      </c>
      <c r="FV198" s="39" t="str">
        <f>IF(AND(Include_study?="Yes",Sufficient_data="Yes"),1/('Publication Bias Analysis'!F:F^2+IF(Additional_model="Fixed effect",0,'Publication Bias Analysis'!L$32)),"")</f>
        <v/>
      </c>
      <c r="FW198" s="39" t="str">
        <f>IF(AND(Include_study?="Yes",Sufficient_data="Yes"),'Publication Bias Analysis'!E:E-'Publication Bias Analysis'!I$37,"")</f>
        <v/>
      </c>
      <c r="FX198" s="39" t="str">
        <f>IF(AND(Include_study?="Yes",Sufficient_data="Yes"),IF(Additional_model="Fixed effect",1/'Publication Bias Analysis'!F:F,1/SQRT('Publication Bias Analysis'!F:F^2+GH$12)),"")</f>
        <v/>
      </c>
      <c r="FY198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8" s="136" t="str">
        <f t="shared" si="713"/>
        <v/>
      </c>
      <c r="GA198" s="144" t="str">
        <f>IF(AND(Include_study?="Yes",Sufficient_data="Yes"),FZ:FZ+IF(GL:GL&lt;0,-1,1)*COUNTIF(FZ$2:FZ197,FZ:FZ),"")</f>
        <v/>
      </c>
      <c r="GB198" s="144" t="str">
        <f>IF(AND(Include_study?="Yes",Sufficient_data="Yes"),RANK(GP:GP,GP:GP,1)*IF(GO:GO&lt;0,-1,1)+IF(GO:GO&lt;0,-1,1)*COUNTIF(FZ$2:FZ197,FZ:FZ),"")</f>
        <v/>
      </c>
      <c r="GC198" s="144" t="str">
        <f>IF(AND(Include_study?="Yes",Sufficient_data="Yes"),RANK(GS:GS,GS:GS,1)*IF(GR:GR&lt;0,-1,1)+IF(GR:GR&lt;0,-1,1)*COUNTIF(FZ$2:FZ197,FZ:FZ),"")</f>
        <v/>
      </c>
      <c r="GD198" s="39" t="e">
        <f>IF(AND(Include_study?="Yes",Sufficient_data="Yes"),'Publication Bias Analysis'!E198,NA())</f>
        <v>#N/A</v>
      </c>
      <c r="GE198" s="74" t="e">
        <f>IF(AND(Include_study?="Yes",Sufficient_data="Yes"),'Publication Bias Analysis'!F198,NA())</f>
        <v>#N/A</v>
      </c>
      <c r="GK198" s="176"/>
      <c r="GL198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8" s="39" t="str">
        <f t="shared" si="714"/>
        <v/>
      </c>
      <c r="GN198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8" s="39" t="str">
        <f>IF(AND(Include_study?="Yes",Sufficient_data="Yes"),IF('Publication Bias Analysis'!L$38="Left",'Publication Bias Analysis'!E:E-GW$3,GW$3-'Publication Bias Analysis'!E:E),"")</f>
        <v/>
      </c>
      <c r="GP198" s="39" t="str">
        <f t="shared" si="726"/>
        <v/>
      </c>
      <c r="GQ198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8" s="39" t="str">
        <f>IF(AND(Include_study?="Yes",Sufficient_data="Yes"),IF('Publication Bias Analysis'!L$38="Left",'Publication Bias Analysis'!E:E-GW$10,GW$10-'Publication Bias Analysis'!E:E),"")</f>
        <v/>
      </c>
      <c r="GS198" s="39" t="str">
        <f t="shared" si="727"/>
        <v/>
      </c>
      <c r="GT198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8" s="176"/>
      <c r="HL198" s="69" t="str">
        <f t="shared" si="715"/>
        <v/>
      </c>
      <c r="HM198" s="74" t="str">
        <f>IF(AND(Include_study?="Yes",Sufficient_data="Yes"),Z_score-('Publication Bias Analysis'!P$3+'Publication Bias Analysis'!P$4*Inverse_standard_error),"")</f>
        <v/>
      </c>
      <c r="HO198" s="176"/>
      <c r="HP198" s="69" t="str">
        <f>IF(AND(Include_study?="Yes",Sufficient_data="Yes"),(GD:GD-SUMPRODUCT(Calculations!FT:FT,'Publication Bias Analysis'!E:E)/SUM(Calculations!FT:FT))/SQRT(Calculations!HQ:HQ),"")</f>
        <v/>
      </c>
      <c r="HQ198" s="69" t="str">
        <f>IF(AND(Include_study?="Yes",Sufficient_data="Yes"),GE:GE^2-1/SUM(Calculations!FT:FT),"")</f>
        <v/>
      </c>
      <c r="HR198" s="7" t="str">
        <f t="shared" si="638"/>
        <v/>
      </c>
      <c r="HS198" s="7" t="str">
        <f t="shared" si="639"/>
        <v/>
      </c>
      <c r="HT198" s="7" t="str">
        <f>IF(AND(Include_study?="Yes",Sufficient_data="Yes"),COUNTIFS(HR$2:HR197,"&lt;"&amp;HR198,HS$2:HS197,"&lt;"&amp;HS198)+COUNTIFS(HR199:HR$201,"&lt;"&amp;HR198,HS199:HS$201,"&lt;"&amp;HS198)+COUNTIFS(HR$2:HR197,"&gt;"&amp;HR198,HS$2:HS197,"&gt;"&amp;HS198)+COUNTIFS(HR199:HR$201,"&gt;"&amp;HR198,HS199:HS$201,"&gt;"&amp;HS198),"")</f>
        <v/>
      </c>
      <c r="HU198" s="104" t="str">
        <f>IF(AND(Include_study?="Yes",Sufficient_data="Yes"),COUNTIFS(HR$2:HR197,"&lt;"&amp;HR198,HS$2:HS197,"&gt;"&amp;HS198)+COUNTIFS(HR199:HR$201,"&lt;"&amp;HR198,HS199:HS$201,"&gt;"&amp;HS198)+COUNTIFS(HR$2:HR197,"&gt;"&amp;HR198,HS$2:HS197,"&lt;"&amp;HS198)+COUNTIFS(HR199:HR$201,"&gt;"&amp;HR198,HS199:HS$201,"&lt;"&amp;HS198),"")</f>
        <v/>
      </c>
      <c r="HW198" s="176"/>
      <c r="IB198" s="176"/>
      <c r="IC198" s="146" t="e">
        <f t="shared" si="716"/>
        <v>#N/A</v>
      </c>
      <c r="ID198" s="137" t="e">
        <f t="shared" si="717"/>
        <v>#N/A</v>
      </c>
      <c r="IE198" s="137" t="str">
        <f t="shared" si="718"/>
        <v/>
      </c>
      <c r="IF198" s="95" t="str">
        <f t="shared" si="719"/>
        <v/>
      </c>
      <c r="IK198" s="176"/>
      <c r="IL198" s="69" t="e">
        <f>IF(AND(Include_study?="Yes",Sufficient_data="Yes"),'Publication Bias Analysis'!AV:AV,NA())</f>
        <v>#N/A</v>
      </c>
      <c r="IM198" s="158" t="e">
        <f>IF(AND(Sufficient_data="Yes",Include_study?="Yes"),'Publication Bias Analysis'!AU:AU,NA())</f>
        <v>#N/A</v>
      </c>
      <c r="IN198" s="69" t="str">
        <f t="shared" si="617"/>
        <v/>
      </c>
      <c r="IO198" s="74" t="str">
        <f>IF(AND(Include_study?="Yes",Sufficient_data="Yes"),Z_score-('Publication Bias Analysis'!AY$30+'Publication Bias Analysis'!AY$31*Inverse_standard_error),"")</f>
        <v/>
      </c>
      <c r="IU198" s="176"/>
      <c r="IV198" s="7" t="str">
        <f>IF('Publication Bias Analysis'!BG:BG&lt;&gt;"",RANK('Publication Bias Analysis'!BG:BG,'Publication Bias Analysis'!BG:BG,1)+COUNTIF('Publication Bias Analysis'!BG$2:BG197,'Publication Bias Analysis'!BG198),"")</f>
        <v/>
      </c>
      <c r="IW198" s="124" t="str">
        <f t="shared" si="720"/>
        <v/>
      </c>
      <c r="IX198" s="125" t="e">
        <f>IF('Publication Bias Analysis'!BF198&lt;&gt;"",'Publication Bias Analysis'!BF198,NA())</f>
        <v>#N/A</v>
      </c>
      <c r="IY198" s="125" t="e">
        <f>IF('Publication Bias Analysis'!BG198&lt;&gt;"",'Publication Bias Analysis'!BG198,NA())</f>
        <v>#N/A</v>
      </c>
      <c r="IZ198" s="69" t="str">
        <f>IF(AND(Include_study?="Yes",Sufficient_data="Yes"),'Publication Bias Analysis'!BF:BF-AVERAGE('Publication Bias Analysis'!BF:BF),"")</f>
        <v/>
      </c>
      <c r="JA198" s="74" t="str">
        <f>IF(AND(Include_study?="Yes",Sufficient_data="Yes"),'Publication Bias Analysis'!BG:BG-('Publication Bias Analysis'!BJ$30+'Publication Bias Analysis'!BJ$31*'Publication Bias Analysis'!BF:BF),"")</f>
        <v/>
      </c>
      <c r="JG198" s="176"/>
      <c r="JH198" s="39" t="str">
        <f t="shared" si="721"/>
        <v/>
      </c>
      <c r="JI198" s="148" t="str">
        <f t="shared" si="728"/>
        <v/>
      </c>
      <c r="JJ198" s="74" t="str">
        <f t="shared" si="729"/>
        <v/>
      </c>
    </row>
    <row r="199" spans="1:270" x14ac:dyDescent="0.2">
      <c r="A199" s="56" t="str">
        <f t="shared" si="533"/>
        <v/>
      </c>
      <c r="B199" s="7" t="str">
        <f>IF(AND(Include_study?="Yes",Sufficient_data="Yes"),IF(Input!a_&lt;&gt;"",Input!a_,Input!n1_-Input!b_),"")</f>
        <v/>
      </c>
      <c r="C199" s="7" t="str">
        <f>IF(AND(Include_study?="Yes",Sufficient_data="Yes"),IF(Input!b_&lt;&gt;"",Input!b_,Input!n1_-Input!a_),"")</f>
        <v/>
      </c>
      <c r="D199" s="7" t="str">
        <f>IF(AND(Include_study?="Yes",Sufficient_data="Yes"),IF(Input!c_&lt;&gt;"",Input!c_,Input!n2_-Input!d_),"")</f>
        <v/>
      </c>
      <c r="E199" s="7" t="str">
        <f>IF(AND(Include_study?="Yes",Sufficient_data="Yes"),IF(Input!d_&lt;&gt;"",Input!d_,Input!n2_-Input!c_),"")</f>
        <v/>
      </c>
      <c r="F199" s="74" t="str">
        <f t="shared" si="640"/>
        <v/>
      </c>
      <c r="H199" s="196"/>
      <c r="I199" s="182"/>
      <c r="J199" s="146" t="str">
        <f t="shared" si="641"/>
        <v/>
      </c>
      <c r="K199" s="39" t="str">
        <f t="shared" si="642"/>
        <v/>
      </c>
      <c r="L199" s="39" t="str">
        <f t="shared" si="643"/>
        <v/>
      </c>
      <c r="M199" s="39" t="str">
        <f t="shared" si="644"/>
        <v/>
      </c>
      <c r="N199" s="74" t="str">
        <f t="shared" si="645"/>
        <v/>
      </c>
      <c r="P199" s="176"/>
      <c r="Q199" s="130" t="str">
        <f t="shared" si="646"/>
        <v/>
      </c>
      <c r="R199" s="39" t="str">
        <f t="shared" si="647"/>
        <v/>
      </c>
      <c r="S199" s="39" t="str">
        <f t="shared" si="648"/>
        <v/>
      </c>
      <c r="T199" s="74" t="str">
        <f t="shared" si="649"/>
        <v/>
      </c>
      <c r="V199" s="176"/>
      <c r="W199" s="130" t="str">
        <f t="shared" si="650"/>
        <v/>
      </c>
      <c r="X199" s="39" t="str">
        <f t="shared" si="651"/>
        <v/>
      </c>
      <c r="Y199" s="39" t="str">
        <f t="shared" si="652"/>
        <v/>
      </c>
      <c r="Z199" s="74" t="str">
        <f t="shared" si="653"/>
        <v/>
      </c>
      <c r="AB199" s="176"/>
      <c r="AC199" s="130" t="str">
        <f t="shared" si="654"/>
        <v/>
      </c>
      <c r="AD199" s="39" t="str">
        <f t="shared" si="655"/>
        <v/>
      </c>
      <c r="AE199" s="39" t="str">
        <f t="shared" si="656"/>
        <v/>
      </c>
      <c r="AF199" s="39" t="str">
        <f t="shared" si="657"/>
        <v/>
      </c>
      <c r="AG199" s="74" t="str">
        <f t="shared" si="658"/>
        <v/>
      </c>
      <c r="AI199" s="196"/>
      <c r="AJ199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199" s="136" t="str">
        <f>IF(AJ199&lt;&gt;"",IF(AJ199=0,COUNTIF(AJ$2:AJ198,0)+1,COUNTIF(AJ$2:AJ198,AJ199)+AJ199+COUNTIF(AJ:AJ,0)),"")</f>
        <v/>
      </c>
      <c r="AL199" s="136" t="str">
        <f t="shared" si="659"/>
        <v/>
      </c>
      <c r="AM199" s="155" t="str">
        <f>IF(AND(Include_study?="Yes",Sufficient_data="Yes",Input!Study_name&lt;&gt;""),Input!Study_name,"")</f>
        <v/>
      </c>
      <c r="AN199" s="136" t="str">
        <f t="shared" si="660"/>
        <v/>
      </c>
      <c r="AO199" s="19" t="str">
        <f t="shared" si="661"/>
        <v/>
      </c>
      <c r="AP199" s="158" t="str">
        <f t="shared" si="662"/>
        <v/>
      </c>
      <c r="AQ199" s="158" t="str">
        <f t="shared" si="663"/>
        <v/>
      </c>
      <c r="AR199" s="39" t="str">
        <f t="shared" si="664"/>
        <v/>
      </c>
      <c r="AS199" s="158" t="str">
        <f t="shared" si="665"/>
        <v/>
      </c>
      <c r="AT199" s="39" t="str">
        <f t="shared" si="666"/>
        <v/>
      </c>
      <c r="AU199" s="172" t="str">
        <f t="shared" si="667"/>
        <v/>
      </c>
      <c r="AV199" s="45"/>
      <c r="AW199" s="84" t="e">
        <f t="shared" si="559"/>
        <v>#N/A</v>
      </c>
      <c r="AX199" s="69" t="e">
        <f t="shared" si="668"/>
        <v>#N/A</v>
      </c>
      <c r="AY199" s="74" t="e">
        <f t="shared" si="669"/>
        <v>#N/A</v>
      </c>
      <c r="AZ199" s="45"/>
      <c r="BA199" s="45"/>
      <c r="BB199" s="45"/>
      <c r="BC199" s="45"/>
      <c r="BD199" s="196"/>
      <c r="BE199" s="182"/>
      <c r="BF199" s="69" t="str">
        <f t="shared" si="562"/>
        <v/>
      </c>
      <c r="BG199" s="69" t="str">
        <f t="shared" si="563"/>
        <v/>
      </c>
      <c r="BH199" s="69" t="str">
        <f t="shared" si="564"/>
        <v/>
      </c>
      <c r="BI199" s="39" t="str">
        <f t="shared" si="565"/>
        <v/>
      </c>
      <c r="BJ199" s="95" t="str">
        <f t="shared" si="670"/>
        <v/>
      </c>
      <c r="BO199" s="176"/>
      <c r="BP199" s="158" t="str">
        <f t="shared" si="671"/>
        <v/>
      </c>
      <c r="BQ199" s="158" t="str">
        <f t="shared" si="672"/>
        <v/>
      </c>
      <c r="BR199" s="158" t="str">
        <f t="shared" si="673"/>
        <v/>
      </c>
      <c r="BS199" s="158" t="str">
        <f>IF(AND(Sufficient_data="Yes",Include_study?="Yes"),IF(Add_0_5="Yes",(a_+d_+1)*(ab_+0.5)*(c_+0.5)/(Number_of_subjects+2)^2,(a_+d_)*b_*c_/Number_of_subjects^2),"")</f>
        <v/>
      </c>
      <c r="BT199" s="158" t="str">
        <f t="shared" si="674"/>
        <v/>
      </c>
      <c r="BU199" s="158" t="str">
        <f t="shared" si="675"/>
        <v/>
      </c>
      <c r="BV199" s="158" t="str">
        <f t="shared" si="676"/>
        <v/>
      </c>
      <c r="BW199" s="69" t="str">
        <f t="shared" si="573"/>
        <v/>
      </c>
      <c r="BX199" s="137" t="str">
        <f t="shared" si="574"/>
        <v/>
      </c>
      <c r="BY199" s="95" t="str">
        <f t="shared" si="677"/>
        <v/>
      </c>
      <c r="CD199" s="176"/>
      <c r="CE199" s="130" t="str">
        <f t="shared" si="678"/>
        <v/>
      </c>
      <c r="CF199" s="39" t="str">
        <f t="shared" si="679"/>
        <v/>
      </c>
      <c r="CG199" s="39" t="str">
        <f t="shared" si="680"/>
        <v/>
      </c>
      <c r="CH199" s="39" t="str">
        <f t="shared" si="681"/>
        <v/>
      </c>
      <c r="CI199" s="39" t="str">
        <f t="shared" si="682"/>
        <v/>
      </c>
      <c r="CJ199" s="39" t="str">
        <f t="shared" si="683"/>
        <v/>
      </c>
      <c r="CK199" s="95" t="str">
        <f t="shared" si="684"/>
        <v/>
      </c>
      <c r="CP199" s="176"/>
      <c r="CQ199" s="99" t="str">
        <f t="shared" si="582"/>
        <v/>
      </c>
      <c r="CX199" s="196"/>
      <c r="CY199" s="89" t="e">
        <f t="shared" si="685"/>
        <v>#N/A</v>
      </c>
      <c r="CZ199" s="136" t="str">
        <f t="shared" si="686"/>
        <v/>
      </c>
      <c r="DA199" s="140" t="str">
        <f t="shared" si="687"/>
        <v/>
      </c>
      <c r="DB199" s="39" t="str">
        <f t="shared" si="688"/>
        <v/>
      </c>
      <c r="DC199" s="39" t="str">
        <f t="shared" si="689"/>
        <v/>
      </c>
      <c r="DD199" s="39" t="str">
        <f t="shared" si="690"/>
        <v/>
      </c>
      <c r="DE199" s="39" t="str">
        <f t="shared" si="691"/>
        <v/>
      </c>
      <c r="DF199" s="141" t="str">
        <f t="shared" si="692"/>
        <v/>
      </c>
      <c r="DG199" s="39" t="str">
        <f t="shared" si="693"/>
        <v/>
      </c>
      <c r="DH199" s="39" t="str">
        <f t="shared" si="694"/>
        <v/>
      </c>
      <c r="DI199" s="39" t="str">
        <f t="shared" si="695"/>
        <v/>
      </c>
      <c r="DJ199" s="74" t="str">
        <f t="shared" si="696"/>
        <v/>
      </c>
      <c r="DK199" s="45"/>
      <c r="DL199" s="84" t="e">
        <f t="shared" si="620"/>
        <v>#N/A</v>
      </c>
      <c r="DM199" s="39" t="e">
        <f t="shared" si="697"/>
        <v>#N/A</v>
      </c>
      <c r="DN199" s="74" t="e">
        <f t="shared" si="698"/>
        <v>#N/A</v>
      </c>
      <c r="DO199" s="45"/>
      <c r="DP199" s="89" t="str">
        <f t="shared" si="722"/>
        <v/>
      </c>
      <c r="DQ199" s="26" t="str">
        <f>IF(AND(Sufficient_data="Yes",Subgroup&lt;&gt;""),IF(COUNTIFS(Input!J$2:J198,"="&amp;"Yes",Input!C$2:C198,"="&amp;"Yes",Input!K$2:K198,"="&amp;Subgroup)&gt;0,"",Subgroup),"")</f>
        <v/>
      </c>
      <c r="DR199" s="7" t="str">
        <f t="shared" si="723"/>
        <v/>
      </c>
      <c r="DS199" s="7" t="str">
        <f t="shared" si="699"/>
        <v/>
      </c>
      <c r="DT199" s="19" t="str">
        <f t="shared" si="700"/>
        <v/>
      </c>
      <c r="DU199" s="12" t="str">
        <f t="shared" si="621"/>
        <v/>
      </c>
      <c r="DV199" s="11" t="str">
        <f t="shared" si="622"/>
        <v/>
      </c>
      <c r="DW199" s="12" t="str">
        <f t="shared" si="623"/>
        <v/>
      </c>
      <c r="DX199" s="12" t="str">
        <f t="shared" si="701"/>
        <v/>
      </c>
      <c r="DY199" s="19" t="str">
        <f t="shared" si="624"/>
        <v/>
      </c>
      <c r="DZ199" s="12" t="str">
        <f t="shared" si="625"/>
        <v/>
      </c>
      <c r="EA199" s="19" t="str">
        <f t="shared" si="702"/>
        <v/>
      </c>
      <c r="EB199" s="7" t="str">
        <f t="shared" si="703"/>
        <v/>
      </c>
      <c r="EC199" s="19" t="str">
        <f t="shared" si="704"/>
        <v/>
      </c>
      <c r="ED199" s="19" t="str">
        <f t="shared" si="705"/>
        <v/>
      </c>
      <c r="EE199" s="19" t="str">
        <f t="shared" si="626"/>
        <v/>
      </c>
      <c r="EF199" s="19" t="str">
        <f t="shared" si="627"/>
        <v/>
      </c>
      <c r="EG199" s="19" t="str">
        <f t="shared" si="628"/>
        <v/>
      </c>
      <c r="EH199" s="19" t="str">
        <f t="shared" si="629"/>
        <v/>
      </c>
      <c r="EI199" s="19" t="str">
        <f t="shared" si="630"/>
        <v/>
      </c>
      <c r="EJ199" s="19" t="str">
        <f t="shared" si="706"/>
        <v/>
      </c>
      <c r="EK199" s="19" t="str">
        <f t="shared" si="707"/>
        <v/>
      </c>
      <c r="EL199" s="19" t="str">
        <f t="shared" si="631"/>
        <v/>
      </c>
      <c r="EM199" s="19" t="str">
        <f t="shared" si="632"/>
        <v/>
      </c>
      <c r="EN199" s="19" t="str">
        <f t="shared" si="633"/>
        <v/>
      </c>
      <c r="EO199" s="19" t="str">
        <f t="shared" si="634"/>
        <v/>
      </c>
      <c r="EP199" s="19" t="str">
        <f t="shared" si="635"/>
        <v/>
      </c>
      <c r="EQ199" s="19" t="e">
        <f t="shared" si="636"/>
        <v>#N/A</v>
      </c>
      <c r="ER199" s="11" t="str">
        <f t="shared" si="724"/>
        <v/>
      </c>
      <c r="ES199" s="19" t="str">
        <f t="shared" si="725"/>
        <v/>
      </c>
      <c r="ET199" s="156" t="str">
        <f t="shared" si="708"/>
        <v/>
      </c>
      <c r="EU199" s="39" t="str">
        <f t="shared" si="637"/>
        <v/>
      </c>
      <c r="EV199" s="74" t="str">
        <f t="shared" si="709"/>
        <v/>
      </c>
      <c r="FA199" s="196"/>
      <c r="FB199" s="84" t="e">
        <f>IF(AND(Include_study?="Yes",Sufficient_data="Yes",Moderator&lt;&gt;""),'Moderator Analysis'!E199,NA())</f>
        <v>#N/A</v>
      </c>
      <c r="FC199" s="39" t="e">
        <f>IF(AND(Include_study?="Yes",Sufficient_data="Yes",Moderator&lt;&gt;""),'Moderator Analysis'!F199,NA())</f>
        <v>#N/A</v>
      </c>
      <c r="FD199" s="39" t="str">
        <f t="shared" si="710"/>
        <v/>
      </c>
      <c r="FE199" s="39" t="str">
        <f t="shared" si="711"/>
        <v/>
      </c>
      <c r="FF199" s="39" t="str">
        <f>IF(AND(Include_study?="Yes",Sufficient_data="Yes",Moderator&lt;&gt;""),'Moderator Analysis'!F:F-FP$2,"")</f>
        <v/>
      </c>
      <c r="FG199" s="39" t="str">
        <f>IF(AND(Include_study?="Yes",Sufficient_data="Yes",Moderator&lt;&gt;""),'Moderator Analysis'!E:E-FP$3,"")</f>
        <v/>
      </c>
      <c r="FH199" s="74" t="str">
        <f>IF(AND(Include_study?="Yes",Sufficient_data="Yes",Moderator&lt;&gt;""),FE:FE*('Moderator Analysis'!F:F-FP$5-FP$4*'Moderator Analysis'!E:E)^2,"")</f>
        <v/>
      </c>
      <c r="FI199" s="128"/>
      <c r="FJ199" s="92" t="str">
        <f t="shared" si="712"/>
        <v/>
      </c>
      <c r="FK199" s="137" t="str">
        <f>IF(AND(Include_study?="Yes",Sufficient_data="Yes",Moderator&lt;&gt;""),'Moderator Analysis'!F:F-'Moderator Analysis'!J$37,"")</f>
        <v/>
      </c>
      <c r="FL199" s="137" t="str">
        <f>IF(AND(Include_study?="Yes",Sufficient_data="Yes",Moderator&lt;&gt;""),'Moderator Analysis'!E:E-SUMPRODUCT('Moderator Analysis'!E:E,FJ:FJ)/SUM(FJ:FJ),"")</f>
        <v/>
      </c>
      <c r="FM199" s="95" t="str">
        <f>IF(AND(Include_study?="Yes",Sufficient_data="Yes",Moderator&lt;&gt;""),FJ:FJ*('Moderator Analysis'!F:F-'Moderator Analysis'!J$29-'Moderator Analysis'!J$30*'Moderator Analysis'!E:E)^2,"")</f>
        <v/>
      </c>
      <c r="FR199" s="196"/>
      <c r="FS199" s="182"/>
      <c r="FT199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199" s="39" t="str">
        <f>IF(AND(Include_study?="Yes",Sufficient_data="Yes"),1/('Publication Bias Analysis'!F:F^2+IF(Additional_model="Fixed effect",0,Calculations!GH$12)),"")</f>
        <v/>
      </c>
      <c r="FV199" s="39" t="str">
        <f>IF(AND(Include_study?="Yes",Sufficient_data="Yes"),1/('Publication Bias Analysis'!F:F^2+IF(Additional_model="Fixed effect",0,'Publication Bias Analysis'!L$32)),"")</f>
        <v/>
      </c>
      <c r="FW199" s="39" t="str">
        <f>IF(AND(Include_study?="Yes",Sufficient_data="Yes"),'Publication Bias Analysis'!E:E-'Publication Bias Analysis'!I$37,"")</f>
        <v/>
      </c>
      <c r="FX199" s="39" t="str">
        <f>IF(AND(Include_study?="Yes",Sufficient_data="Yes"),IF(Additional_model="Fixed effect",1/'Publication Bias Analysis'!F:F,1/SQRT('Publication Bias Analysis'!F:F^2+GH$12)),"")</f>
        <v/>
      </c>
      <c r="FY199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199" s="136" t="str">
        <f t="shared" si="713"/>
        <v/>
      </c>
      <c r="GA199" s="144" t="str">
        <f>IF(AND(Include_study?="Yes",Sufficient_data="Yes"),FZ:FZ+IF(GL:GL&lt;0,-1,1)*COUNTIF(FZ$2:FZ198,FZ:FZ),"")</f>
        <v/>
      </c>
      <c r="GB199" s="144" t="str">
        <f>IF(AND(Include_study?="Yes",Sufficient_data="Yes"),RANK(GP:GP,GP:GP,1)*IF(GO:GO&lt;0,-1,1)+IF(GO:GO&lt;0,-1,1)*COUNTIF(FZ$2:FZ198,FZ:FZ),"")</f>
        <v/>
      </c>
      <c r="GC199" s="144" t="str">
        <f>IF(AND(Include_study?="Yes",Sufficient_data="Yes"),RANK(GS:GS,GS:GS,1)*IF(GR:GR&lt;0,-1,1)+IF(GR:GR&lt;0,-1,1)*COUNTIF(FZ$2:FZ198,FZ:FZ),"")</f>
        <v/>
      </c>
      <c r="GD199" s="39" t="e">
        <f>IF(AND(Include_study?="Yes",Sufficient_data="Yes"),'Publication Bias Analysis'!E199,NA())</f>
        <v>#N/A</v>
      </c>
      <c r="GE199" s="74" t="e">
        <f>IF(AND(Include_study?="Yes",Sufficient_data="Yes"),'Publication Bias Analysis'!F199,NA())</f>
        <v>#N/A</v>
      </c>
      <c r="GK199" s="176"/>
      <c r="GL199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199" s="39" t="str">
        <f t="shared" si="714"/>
        <v/>
      </c>
      <c r="GN199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199" s="39" t="str">
        <f>IF(AND(Include_study?="Yes",Sufficient_data="Yes"),IF('Publication Bias Analysis'!L$38="Left",'Publication Bias Analysis'!E:E-GW$3,GW$3-'Publication Bias Analysis'!E:E),"")</f>
        <v/>
      </c>
      <c r="GP199" s="39" t="str">
        <f t="shared" si="726"/>
        <v/>
      </c>
      <c r="GQ199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199" s="39" t="str">
        <f>IF(AND(Include_study?="Yes",Sufficient_data="Yes"),IF('Publication Bias Analysis'!L$38="Left",'Publication Bias Analysis'!E:E-GW$10,GW$10-'Publication Bias Analysis'!E:E),"")</f>
        <v/>
      </c>
      <c r="GS199" s="39" t="str">
        <f t="shared" si="727"/>
        <v/>
      </c>
      <c r="GT199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199" s="176"/>
      <c r="HL199" s="69" t="str">
        <f t="shared" si="715"/>
        <v/>
      </c>
      <c r="HM199" s="74" t="str">
        <f>IF(AND(Include_study?="Yes",Sufficient_data="Yes"),Z_score-('Publication Bias Analysis'!P$3+'Publication Bias Analysis'!P$4*Inverse_standard_error),"")</f>
        <v/>
      </c>
      <c r="HO199" s="176"/>
      <c r="HP199" s="69" t="str">
        <f>IF(AND(Include_study?="Yes",Sufficient_data="Yes"),(GD:GD-SUMPRODUCT(Calculations!FT:FT,'Publication Bias Analysis'!E:E)/SUM(Calculations!FT:FT))/SQRT(Calculations!HQ:HQ),"")</f>
        <v/>
      </c>
      <c r="HQ199" s="69" t="str">
        <f>IF(AND(Include_study?="Yes",Sufficient_data="Yes"),GE:GE^2-1/SUM(Calculations!FT:FT),"")</f>
        <v/>
      </c>
      <c r="HR199" s="7" t="str">
        <f t="shared" si="638"/>
        <v/>
      </c>
      <c r="HS199" s="7" t="str">
        <f t="shared" si="639"/>
        <v/>
      </c>
      <c r="HT199" s="7" t="str">
        <f>IF(AND(Include_study?="Yes",Sufficient_data="Yes"),COUNTIFS(HR$2:HR198,"&lt;"&amp;HR199,HS$2:HS198,"&lt;"&amp;HS199)+COUNTIFS(HR200:HR$201,"&lt;"&amp;HR199,HS200:HS$201,"&lt;"&amp;HS199)+COUNTIFS(HR$2:HR198,"&gt;"&amp;HR199,HS$2:HS198,"&gt;"&amp;HS199)+COUNTIFS(HR200:HR$201,"&gt;"&amp;HR199,HS200:HS$201,"&gt;"&amp;HS199),"")</f>
        <v/>
      </c>
      <c r="HU199" s="104" t="str">
        <f>IF(AND(Include_study?="Yes",Sufficient_data="Yes"),COUNTIFS(HR$2:HR198,"&lt;"&amp;HR199,HS$2:HS198,"&gt;"&amp;HS199)+COUNTIFS(HR200:HR$201,"&lt;"&amp;HR199,HS200:HS$201,"&gt;"&amp;HS199)+COUNTIFS(HR$2:HR198,"&gt;"&amp;HR199,HS$2:HS198,"&lt;"&amp;HS199)+COUNTIFS(HR200:HR$201,"&gt;"&amp;HR199,HS200:HS$201,"&lt;"&amp;HS199),"")</f>
        <v/>
      </c>
      <c r="HW199" s="176"/>
      <c r="IB199" s="176"/>
      <c r="IC199" s="146" t="e">
        <f t="shared" si="716"/>
        <v>#N/A</v>
      </c>
      <c r="ID199" s="137" t="e">
        <f t="shared" si="717"/>
        <v>#N/A</v>
      </c>
      <c r="IE199" s="137" t="str">
        <f t="shared" si="718"/>
        <v/>
      </c>
      <c r="IF199" s="95" t="str">
        <f t="shared" si="719"/>
        <v/>
      </c>
      <c r="IK199" s="176"/>
      <c r="IL199" s="69" t="e">
        <f>IF(AND(Include_study?="Yes",Sufficient_data="Yes"),'Publication Bias Analysis'!AV:AV,NA())</f>
        <v>#N/A</v>
      </c>
      <c r="IM199" s="158" t="e">
        <f>IF(AND(Sufficient_data="Yes",Include_study?="Yes"),'Publication Bias Analysis'!AU:AU,NA())</f>
        <v>#N/A</v>
      </c>
      <c r="IN199" s="69" t="str">
        <f t="shared" si="617"/>
        <v/>
      </c>
      <c r="IO199" s="74" t="str">
        <f>IF(AND(Include_study?="Yes",Sufficient_data="Yes"),Z_score-('Publication Bias Analysis'!AY$30+'Publication Bias Analysis'!AY$31*Inverse_standard_error),"")</f>
        <v/>
      </c>
      <c r="IU199" s="176"/>
      <c r="IV199" s="7" t="str">
        <f>IF('Publication Bias Analysis'!BG:BG&lt;&gt;"",RANK('Publication Bias Analysis'!BG:BG,'Publication Bias Analysis'!BG:BG,1)+COUNTIF('Publication Bias Analysis'!BG$2:BG198,'Publication Bias Analysis'!BG199),"")</f>
        <v/>
      </c>
      <c r="IW199" s="124" t="str">
        <f t="shared" si="720"/>
        <v/>
      </c>
      <c r="IX199" s="125" t="e">
        <f>IF('Publication Bias Analysis'!BF199&lt;&gt;"",'Publication Bias Analysis'!BF199,NA())</f>
        <v>#N/A</v>
      </c>
      <c r="IY199" s="125" t="e">
        <f>IF('Publication Bias Analysis'!BG199&lt;&gt;"",'Publication Bias Analysis'!BG199,NA())</f>
        <v>#N/A</v>
      </c>
      <c r="IZ199" s="69" t="str">
        <f>IF(AND(Include_study?="Yes",Sufficient_data="Yes"),'Publication Bias Analysis'!BF:BF-AVERAGE('Publication Bias Analysis'!BF:BF),"")</f>
        <v/>
      </c>
      <c r="JA199" s="74" t="str">
        <f>IF(AND(Include_study?="Yes",Sufficient_data="Yes"),'Publication Bias Analysis'!BG:BG-('Publication Bias Analysis'!BJ$30+'Publication Bias Analysis'!BJ$31*'Publication Bias Analysis'!BF:BF),"")</f>
        <v/>
      </c>
      <c r="JG199" s="176"/>
      <c r="JH199" s="39" t="str">
        <f t="shared" si="721"/>
        <v/>
      </c>
      <c r="JI199" s="148" t="str">
        <f t="shared" si="728"/>
        <v/>
      </c>
      <c r="JJ199" s="74" t="str">
        <f t="shared" si="729"/>
        <v/>
      </c>
    </row>
    <row r="200" spans="1:270" x14ac:dyDescent="0.2">
      <c r="A200" s="56" t="str">
        <f t="shared" si="533"/>
        <v/>
      </c>
      <c r="B200" s="7" t="str">
        <f>IF(AND(Include_study?="Yes",Sufficient_data="Yes"),IF(Input!a_&lt;&gt;"",Input!a_,Input!n1_-Input!b_),"")</f>
        <v/>
      </c>
      <c r="C200" s="7" t="str">
        <f>IF(AND(Include_study?="Yes",Sufficient_data="Yes"),IF(Input!b_&lt;&gt;"",Input!b_,Input!n1_-Input!a_),"")</f>
        <v/>
      </c>
      <c r="D200" s="7" t="str">
        <f>IF(AND(Include_study?="Yes",Sufficient_data="Yes"),IF(Input!c_&lt;&gt;"",Input!c_,Input!n2_-Input!d_),"")</f>
        <v/>
      </c>
      <c r="E200" s="7" t="str">
        <f>IF(AND(Include_study?="Yes",Sufficient_data="Yes"),IF(Input!d_&lt;&gt;"",Input!d_,Input!n2_-Input!c_),"")</f>
        <v/>
      </c>
      <c r="F200" s="74" t="str">
        <f t="shared" si="640"/>
        <v/>
      </c>
      <c r="H200" s="196"/>
      <c r="I200" s="182"/>
      <c r="J200" s="146" t="str">
        <f t="shared" si="641"/>
        <v/>
      </c>
      <c r="K200" s="39" t="str">
        <f t="shared" si="642"/>
        <v/>
      </c>
      <c r="L200" s="39" t="str">
        <f t="shared" si="643"/>
        <v/>
      </c>
      <c r="M200" s="39" t="str">
        <f t="shared" si="644"/>
        <v/>
      </c>
      <c r="N200" s="74" t="str">
        <f t="shared" si="645"/>
        <v/>
      </c>
      <c r="P200" s="176"/>
      <c r="Q200" s="130" t="str">
        <f t="shared" si="646"/>
        <v/>
      </c>
      <c r="R200" s="39" t="str">
        <f t="shared" si="647"/>
        <v/>
      </c>
      <c r="S200" s="39" t="str">
        <f t="shared" si="648"/>
        <v/>
      </c>
      <c r="T200" s="74" t="str">
        <f t="shared" si="649"/>
        <v/>
      </c>
      <c r="V200" s="176"/>
      <c r="W200" s="130" t="str">
        <f t="shared" si="650"/>
        <v/>
      </c>
      <c r="X200" s="39" t="str">
        <f t="shared" si="651"/>
        <v/>
      </c>
      <c r="Y200" s="39" t="str">
        <f t="shared" si="652"/>
        <v/>
      </c>
      <c r="Z200" s="74" t="str">
        <f t="shared" si="653"/>
        <v/>
      </c>
      <c r="AB200" s="176"/>
      <c r="AC200" s="130" t="str">
        <f t="shared" si="654"/>
        <v/>
      </c>
      <c r="AD200" s="39" t="str">
        <f t="shared" si="655"/>
        <v/>
      </c>
      <c r="AE200" s="39" t="str">
        <f t="shared" si="656"/>
        <v/>
      </c>
      <c r="AF200" s="39" t="str">
        <f t="shared" si="657"/>
        <v/>
      </c>
      <c r="AG200" s="74" t="str">
        <f t="shared" si="658"/>
        <v/>
      </c>
      <c r="AI200" s="196"/>
      <c r="AJ200" s="8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00" s="136" t="str">
        <f>IF(AJ200&lt;&gt;"",IF(AJ200=0,COUNTIF(AJ$2:AJ199,0)+1,COUNTIF(AJ$2:AJ199,AJ200)+AJ200+COUNTIF(AJ:AJ,0)),"")</f>
        <v/>
      </c>
      <c r="AL200" s="136" t="str">
        <f t="shared" si="659"/>
        <v/>
      </c>
      <c r="AM200" s="155" t="str">
        <f>IF(AND(Include_study?="Yes",Sufficient_data="Yes",Input!Study_name&lt;&gt;""),Input!Study_name,"")</f>
        <v/>
      </c>
      <c r="AN200" s="136" t="str">
        <f t="shared" si="660"/>
        <v/>
      </c>
      <c r="AO200" s="19" t="str">
        <f t="shared" si="661"/>
        <v/>
      </c>
      <c r="AP200" s="158" t="str">
        <f t="shared" si="662"/>
        <v/>
      </c>
      <c r="AQ200" s="158" t="str">
        <f t="shared" si="663"/>
        <v/>
      </c>
      <c r="AR200" s="39" t="str">
        <f t="shared" si="664"/>
        <v/>
      </c>
      <c r="AS200" s="158" t="str">
        <f t="shared" si="665"/>
        <v/>
      </c>
      <c r="AT200" s="39" t="str">
        <f t="shared" si="666"/>
        <v/>
      </c>
      <c r="AU200" s="172" t="str">
        <f t="shared" si="667"/>
        <v/>
      </c>
      <c r="AV200" s="45"/>
      <c r="AW200" s="84" t="e">
        <f t="shared" si="559"/>
        <v>#N/A</v>
      </c>
      <c r="AX200" s="69" t="e">
        <f t="shared" si="668"/>
        <v>#N/A</v>
      </c>
      <c r="AY200" s="74" t="e">
        <f t="shared" si="669"/>
        <v>#N/A</v>
      </c>
      <c r="AZ200" s="45"/>
      <c r="BA200" s="45"/>
      <c r="BB200" s="45"/>
      <c r="BC200" s="45"/>
      <c r="BD200" s="196"/>
      <c r="BE200" s="182"/>
      <c r="BF200" s="69" t="str">
        <f t="shared" si="562"/>
        <v/>
      </c>
      <c r="BG200" s="69" t="str">
        <f t="shared" si="563"/>
        <v/>
      </c>
      <c r="BH200" s="69" t="str">
        <f t="shared" si="564"/>
        <v/>
      </c>
      <c r="BI200" s="39" t="str">
        <f t="shared" si="565"/>
        <v/>
      </c>
      <c r="BJ200" s="95" t="str">
        <f t="shared" si="670"/>
        <v/>
      </c>
      <c r="BO200" s="176"/>
      <c r="BP200" s="158" t="str">
        <f t="shared" si="671"/>
        <v/>
      </c>
      <c r="BQ200" s="158" t="str">
        <f t="shared" si="672"/>
        <v/>
      </c>
      <c r="BR200" s="158" t="str">
        <f t="shared" si="673"/>
        <v/>
      </c>
      <c r="BS200" s="158" t="str">
        <f>IF(AND(Sufficient_data="Yes",Include_study?="Yes"),IF(Add_0_5="Yes",(a_+d_+1)*(ab_+0.5)*(c_+0.5)/(Number_of_subjects+2)^2,(a_+d_)*b_*c_/Number_of_subjects^2),"")</f>
        <v/>
      </c>
      <c r="BT200" s="158" t="str">
        <f t="shared" si="674"/>
        <v/>
      </c>
      <c r="BU200" s="158" t="str">
        <f t="shared" si="675"/>
        <v/>
      </c>
      <c r="BV200" s="158" t="str">
        <f t="shared" si="676"/>
        <v/>
      </c>
      <c r="BW200" s="69" t="str">
        <f t="shared" si="573"/>
        <v/>
      </c>
      <c r="BX200" s="137" t="str">
        <f t="shared" si="574"/>
        <v/>
      </c>
      <c r="BY200" s="95" t="str">
        <f t="shared" si="677"/>
        <v/>
      </c>
      <c r="CD200" s="176"/>
      <c r="CE200" s="130" t="str">
        <f t="shared" si="678"/>
        <v/>
      </c>
      <c r="CF200" s="39" t="str">
        <f t="shared" si="679"/>
        <v/>
      </c>
      <c r="CG200" s="39" t="str">
        <f t="shared" si="680"/>
        <v/>
      </c>
      <c r="CH200" s="39" t="str">
        <f t="shared" si="681"/>
        <v/>
      </c>
      <c r="CI200" s="39" t="str">
        <f t="shared" si="682"/>
        <v/>
      </c>
      <c r="CJ200" s="39" t="str">
        <f t="shared" si="683"/>
        <v/>
      </c>
      <c r="CK200" s="95" t="str">
        <f t="shared" si="684"/>
        <v/>
      </c>
      <c r="CP200" s="176"/>
      <c r="CQ200" s="99" t="str">
        <f t="shared" si="582"/>
        <v/>
      </c>
      <c r="CX200" s="196"/>
      <c r="CY200" s="89" t="e">
        <f t="shared" si="685"/>
        <v>#N/A</v>
      </c>
      <c r="CZ200" s="136" t="str">
        <f t="shared" si="686"/>
        <v/>
      </c>
      <c r="DA200" s="140" t="str">
        <f t="shared" si="687"/>
        <v/>
      </c>
      <c r="DB200" s="39" t="str">
        <f t="shared" si="688"/>
        <v/>
      </c>
      <c r="DC200" s="39" t="str">
        <f t="shared" si="689"/>
        <v/>
      </c>
      <c r="DD200" s="39" t="str">
        <f t="shared" si="690"/>
        <v/>
      </c>
      <c r="DE200" s="39" t="str">
        <f t="shared" si="691"/>
        <v/>
      </c>
      <c r="DF200" s="141" t="str">
        <f t="shared" si="692"/>
        <v/>
      </c>
      <c r="DG200" s="39" t="str">
        <f t="shared" si="693"/>
        <v/>
      </c>
      <c r="DH200" s="39" t="str">
        <f t="shared" si="694"/>
        <v/>
      </c>
      <c r="DI200" s="39" t="str">
        <f t="shared" si="695"/>
        <v/>
      </c>
      <c r="DJ200" s="74" t="str">
        <f t="shared" si="696"/>
        <v/>
      </c>
      <c r="DK200" s="45"/>
      <c r="DL200" s="84" t="e">
        <f t="shared" si="620"/>
        <v>#N/A</v>
      </c>
      <c r="DM200" s="39" t="e">
        <f t="shared" si="697"/>
        <v>#N/A</v>
      </c>
      <c r="DN200" s="74" t="e">
        <f t="shared" si="698"/>
        <v>#N/A</v>
      </c>
      <c r="DO200" s="45"/>
      <c r="DP200" s="89" t="str">
        <f t="shared" si="722"/>
        <v/>
      </c>
      <c r="DQ200" s="26" t="str">
        <f>IF(AND(Sufficient_data="Yes",Subgroup&lt;&gt;""),IF(COUNTIFS(Input!J$2:J199,"="&amp;"Yes",Input!C$2:C199,"="&amp;"Yes",Input!K$2:K199,"="&amp;Subgroup)&gt;0,"",Subgroup),"")</f>
        <v/>
      </c>
      <c r="DR200" s="7" t="str">
        <f t="shared" si="723"/>
        <v/>
      </c>
      <c r="DS200" s="7" t="str">
        <f t="shared" si="699"/>
        <v/>
      </c>
      <c r="DT200" s="19" t="str">
        <f t="shared" si="700"/>
        <v/>
      </c>
      <c r="DU200" s="12" t="str">
        <f t="shared" si="621"/>
        <v/>
      </c>
      <c r="DV200" s="11" t="str">
        <f t="shared" si="622"/>
        <v/>
      </c>
      <c r="DW200" s="12" t="str">
        <f t="shared" si="623"/>
        <v/>
      </c>
      <c r="DX200" s="12" t="str">
        <f t="shared" si="701"/>
        <v/>
      </c>
      <c r="DY200" s="19" t="str">
        <f t="shared" si="624"/>
        <v/>
      </c>
      <c r="DZ200" s="12" t="str">
        <f t="shared" si="625"/>
        <v/>
      </c>
      <c r="EA200" s="19" t="str">
        <f t="shared" si="702"/>
        <v/>
      </c>
      <c r="EB200" s="7" t="str">
        <f t="shared" si="703"/>
        <v/>
      </c>
      <c r="EC200" s="19" t="str">
        <f t="shared" si="704"/>
        <v/>
      </c>
      <c r="ED200" s="19" t="str">
        <f t="shared" si="705"/>
        <v/>
      </c>
      <c r="EE200" s="19" t="str">
        <f t="shared" si="626"/>
        <v/>
      </c>
      <c r="EF200" s="19" t="str">
        <f t="shared" si="627"/>
        <v/>
      </c>
      <c r="EG200" s="19" t="str">
        <f t="shared" si="628"/>
        <v/>
      </c>
      <c r="EH200" s="19" t="str">
        <f t="shared" si="629"/>
        <v/>
      </c>
      <c r="EI200" s="19" t="str">
        <f t="shared" si="630"/>
        <v/>
      </c>
      <c r="EJ200" s="19" t="str">
        <f t="shared" si="706"/>
        <v/>
      </c>
      <c r="EK200" s="19" t="str">
        <f t="shared" si="707"/>
        <v/>
      </c>
      <c r="EL200" s="19" t="str">
        <f t="shared" si="631"/>
        <v/>
      </c>
      <c r="EM200" s="19" t="str">
        <f t="shared" si="632"/>
        <v/>
      </c>
      <c r="EN200" s="19" t="str">
        <f t="shared" si="633"/>
        <v/>
      </c>
      <c r="EO200" s="19" t="str">
        <f t="shared" si="634"/>
        <v/>
      </c>
      <c r="EP200" s="19" t="str">
        <f t="shared" si="635"/>
        <v/>
      </c>
      <c r="EQ200" s="19" t="e">
        <f t="shared" si="636"/>
        <v>#N/A</v>
      </c>
      <c r="ER200" s="11" t="str">
        <f t="shared" si="724"/>
        <v/>
      </c>
      <c r="ES200" s="19" t="str">
        <f t="shared" si="725"/>
        <v/>
      </c>
      <c r="ET200" s="156" t="str">
        <f t="shared" si="708"/>
        <v/>
      </c>
      <c r="EU200" s="39" t="str">
        <f t="shared" si="637"/>
        <v/>
      </c>
      <c r="EV200" s="74" t="str">
        <f t="shared" si="709"/>
        <v/>
      </c>
      <c r="FA200" s="196"/>
      <c r="FB200" s="84" t="e">
        <f>IF(AND(Include_study?="Yes",Sufficient_data="Yes",Moderator&lt;&gt;""),'Moderator Analysis'!E200,NA())</f>
        <v>#N/A</v>
      </c>
      <c r="FC200" s="39" t="e">
        <f>IF(AND(Include_study?="Yes",Sufficient_data="Yes",Moderator&lt;&gt;""),'Moderator Analysis'!F200,NA())</f>
        <v>#N/A</v>
      </c>
      <c r="FD200" s="39" t="str">
        <f t="shared" si="710"/>
        <v/>
      </c>
      <c r="FE200" s="39" t="str">
        <f t="shared" si="711"/>
        <v/>
      </c>
      <c r="FF200" s="39" t="str">
        <f>IF(AND(Include_study?="Yes",Sufficient_data="Yes",Moderator&lt;&gt;""),'Moderator Analysis'!F:F-FP$2,"")</f>
        <v/>
      </c>
      <c r="FG200" s="39" t="str">
        <f>IF(AND(Include_study?="Yes",Sufficient_data="Yes",Moderator&lt;&gt;""),'Moderator Analysis'!E:E-FP$3,"")</f>
        <v/>
      </c>
      <c r="FH200" s="74" t="str">
        <f>IF(AND(Include_study?="Yes",Sufficient_data="Yes",Moderator&lt;&gt;""),FE:FE*('Moderator Analysis'!F:F-FP$5-FP$4*'Moderator Analysis'!E:E)^2,"")</f>
        <v/>
      </c>
      <c r="FI200" s="128"/>
      <c r="FJ200" s="92" t="str">
        <f t="shared" si="712"/>
        <v/>
      </c>
      <c r="FK200" s="137" t="str">
        <f>IF(AND(Include_study?="Yes",Sufficient_data="Yes",Moderator&lt;&gt;""),'Moderator Analysis'!F:F-'Moderator Analysis'!J$37,"")</f>
        <v/>
      </c>
      <c r="FL200" s="137" t="str">
        <f>IF(AND(Include_study?="Yes",Sufficient_data="Yes",Moderator&lt;&gt;""),'Moderator Analysis'!E:E-SUMPRODUCT('Moderator Analysis'!E:E,FJ:FJ)/SUM(FJ:FJ),"")</f>
        <v/>
      </c>
      <c r="FM200" s="95" t="str">
        <f>IF(AND(Include_study?="Yes",Sufficient_data="Yes",Moderator&lt;&gt;""),FJ:FJ*('Moderator Analysis'!F:F-'Moderator Analysis'!J$29-'Moderator Analysis'!J$30*'Moderator Analysis'!E:E)^2,"")</f>
        <v/>
      </c>
      <c r="FR200" s="196"/>
      <c r="FS200" s="182"/>
      <c r="FT200" s="130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00" s="39" t="str">
        <f>IF(AND(Include_study?="Yes",Sufficient_data="Yes"),1/('Publication Bias Analysis'!F:F^2+IF(Additional_model="Fixed effect",0,Calculations!GH$12)),"")</f>
        <v/>
      </c>
      <c r="FV200" s="39" t="str">
        <f>IF(AND(Include_study?="Yes",Sufficient_data="Yes"),1/('Publication Bias Analysis'!F:F^2+IF(Additional_model="Fixed effect",0,'Publication Bias Analysis'!L$32)),"")</f>
        <v/>
      </c>
      <c r="FW200" s="39" t="str">
        <f>IF(AND(Include_study?="Yes",Sufficient_data="Yes"),'Publication Bias Analysis'!E:E-'Publication Bias Analysis'!I$37,"")</f>
        <v/>
      </c>
      <c r="FX200" s="39" t="str">
        <f>IF(AND(Include_study?="Yes",Sufficient_data="Yes"),IF(Additional_model="Fixed effect",1/'Publication Bias Analysis'!F:F,1/SQRT('Publication Bias Analysis'!F:F^2+GH$12)),"")</f>
        <v/>
      </c>
      <c r="FY200" s="39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00" s="136" t="str">
        <f t="shared" si="713"/>
        <v/>
      </c>
      <c r="GA200" s="144" t="str">
        <f>IF(AND(Include_study?="Yes",Sufficient_data="Yes"),FZ:FZ+IF(GL:GL&lt;0,-1,1)*COUNTIF(FZ$2:FZ199,FZ:FZ),"")</f>
        <v/>
      </c>
      <c r="GB200" s="144" t="str">
        <f>IF(AND(Include_study?="Yes",Sufficient_data="Yes"),RANK(GP:GP,GP:GP,1)*IF(GO:GO&lt;0,-1,1)+IF(GO:GO&lt;0,-1,1)*COUNTIF(FZ$2:FZ199,FZ:FZ),"")</f>
        <v/>
      </c>
      <c r="GC200" s="144" t="str">
        <f>IF(AND(Include_study?="Yes",Sufficient_data="Yes"),RANK(GS:GS,GS:GS,1)*IF(GR:GR&lt;0,-1,1)+IF(GR:GR&lt;0,-1,1)*COUNTIF(FZ$2:FZ199,FZ:FZ),"")</f>
        <v/>
      </c>
      <c r="GD200" s="39" t="e">
        <f>IF(AND(Include_study?="Yes",Sufficient_data="Yes"),'Publication Bias Analysis'!E200,NA())</f>
        <v>#N/A</v>
      </c>
      <c r="GE200" s="74" t="e">
        <f>IF(AND(Include_study?="Yes",Sufficient_data="Yes"),'Publication Bias Analysis'!F200,NA())</f>
        <v>#N/A</v>
      </c>
      <c r="GK200" s="176"/>
      <c r="GL200" s="130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00" s="39" t="str">
        <f t="shared" si="714"/>
        <v/>
      </c>
      <c r="GN200" s="74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00" s="39" t="str">
        <f>IF(AND(Include_study?="Yes",Sufficient_data="Yes"),IF('Publication Bias Analysis'!L$38="Left",'Publication Bias Analysis'!E:E-GW$3,GW$3-'Publication Bias Analysis'!E:E),"")</f>
        <v/>
      </c>
      <c r="GP200" s="39" t="str">
        <f t="shared" si="726"/>
        <v/>
      </c>
      <c r="GQ200" s="74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00" s="39" t="str">
        <f>IF(AND(Include_study?="Yes",Sufficient_data="Yes"),IF('Publication Bias Analysis'!L$38="Left",'Publication Bias Analysis'!E:E-GW$10,GW$10-'Publication Bias Analysis'!E:E),"")</f>
        <v/>
      </c>
      <c r="GS200" s="39" t="str">
        <f t="shared" si="727"/>
        <v/>
      </c>
      <c r="GT200" s="74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200" s="176"/>
      <c r="HL200" s="69" t="str">
        <f t="shared" si="715"/>
        <v/>
      </c>
      <c r="HM200" s="74" t="str">
        <f>IF(AND(Include_study?="Yes",Sufficient_data="Yes"),Z_score-('Publication Bias Analysis'!P$3+'Publication Bias Analysis'!P$4*Inverse_standard_error),"")</f>
        <v/>
      </c>
      <c r="HO200" s="176"/>
      <c r="HP200" s="69" t="str">
        <f>IF(AND(Include_study?="Yes",Sufficient_data="Yes"),(GD:GD-SUMPRODUCT(Calculations!FT:FT,'Publication Bias Analysis'!E:E)/SUM(Calculations!FT:FT))/SQRT(Calculations!HQ:HQ),"")</f>
        <v/>
      </c>
      <c r="HQ200" s="69" t="str">
        <f>IF(AND(Include_study?="Yes",Sufficient_data="Yes"),GE:GE^2-1/SUM(Calculations!FT:FT),"")</f>
        <v/>
      </c>
      <c r="HR200" s="7" t="str">
        <f t="shared" si="638"/>
        <v/>
      </c>
      <c r="HS200" s="7" t="str">
        <f t="shared" si="639"/>
        <v/>
      </c>
      <c r="HT200" s="7" t="str">
        <f>IF(AND(Include_study?="Yes",Sufficient_data="Yes"),COUNTIFS(HR$2:HR199,"&lt;"&amp;HR200,HS$2:HS199,"&lt;"&amp;HS200)+COUNTIFS(HR201:HR$201,"&lt;"&amp;HR200,HS201:HS$201,"&lt;"&amp;HS200)+COUNTIFS(HR$2:HR199,"&gt;"&amp;HR200,HS$2:HS199,"&gt;"&amp;HS200)+COUNTIFS(HR201:HR$201,"&gt;"&amp;HR200,HS201:HS$201,"&gt;"&amp;HS200),"")</f>
        <v/>
      </c>
      <c r="HU200" s="104" t="str">
        <f>IF(AND(Include_study?="Yes",Sufficient_data="Yes"),COUNTIFS(HR$2:HR199,"&lt;"&amp;HR200,HS$2:HS199,"&gt;"&amp;HS200)+COUNTIFS(HR201:HR$201,"&lt;"&amp;HR200,HS201:HS$201,"&gt;"&amp;HS200)+COUNTIFS(HR$2:HR199,"&gt;"&amp;HR200,HS$2:HS199,"&lt;"&amp;HS200)+COUNTIFS(HR201:HR$201,"&gt;"&amp;HR200,HS201:HS$201,"&lt;"&amp;HS200),"")</f>
        <v/>
      </c>
      <c r="HW200" s="176"/>
      <c r="IB200" s="176"/>
      <c r="IC200" s="146" t="e">
        <f t="shared" si="716"/>
        <v>#N/A</v>
      </c>
      <c r="ID200" s="137" t="e">
        <f t="shared" si="717"/>
        <v>#N/A</v>
      </c>
      <c r="IE200" s="137" t="str">
        <f t="shared" si="718"/>
        <v/>
      </c>
      <c r="IF200" s="95" t="str">
        <f t="shared" si="719"/>
        <v/>
      </c>
      <c r="IK200" s="176"/>
      <c r="IL200" s="69" t="e">
        <f>IF(AND(Include_study?="Yes",Sufficient_data="Yes"),'Publication Bias Analysis'!AV:AV,NA())</f>
        <v>#N/A</v>
      </c>
      <c r="IM200" s="158" t="e">
        <f>IF(AND(Sufficient_data="Yes",Include_study?="Yes"),'Publication Bias Analysis'!AU:AU,NA())</f>
        <v>#N/A</v>
      </c>
      <c r="IN200" s="69" t="str">
        <f t="shared" si="617"/>
        <v/>
      </c>
      <c r="IO200" s="74" t="str">
        <f>IF(AND(Include_study?="Yes",Sufficient_data="Yes"),Z_score-('Publication Bias Analysis'!AY$30+'Publication Bias Analysis'!AY$31*Inverse_standard_error),"")</f>
        <v/>
      </c>
      <c r="IU200" s="176"/>
      <c r="IV200" s="7" t="str">
        <f>IF('Publication Bias Analysis'!BG:BG&lt;&gt;"",RANK('Publication Bias Analysis'!BG:BG,'Publication Bias Analysis'!BG:BG,1)+COUNTIF('Publication Bias Analysis'!BG$2:BG199,'Publication Bias Analysis'!BG200),"")</f>
        <v/>
      </c>
      <c r="IW200" s="124" t="str">
        <f t="shared" si="720"/>
        <v/>
      </c>
      <c r="IX200" s="125" t="e">
        <f>IF('Publication Bias Analysis'!BF200&lt;&gt;"",'Publication Bias Analysis'!BF200,NA())</f>
        <v>#N/A</v>
      </c>
      <c r="IY200" s="125" t="e">
        <f>IF('Publication Bias Analysis'!BG200&lt;&gt;"",'Publication Bias Analysis'!BG200,NA())</f>
        <v>#N/A</v>
      </c>
      <c r="IZ200" s="69" t="str">
        <f>IF(AND(Include_study?="Yes",Sufficient_data="Yes"),'Publication Bias Analysis'!BF:BF-AVERAGE('Publication Bias Analysis'!BF:BF),"")</f>
        <v/>
      </c>
      <c r="JA200" s="74" t="str">
        <f>IF(AND(Include_study?="Yes",Sufficient_data="Yes"),'Publication Bias Analysis'!BG:BG-('Publication Bias Analysis'!BJ$30+'Publication Bias Analysis'!BJ$31*'Publication Bias Analysis'!BF:BF),"")</f>
        <v/>
      </c>
      <c r="JG200" s="176"/>
      <c r="JH200" s="39" t="str">
        <f t="shared" si="721"/>
        <v/>
      </c>
      <c r="JI200" s="148" t="str">
        <f t="shared" si="728"/>
        <v/>
      </c>
      <c r="JJ200" s="74" t="str">
        <f t="shared" si="729"/>
        <v/>
      </c>
    </row>
    <row r="201" spans="1:270" x14ac:dyDescent="0.2">
      <c r="A201" s="77" t="str">
        <f t="shared" si="533"/>
        <v/>
      </c>
      <c r="B201" s="7" t="str">
        <f>IF(AND(Include_study?="Yes",Sufficient_data="Yes"),IF(Input!a_&lt;&gt;"",Input!a_,Input!n1_-Input!b_),"")</f>
        <v/>
      </c>
      <c r="C201" s="7" t="str">
        <f>IF(AND(Include_study?="Yes",Sufficient_data="Yes"),IF(Input!b_&lt;&gt;"",Input!b_,Input!n1_-Input!a_),"")</f>
        <v/>
      </c>
      <c r="D201" s="7" t="str">
        <f>IF(AND(Include_study?="Yes",Sufficient_data="Yes"),IF(Input!c_&lt;&gt;"",Input!c_,Input!n2_-Input!d_),"")</f>
        <v/>
      </c>
      <c r="E201" s="7" t="str">
        <f>IF(AND(Include_study?="Yes",Sufficient_data="Yes"),IF(Input!d_&lt;&gt;"",Input!d_,Input!n2_-Input!c_),"")</f>
        <v/>
      </c>
      <c r="F201" s="78" t="str">
        <f t="shared" si="640"/>
        <v/>
      </c>
      <c r="H201" s="197"/>
      <c r="I201" s="183"/>
      <c r="J201" s="106" t="str">
        <f t="shared" si="641"/>
        <v/>
      </c>
      <c r="K201" s="71" t="str">
        <f t="shared" si="642"/>
        <v/>
      </c>
      <c r="L201" s="71" t="str">
        <f t="shared" si="643"/>
        <v/>
      </c>
      <c r="M201" s="71" t="str">
        <f t="shared" si="644"/>
        <v/>
      </c>
      <c r="N201" s="78" t="str">
        <f t="shared" si="645"/>
        <v/>
      </c>
      <c r="P201" s="177"/>
      <c r="Q201" s="97" t="str">
        <f t="shared" si="646"/>
        <v/>
      </c>
      <c r="R201" s="71" t="str">
        <f t="shared" si="647"/>
        <v/>
      </c>
      <c r="S201" s="71" t="str">
        <f t="shared" si="648"/>
        <v/>
      </c>
      <c r="T201" s="78" t="str">
        <f t="shared" si="649"/>
        <v/>
      </c>
      <c r="V201" s="177"/>
      <c r="W201" s="97" t="str">
        <f t="shared" si="650"/>
        <v/>
      </c>
      <c r="X201" s="71" t="str">
        <f t="shared" si="651"/>
        <v/>
      </c>
      <c r="Y201" s="71" t="str">
        <f t="shared" si="652"/>
        <v/>
      </c>
      <c r="Z201" s="78" t="str">
        <f t="shared" si="653"/>
        <v/>
      </c>
      <c r="AB201" s="177"/>
      <c r="AC201" s="97" t="str">
        <f t="shared" si="654"/>
        <v/>
      </c>
      <c r="AD201" s="71" t="str">
        <f t="shared" si="655"/>
        <v/>
      </c>
      <c r="AE201" s="71" t="str">
        <f t="shared" si="656"/>
        <v/>
      </c>
      <c r="AF201" s="71" t="str">
        <f t="shared" si="657"/>
        <v/>
      </c>
      <c r="AG201" s="78" t="str">
        <f t="shared" si="658"/>
        <v/>
      </c>
      <c r="AI201" s="197"/>
      <c r="AJ201" s="79" t="str">
        <f>IF(AND(Include_study?="Yes",Sufficient_data="Yes"),IF(AND(Sort_by='Forest Plot'!$K$3,Order="Ascending"),COUNTIFS(Include_study?,"Yes",Sufficient_data,"Yes",Study_name,"&lt;"&amp;Study_name)+1,IF(AND(Sort_by='Forest Plot'!$K$3,Order="Descending"),COUNTIFS(Include_study?,"Yes",Sufficient_data,"Yes",Study_name,"&gt;"&amp;Study_name),RANK(IF(Sort_by='Forest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Plot'!$K$8,Standard_error,"")))))),IF(Sort_by='Forest Plot'!$K$2,Entry_number,IF(Sort_by='Forest Plot'!$K$4,Number_of_subjects,IF(Sort_by='Forest Plot'!$K$5,Effect_size_lookup,IF(Sort_by='Forest Plot'!$K$6,Weightf_lookup,IF(Sort_by='Forest Plot'!$K$7,Weightr_lookup,IF(Sort_by='Forest Plot'!$K$8,Standard_error,"")))))),IF(Order="Descending",0,1)))),"")</f>
        <v/>
      </c>
      <c r="AK201" s="80" t="str">
        <f>IF(AJ201&lt;&gt;"",IF(AJ201=0,COUNTIF(AJ$2:AJ200,0)+1,COUNTIF(AJ$2:AJ200,AJ201)+AJ201+COUNTIF(AJ:AJ,0)),"")</f>
        <v/>
      </c>
      <c r="AL201" s="80" t="str">
        <f t="shared" si="659"/>
        <v/>
      </c>
      <c r="AM201" s="155" t="str">
        <f>IF(AND(Include_study?="Yes",Sufficient_data="Yes",Input!Study_name&lt;&gt;""),Input!Study_name,"")</f>
        <v/>
      </c>
      <c r="AN201" s="80" t="str">
        <f t="shared" si="660"/>
        <v/>
      </c>
      <c r="AO201" s="19" t="str">
        <f t="shared" si="661"/>
        <v/>
      </c>
      <c r="AP201" s="158" t="str">
        <f t="shared" si="662"/>
        <v/>
      </c>
      <c r="AQ201" s="158" t="str">
        <f t="shared" si="663"/>
        <v/>
      </c>
      <c r="AR201" s="71" t="str">
        <f t="shared" si="664"/>
        <v/>
      </c>
      <c r="AS201" s="158" t="str">
        <f t="shared" si="665"/>
        <v/>
      </c>
      <c r="AT201" s="71" t="str">
        <f t="shared" si="666"/>
        <v/>
      </c>
      <c r="AU201" s="82" t="str">
        <f t="shared" si="667"/>
        <v/>
      </c>
      <c r="AV201" s="45"/>
      <c r="AW201" s="85" t="e">
        <f t="shared" si="559"/>
        <v>#N/A</v>
      </c>
      <c r="AX201" s="71" t="e">
        <f t="shared" si="668"/>
        <v>#N/A</v>
      </c>
      <c r="AY201" s="78" t="e">
        <f t="shared" si="669"/>
        <v>#N/A</v>
      </c>
      <c r="AZ201" s="45"/>
      <c r="BA201" s="45"/>
      <c r="BB201" s="45"/>
      <c r="BC201" s="45"/>
      <c r="BD201" s="197"/>
      <c r="BE201" s="183"/>
      <c r="BF201" s="97" t="str">
        <f t="shared" si="562"/>
        <v/>
      </c>
      <c r="BG201" s="71" t="str">
        <f t="shared" si="563"/>
        <v/>
      </c>
      <c r="BH201" s="71" t="str">
        <f t="shared" si="564"/>
        <v/>
      </c>
      <c r="BI201" s="71" t="str">
        <f t="shared" si="565"/>
        <v/>
      </c>
      <c r="BJ201" s="96" t="str">
        <f t="shared" si="670"/>
        <v/>
      </c>
      <c r="BO201" s="177"/>
      <c r="BP201" s="158" t="str">
        <f t="shared" si="671"/>
        <v/>
      </c>
      <c r="BQ201" s="158" t="str">
        <f t="shared" si="672"/>
        <v/>
      </c>
      <c r="BR201" s="158" t="str">
        <f t="shared" si="673"/>
        <v/>
      </c>
      <c r="BS201" s="158" t="str">
        <f>IF(AND(Sufficient_data="Yes",Include_study?="Yes"),IF(Add_0_5="Yes",(a_+d_+1)*(ab_+0.5)*(c_+0.5)/(Number_of_subjects+2)^2,(a_+d_)*b_*c_/Number_of_subjects^2),"")</f>
        <v/>
      </c>
      <c r="BT201" s="158" t="str">
        <f t="shared" si="674"/>
        <v/>
      </c>
      <c r="BU201" s="158" t="str">
        <f t="shared" si="675"/>
        <v/>
      </c>
      <c r="BV201" s="158" t="str">
        <f t="shared" si="676"/>
        <v/>
      </c>
      <c r="BW201" s="71" t="str">
        <f t="shared" si="573"/>
        <v/>
      </c>
      <c r="BX201" s="81" t="str">
        <f t="shared" si="574"/>
        <v/>
      </c>
      <c r="BY201" s="96" t="str">
        <f t="shared" si="677"/>
        <v/>
      </c>
      <c r="CD201" s="177"/>
      <c r="CE201" s="97" t="str">
        <f t="shared" si="678"/>
        <v/>
      </c>
      <c r="CF201" s="71" t="str">
        <f t="shared" si="679"/>
        <v/>
      </c>
      <c r="CG201" s="71" t="str">
        <f t="shared" si="680"/>
        <v/>
      </c>
      <c r="CH201" s="71" t="str">
        <f t="shared" si="681"/>
        <v/>
      </c>
      <c r="CI201" s="71" t="str">
        <f t="shared" si="682"/>
        <v/>
      </c>
      <c r="CJ201" s="71" t="str">
        <f t="shared" si="683"/>
        <v/>
      </c>
      <c r="CK201" s="96" t="str">
        <f t="shared" si="684"/>
        <v/>
      </c>
      <c r="CP201" s="177"/>
      <c r="CQ201" s="100" t="str">
        <f t="shared" si="582"/>
        <v/>
      </c>
      <c r="CX201" s="197"/>
      <c r="CY201" s="79" t="e">
        <f t="shared" si="685"/>
        <v>#N/A</v>
      </c>
      <c r="CZ201" s="80" t="str">
        <f t="shared" si="686"/>
        <v/>
      </c>
      <c r="DA201" s="86" t="str">
        <f t="shared" si="687"/>
        <v/>
      </c>
      <c r="DB201" s="71" t="str">
        <f t="shared" si="688"/>
        <v/>
      </c>
      <c r="DC201" s="71" t="str">
        <f t="shared" si="689"/>
        <v/>
      </c>
      <c r="DD201" s="71" t="str">
        <f t="shared" si="690"/>
        <v/>
      </c>
      <c r="DE201" s="71" t="str">
        <f t="shared" si="691"/>
        <v/>
      </c>
      <c r="DF201" s="87" t="str">
        <f t="shared" si="692"/>
        <v/>
      </c>
      <c r="DG201" s="71" t="str">
        <f t="shared" si="693"/>
        <v/>
      </c>
      <c r="DH201" s="71" t="str">
        <f t="shared" si="694"/>
        <v/>
      </c>
      <c r="DI201" s="71" t="str">
        <f t="shared" si="695"/>
        <v/>
      </c>
      <c r="DJ201" s="78" t="str">
        <f t="shared" si="696"/>
        <v/>
      </c>
      <c r="DK201" s="45"/>
      <c r="DL201" s="85" t="e">
        <f t="shared" si="620"/>
        <v>#N/A</v>
      </c>
      <c r="DM201" s="71" t="e">
        <f t="shared" si="697"/>
        <v>#N/A</v>
      </c>
      <c r="DN201" s="78" t="e">
        <f t="shared" si="698"/>
        <v>#N/A</v>
      </c>
      <c r="DO201" s="45"/>
      <c r="DP201" s="79" t="str">
        <f t="shared" si="722"/>
        <v/>
      </c>
      <c r="DQ201" s="86" t="str">
        <f>IF(AND(Sufficient_data="Yes",Subgroup&lt;&gt;""),IF(COUNTIFS(Input!J$2:J200,"="&amp;"Yes",Input!C$2:C200,"="&amp;"Yes",Input!K$2:K200,"="&amp;Subgroup)&gt;0,"",Subgroup),"")</f>
        <v/>
      </c>
      <c r="DR201" s="80" t="str">
        <f t="shared" si="723"/>
        <v/>
      </c>
      <c r="DS201" s="7" t="str">
        <f t="shared" si="699"/>
        <v/>
      </c>
      <c r="DT201" s="81" t="str">
        <f t="shared" si="700"/>
        <v/>
      </c>
      <c r="DU201" s="90" t="str">
        <f t="shared" si="621"/>
        <v/>
      </c>
      <c r="DV201" s="82" t="str">
        <f t="shared" si="622"/>
        <v/>
      </c>
      <c r="DW201" s="90" t="str">
        <f t="shared" si="623"/>
        <v/>
      </c>
      <c r="DX201" s="90" t="str">
        <f t="shared" si="701"/>
        <v/>
      </c>
      <c r="DY201" s="81" t="str">
        <f t="shared" si="624"/>
        <v/>
      </c>
      <c r="DZ201" s="90" t="str">
        <f t="shared" si="625"/>
        <v/>
      </c>
      <c r="EA201" s="81" t="str">
        <f t="shared" si="702"/>
        <v/>
      </c>
      <c r="EB201" s="80" t="str">
        <f t="shared" si="703"/>
        <v/>
      </c>
      <c r="EC201" s="19" t="str">
        <f t="shared" si="704"/>
        <v/>
      </c>
      <c r="ED201" s="19" t="str">
        <f t="shared" si="705"/>
        <v/>
      </c>
      <c r="EE201" s="81" t="str">
        <f t="shared" si="626"/>
        <v/>
      </c>
      <c r="EF201" s="81" t="str">
        <f t="shared" si="627"/>
        <v/>
      </c>
      <c r="EG201" s="81" t="str">
        <f t="shared" si="628"/>
        <v/>
      </c>
      <c r="EH201" s="81" t="str">
        <f t="shared" si="629"/>
        <v/>
      </c>
      <c r="EI201" s="81" t="str">
        <f t="shared" si="630"/>
        <v/>
      </c>
      <c r="EJ201" s="19" t="str">
        <f t="shared" si="706"/>
        <v/>
      </c>
      <c r="EK201" s="19" t="str">
        <f t="shared" si="707"/>
        <v/>
      </c>
      <c r="EL201" s="81" t="str">
        <f t="shared" si="631"/>
        <v/>
      </c>
      <c r="EM201" s="81" t="str">
        <f t="shared" si="632"/>
        <v/>
      </c>
      <c r="EN201" s="81" t="str">
        <f t="shared" si="633"/>
        <v/>
      </c>
      <c r="EO201" s="81" t="str">
        <f t="shared" si="634"/>
        <v/>
      </c>
      <c r="EP201" s="81" t="str">
        <f t="shared" si="635"/>
        <v/>
      </c>
      <c r="EQ201" s="81" t="e">
        <f t="shared" si="636"/>
        <v>#N/A</v>
      </c>
      <c r="ER201" s="82" t="str">
        <f t="shared" si="724"/>
        <v/>
      </c>
      <c r="ES201" s="81" t="str">
        <f t="shared" si="725"/>
        <v/>
      </c>
      <c r="ET201" s="156" t="str">
        <f t="shared" si="708"/>
        <v/>
      </c>
      <c r="EU201" s="71" t="str">
        <f t="shared" si="637"/>
        <v/>
      </c>
      <c r="EV201" s="78" t="str">
        <f t="shared" si="709"/>
        <v/>
      </c>
      <c r="FA201" s="197"/>
      <c r="FB201" s="85" t="e">
        <f>IF(AND(Include_study?="Yes",Sufficient_data="Yes",Moderator&lt;&gt;""),'Moderator Analysis'!E201,NA())</f>
        <v>#N/A</v>
      </c>
      <c r="FC201" s="71" t="e">
        <f>IF(AND(Include_study?="Yes",Sufficient_data="Yes",Moderator&lt;&gt;""),'Moderator Analysis'!F201,NA())</f>
        <v>#N/A</v>
      </c>
      <c r="FD201" s="39" t="str">
        <f t="shared" si="710"/>
        <v/>
      </c>
      <c r="FE201" s="71" t="str">
        <f t="shared" si="711"/>
        <v/>
      </c>
      <c r="FF201" s="71" t="str">
        <f>IF(AND(Include_study?="Yes",Sufficient_data="Yes",Moderator&lt;&gt;""),'Moderator Analysis'!F:F-FP$2,"")</f>
        <v/>
      </c>
      <c r="FG201" s="71" t="str">
        <f>IF(AND(Include_study?="Yes",Sufficient_data="Yes",Moderator&lt;&gt;""),'Moderator Analysis'!E:E-FP$3,"")</f>
        <v/>
      </c>
      <c r="FH201" s="78" t="str">
        <f>IF(AND(Include_study?="Yes",Sufficient_data="Yes",Moderator&lt;&gt;""),FE:FE*('Moderator Analysis'!F:F-FP$5-FP$4*'Moderator Analysis'!E:E)^2,"")</f>
        <v/>
      </c>
      <c r="FI201" s="142"/>
      <c r="FJ201" s="93" t="str">
        <f t="shared" si="712"/>
        <v/>
      </c>
      <c r="FK201" s="81" t="str">
        <f>IF(AND(Include_study?="Yes",Sufficient_data="Yes",Moderator&lt;&gt;""),'Moderator Analysis'!F:F-'Moderator Analysis'!J$37,"")</f>
        <v/>
      </c>
      <c r="FL201" s="81" t="str">
        <f>IF(AND(Include_study?="Yes",Sufficient_data="Yes",Moderator&lt;&gt;""),'Moderator Analysis'!E:E-SUMPRODUCT('Moderator Analysis'!E:E,FJ:FJ)/SUM(FJ:FJ),"")</f>
        <v/>
      </c>
      <c r="FM201" s="96" t="str">
        <f>IF(AND(Include_study?="Yes",Sufficient_data="Yes",Moderator&lt;&gt;""),FJ:FJ*('Moderator Analysis'!F:F-'Moderator Analysis'!J$29-'Moderator Analysis'!J$30*'Moderator Analysis'!E:E)^2,"")</f>
        <v/>
      </c>
      <c r="FR201" s="197"/>
      <c r="FS201" s="183"/>
      <c r="FT201" s="97" t="str">
        <f>IF(AND(Include_study?="Yes",Sufficient_data="Yes"),IF(Additional_weighting_method="Inverse Variance",1/'Publication Bias Analysis'!F:F^2,IF(Additional_weighting_method="Mantel-Haenszel",Weightf_MH,Weightf_Peto)),"")</f>
        <v/>
      </c>
      <c r="FU201" s="71" t="str">
        <f>IF(AND(Include_study?="Yes",Sufficient_data="Yes"),1/('Publication Bias Analysis'!F:F^2+IF(Additional_model="Fixed effect",0,Calculations!GH$12)),"")</f>
        <v/>
      </c>
      <c r="FV201" s="71" t="str">
        <f>IF(AND(Include_study?="Yes",Sufficient_data="Yes"),1/('Publication Bias Analysis'!F:F^2+IF(Additional_model="Fixed effect",0,'Publication Bias Analysis'!L$32)),"")</f>
        <v/>
      </c>
      <c r="FW201" s="71" t="str">
        <f>IF(AND(Include_study?="Yes",Sufficient_data="Yes"),'Publication Bias Analysis'!E:E-'Publication Bias Analysis'!I$37,"")</f>
        <v/>
      </c>
      <c r="FX201" s="71" t="str">
        <f>IF(AND(Include_study?="Yes",Sufficient_data="Yes"),IF(Additional_model="Fixed effect",1/'Publication Bias Analysis'!F:F,1/SQRT('Publication Bias Analysis'!F:F^2+GH$12)),"")</f>
        <v/>
      </c>
      <c r="FY201" s="71" t="str">
        <f>IF(AND(Include_study?="Yes",Sufficient_data="Yes"),IF(Additional_model="Fixed effect",'Publication Bias Analysis'!E:E/'Publication Bias Analysis'!F:F,'Publication Bias Analysis'!E:E/SQRT('Publication Bias Analysis'!F:F^2+GH$12)),"")</f>
        <v/>
      </c>
      <c r="FZ201" s="80" t="str">
        <f t="shared" si="713"/>
        <v/>
      </c>
      <c r="GA201" s="102" t="str">
        <f>IF(AND(Include_study?="Yes",Sufficient_data="Yes"),FZ:FZ+IF(GL:GL&lt;0,-1,1)*COUNTIF(FZ$2:FZ200,FZ:FZ),"")</f>
        <v/>
      </c>
      <c r="GB201" s="102" t="str">
        <f>IF(AND(Include_study?="Yes",Sufficient_data="Yes"),RANK(GP:GP,GP:GP,1)*IF(GO:GO&lt;0,-1,1)+IF(GO:GO&lt;0,-1,1)*COUNTIF(FZ$2:FZ200,FZ:FZ),"")</f>
        <v/>
      </c>
      <c r="GC201" s="102" t="str">
        <f>IF(AND(Include_study?="Yes",Sufficient_data="Yes"),RANK(GS:GS,GS:GS,1)*IF(GR:GR&lt;0,-1,1)+IF(GR:GR&lt;0,-1,1)*COUNTIF(FZ$2:FZ200,FZ:FZ),"")</f>
        <v/>
      </c>
      <c r="GD201" s="71" t="e">
        <f>IF(AND(Include_study?="Yes",Sufficient_data="Yes"),'Publication Bias Analysis'!E201,NA())</f>
        <v>#N/A</v>
      </c>
      <c r="GE201" s="78" t="e">
        <f>IF(AND(Include_study?="Yes",Sufficient_data="Yes"),'Publication Bias Analysis'!F201,NA())</f>
        <v>#N/A</v>
      </c>
      <c r="GK201" s="177"/>
      <c r="GL201" s="97" t="str">
        <f>IF(AND(Include_study?="Yes",Sufficient_data="Yes"),IF('Publication Bias Analysis'!L$38="Left",'Publication Bias Analysis'!E:E-'Publication Bias Analysis'!I$29,'Publication Bias Analysis'!I$29-'Publication Bias Analysis'!E:E),"")</f>
        <v/>
      </c>
      <c r="GM201" s="71" t="str">
        <f t="shared" si="714"/>
        <v/>
      </c>
      <c r="GN201" s="78" t="str">
        <f>IF(AND(Include_study?="Yes",Sufficient_data="Yes"),IF(AND(Additional_weighting_method="Mantel-Haenszel",Additional_model="Fixed effect"),Weightf_MH,1/('Publication Bias Analysis'!F:F^2+IF(Additional_model="Fixed effect",0,GW$6))),"")</f>
        <v/>
      </c>
      <c r="GO201" s="71" t="str">
        <f>IF(AND(Include_study?="Yes",Sufficient_data="Yes"),IF('Publication Bias Analysis'!L$38="Left",'Publication Bias Analysis'!E:E-GW$3,GW$3-'Publication Bias Analysis'!E:E),"")</f>
        <v/>
      </c>
      <c r="GP201" s="71" t="str">
        <f t="shared" si="726"/>
        <v/>
      </c>
      <c r="GQ201" s="78" t="str">
        <f>IF(AND(Include_study?="Yes",Sufficient_data="Yes"),IF(AND(Additional_weighting_method="Mantel-Haenszel",Additional_model="Fixed effect"),Weightf_MH,1/('Publication Bias Analysis'!F:F^2+IF(Additional_model="Fixed effect",0,GW$13))),"")</f>
        <v/>
      </c>
      <c r="GR201" s="71" t="str">
        <f>IF(AND(Include_study?="Yes",Sufficient_data="Yes"),IF('Publication Bias Analysis'!L$38="Left",'Publication Bias Analysis'!E:E-GW$10,GW$10-'Publication Bias Analysis'!E:E),"")</f>
        <v/>
      </c>
      <c r="GS201" s="71" t="str">
        <f t="shared" si="727"/>
        <v/>
      </c>
      <c r="GT201" s="78" t="str">
        <f>IF(AND(Include_study?="Yes",Sufficient_data="Yes"),IF(AND(Additional_weighting_method="Mantel-Haenszel",Additional_model="Fixed effect"),Weightf_MH,1/('Publication Bias Analysis'!F:F^2+IF(Additional_model="Fixed effect",0,GW$20))),"")</f>
        <v/>
      </c>
      <c r="HK201" s="177"/>
      <c r="HL201" s="97" t="str">
        <f t="shared" si="715"/>
        <v/>
      </c>
      <c r="HM201" s="78" t="str">
        <f>IF(AND(Include_study?="Yes",Sufficient_data="Yes"),Z_score-('Publication Bias Analysis'!P$3+'Publication Bias Analysis'!P$4*Inverse_standard_error),"")</f>
        <v/>
      </c>
      <c r="HO201" s="177"/>
      <c r="HP201" s="97" t="str">
        <f>IF(AND(Include_study?="Yes",Sufficient_data="Yes"),(GD:GD-SUMPRODUCT(Calculations!FT:FT,'Publication Bias Analysis'!E:E)/SUM(Calculations!FT:FT))/SQRT(Calculations!HQ:HQ),"")</f>
        <v/>
      </c>
      <c r="HQ201" s="71" t="str">
        <f>IF(AND(Include_study?="Yes",Sufficient_data="Yes"),GE:GE^2-1/SUM(Calculations!FT:FT),"")</f>
        <v/>
      </c>
      <c r="HR201" s="80" t="str">
        <f t="shared" si="638"/>
        <v/>
      </c>
      <c r="HS201" s="80" t="str">
        <f t="shared" si="639"/>
        <v/>
      </c>
      <c r="HT201" s="80" t="str">
        <f>IF(AND(Include_study?="Yes",Sufficient_data="Yes"),COUNTIFS(HR$2:HR200,"&lt;"&amp;HR201,HS$2:HS200,"&lt;"&amp;HS201)+COUNTIFS(HR$2:HR200,"&gt;"&amp;HR201,HS$2:HS200,"&gt;"&amp;HS201),"")</f>
        <v/>
      </c>
      <c r="HU201" s="105" t="str">
        <f>IF(AND(Include_study?="Yes",Sufficient_data="Yes"),COUNTIFS(HR$2:HR200,"&lt;"&amp;HR201,HS$2:HS200,"&gt;"&amp;HS201)+COUNTIFS(HR$2:HR200,"&gt;"&amp;HR201,HS$2:HS200,"&lt;"&amp;HS201),"")</f>
        <v/>
      </c>
      <c r="HW201" s="177"/>
      <c r="IB201" s="177"/>
      <c r="IC201" s="106" t="e">
        <f t="shared" si="716"/>
        <v>#N/A</v>
      </c>
      <c r="ID201" s="81" t="e">
        <f t="shared" si="717"/>
        <v>#N/A</v>
      </c>
      <c r="IE201" s="81" t="str">
        <f t="shared" si="718"/>
        <v/>
      </c>
      <c r="IF201" s="96" t="str">
        <f t="shared" si="719"/>
        <v/>
      </c>
      <c r="IK201" s="177"/>
      <c r="IL201" s="97" t="e">
        <f>IF(AND(Include_study?="Yes",Sufficient_data="Yes"),'Publication Bias Analysis'!AV:AV,NA())</f>
        <v>#N/A</v>
      </c>
      <c r="IM201" s="158" t="e">
        <f>IF(AND(Sufficient_data="Yes",Include_study?="Yes"),'Publication Bias Analysis'!AU:AU,NA())</f>
        <v>#N/A</v>
      </c>
      <c r="IN201" s="71" t="str">
        <f t="shared" si="617"/>
        <v/>
      </c>
      <c r="IO201" s="78" t="str">
        <f>IF(AND(Include_study?="Yes",Sufficient_data="Yes"),Z_score-('Publication Bias Analysis'!AY$30+'Publication Bias Analysis'!AY$31*Inverse_standard_error),"")</f>
        <v/>
      </c>
      <c r="IU201" s="177"/>
      <c r="IV201" s="107" t="str">
        <f>IF('Publication Bias Analysis'!BG:BG&lt;&gt;"",RANK('Publication Bias Analysis'!BG:BG,'Publication Bias Analysis'!BG:BG,1)+COUNTIF('Publication Bias Analysis'!BG$2:BG200,'Publication Bias Analysis'!BG201),"")</f>
        <v/>
      </c>
      <c r="IW201" s="71" t="str">
        <f t="shared" si="720"/>
        <v/>
      </c>
      <c r="IX201" s="71" t="e">
        <f>IF('Publication Bias Analysis'!BF201&lt;&gt;"",'Publication Bias Analysis'!BF201,NA())</f>
        <v>#N/A</v>
      </c>
      <c r="IY201" s="71" t="e">
        <f>IF('Publication Bias Analysis'!BG201&lt;&gt;"",'Publication Bias Analysis'!BG201,NA())</f>
        <v>#N/A</v>
      </c>
      <c r="IZ201" s="71" t="str">
        <f>IF(AND(Include_study?="Yes",Sufficient_data="Yes"),'Publication Bias Analysis'!BF:BF-AVERAGE('Publication Bias Analysis'!BF:BF),"")</f>
        <v/>
      </c>
      <c r="JA201" s="78" t="str">
        <f>IF(AND(Include_study?="Yes",Sufficient_data="Yes"),'Publication Bias Analysis'!BG:BG-('Publication Bias Analysis'!BJ$30+'Publication Bias Analysis'!BJ$31*'Publication Bias Analysis'!BF:BF),"")</f>
        <v/>
      </c>
      <c r="JG201" s="177"/>
      <c r="JH201" s="71" t="str">
        <f t="shared" si="721"/>
        <v/>
      </c>
      <c r="JI201" s="90" t="str">
        <f t="shared" si="728"/>
        <v/>
      </c>
      <c r="JJ201" s="78" t="str">
        <f t="shared" si="729"/>
        <v/>
      </c>
    </row>
  </sheetData>
  <mergeCells count="53">
    <mergeCell ref="IU2:IU201"/>
    <mergeCell ref="I2:I201"/>
    <mergeCell ref="P2:P201"/>
    <mergeCell ref="V2:V201"/>
    <mergeCell ref="AB2:AB201"/>
    <mergeCell ref="BD2:BD201"/>
    <mergeCell ref="AI2:AI201"/>
    <mergeCell ref="FR2:FR201"/>
    <mergeCell ref="FS2:FS201"/>
    <mergeCell ref="GK2:GK201"/>
    <mergeCell ref="HK2:HK201"/>
    <mergeCell ref="HO2:HO201"/>
    <mergeCell ref="GV18:GW18"/>
    <mergeCell ref="GG14:GH14"/>
    <mergeCell ref="GV11:GW11"/>
    <mergeCell ref="GV4:GW4"/>
    <mergeCell ref="JG2:JG201"/>
    <mergeCell ref="HX12:HY12"/>
    <mergeCell ref="GV1:GW1"/>
    <mergeCell ref="GG10:GH10"/>
    <mergeCell ref="GG19:GH19"/>
    <mergeCell ref="GV16:GW16"/>
    <mergeCell ref="GV2:GW2"/>
    <mergeCell ref="GV9:GW9"/>
    <mergeCell ref="GG1:GI1"/>
    <mergeCell ref="JC1:JE1"/>
    <mergeCell ref="IH5:II5"/>
    <mergeCell ref="IQ1:IS1"/>
    <mergeCell ref="IH1:II1"/>
    <mergeCell ref="HW2:HW201"/>
    <mergeCell ref="IK2:IK201"/>
    <mergeCell ref="IB2:IB201"/>
    <mergeCell ref="AJ1:AK1"/>
    <mergeCell ref="BA1:BB1"/>
    <mergeCell ref="CX2:CX201"/>
    <mergeCell ref="FA2:FA201"/>
    <mergeCell ref="H2:H201"/>
    <mergeCell ref="CS1:CV1"/>
    <mergeCell ref="CS9:CV9"/>
    <mergeCell ref="CS17:CV17"/>
    <mergeCell ref="BL1:BM1"/>
    <mergeCell ref="CA18:CB18"/>
    <mergeCell ref="CA1:CB1"/>
    <mergeCell ref="CM1:CN1"/>
    <mergeCell ref="BO2:BO201"/>
    <mergeCell ref="CD2:CD201"/>
    <mergeCell ref="CP2:CP201"/>
    <mergeCell ref="BE2:BE201"/>
    <mergeCell ref="EX41:EY41"/>
    <mergeCell ref="EX33:EY33"/>
    <mergeCell ref="EX37:EY37"/>
    <mergeCell ref="EX16:EY16"/>
    <mergeCell ref="EX23:EY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156</vt:i4>
      </vt:variant>
    </vt:vector>
  </HeadingPairs>
  <TitlesOfParts>
    <vt:vector size="162" baseType="lpstr">
      <vt:lpstr>Input</vt:lpstr>
      <vt:lpstr>Forest Plot</vt:lpstr>
      <vt:lpstr>Subgroup Analysis</vt:lpstr>
      <vt:lpstr>Moderator Analysis</vt:lpstr>
      <vt:lpstr>Publication Bias Analysis</vt:lpstr>
      <vt:lpstr>Calculations</vt:lpstr>
      <vt:lpstr>Input!a_</vt:lpstr>
      <vt:lpstr>a_</vt:lpstr>
      <vt:lpstr>Abbe_LogRiskRatio</vt:lpstr>
      <vt:lpstr>Abbe_SELogRiskRatio</vt:lpstr>
      <vt:lpstr>Add_0_5</vt:lpstr>
      <vt:lpstr>Additional_confidence_level</vt:lpstr>
      <vt:lpstr>Additional_effect_size_measure</vt:lpstr>
      <vt:lpstr>Additional_model</vt:lpstr>
      <vt:lpstr>Additional_valid_options</vt:lpstr>
      <vt:lpstr>Additional_weighting_method</vt:lpstr>
      <vt:lpstr>Input!b_</vt:lpstr>
      <vt:lpstr>b_</vt:lpstr>
      <vt:lpstr>Between_subgroup_weighting</vt:lpstr>
      <vt:lpstr>Input!c_</vt:lpstr>
      <vt:lpstr>c_</vt:lpstr>
      <vt:lpstr>CES_CI_Lower_limit</vt:lpstr>
      <vt:lpstr>CES_CI_Upper_limit</vt:lpstr>
      <vt:lpstr>CES_IV</vt:lpstr>
      <vt:lpstr>CES_OddsRatio_MH</vt:lpstr>
      <vt:lpstr>CES_PetoOddsRatio</vt:lpstr>
      <vt:lpstr>CES_PI_Lower_limit</vt:lpstr>
      <vt:lpstr>CES_PI_Upper_limit</vt:lpstr>
      <vt:lpstr>CI_LLOddsRatio</vt:lpstr>
      <vt:lpstr>CI_LLPetoOddsRatio</vt:lpstr>
      <vt:lpstr>CI_LLRiskDifference</vt:lpstr>
      <vt:lpstr>CI_LLRiskRatio</vt:lpstr>
      <vt:lpstr>CI_Lower_limit</vt:lpstr>
      <vt:lpstr>CI_ULOddsRatio</vt:lpstr>
      <vt:lpstr>CI_ULPetoOddsRatio</vt:lpstr>
      <vt:lpstr>CI_ULRiskDifference</vt:lpstr>
      <vt:lpstr>CI_ULRiskRatio</vt:lpstr>
      <vt:lpstr>CI_Upper_limit</vt:lpstr>
      <vt:lpstr>CICES_LL</vt:lpstr>
      <vt:lpstr>CICES_LL_MH</vt:lpstr>
      <vt:lpstr>CICES_LL_Peto</vt:lpstr>
      <vt:lpstr>CICES_UL</vt:lpstr>
      <vt:lpstr>CICES_UL_MH</vt:lpstr>
      <vt:lpstr>CICES_UL_Peto</vt:lpstr>
      <vt:lpstr>CIlnCES_LL</vt:lpstr>
      <vt:lpstr>CIlnCES_LL_MH</vt:lpstr>
      <vt:lpstr>CIlnCES_LL_Peto</vt:lpstr>
      <vt:lpstr>CIlnCES_UL</vt:lpstr>
      <vt:lpstr>CIlnCES_UL_MH</vt:lpstr>
      <vt:lpstr>CIlnCES_UL_Peto</vt:lpstr>
      <vt:lpstr>Confidence_level</vt:lpstr>
      <vt:lpstr>Control_group_risk</vt:lpstr>
      <vt:lpstr>Input!d_</vt:lpstr>
      <vt:lpstr>d_</vt:lpstr>
      <vt:lpstr>Effect_size</vt:lpstr>
      <vt:lpstr>Effect_size_lookup</vt:lpstr>
      <vt:lpstr>Effect_sizeplot</vt:lpstr>
      <vt:lpstr>Egger_regression</vt:lpstr>
      <vt:lpstr>Entry_number</vt:lpstr>
      <vt:lpstr>Expected</vt:lpstr>
      <vt:lpstr>Include_study?</vt:lpstr>
      <vt:lpstr>Inverse_standard_error</vt:lpstr>
      <vt:lpstr>k_</vt:lpstr>
      <vt:lpstr>lnCES_IV</vt:lpstr>
      <vt:lpstr>lnCES_OddsRatio_MH</vt:lpstr>
      <vt:lpstr>lnCES_PetoOddsRatio</vt:lpstr>
      <vt:lpstr>LogOddsRatio</vt:lpstr>
      <vt:lpstr>LogPetoOddsRatio</vt:lpstr>
      <vt:lpstr>LogRiskRatio</vt:lpstr>
      <vt:lpstr>Lookup_table</vt:lpstr>
      <vt:lpstr>Lookup_table_subgroup</vt:lpstr>
      <vt:lpstr>Meta_analysis_model</vt:lpstr>
      <vt:lpstr>Model_Effect_size</vt:lpstr>
      <vt:lpstr>Model_effect_size_measure</vt:lpstr>
      <vt:lpstr>Model_Standard_Error</vt:lpstr>
      <vt:lpstr>Moderator</vt:lpstr>
      <vt:lpstr>Moderator_confidence_level</vt:lpstr>
      <vt:lpstr>Moderator_effect_size_measure</vt:lpstr>
      <vt:lpstr>Moderator_k</vt:lpstr>
      <vt:lpstr>Moderator_model</vt:lpstr>
      <vt:lpstr>Moderator_valid_options</vt:lpstr>
      <vt:lpstr>Moderator_weighting_method</vt:lpstr>
      <vt:lpstr>Input!n1_</vt:lpstr>
      <vt:lpstr>Input!n2_</vt:lpstr>
      <vt:lpstr>Number</vt:lpstr>
      <vt:lpstr>Number_of_subgroups</vt:lpstr>
      <vt:lpstr>Number_of_subjects</vt:lpstr>
      <vt:lpstr>OddsRatio</vt:lpstr>
      <vt:lpstr>Order</vt:lpstr>
      <vt:lpstr>PetoOddsRatio</vt:lpstr>
      <vt:lpstr>PICES_LL</vt:lpstr>
      <vt:lpstr>PICES_LL_MH</vt:lpstr>
      <vt:lpstr>PICES_LL_Peto</vt:lpstr>
      <vt:lpstr>PICES_UL</vt:lpstr>
      <vt:lpstr>PICES_UL_MH</vt:lpstr>
      <vt:lpstr>PICES_UL_Peto</vt:lpstr>
      <vt:lpstr>PIlnCES_LL</vt:lpstr>
      <vt:lpstr>PIlnCES_LL_MH</vt:lpstr>
      <vt:lpstr>PIlnCES_LL_Peto</vt:lpstr>
      <vt:lpstr>PIlnCES_UL</vt:lpstr>
      <vt:lpstr>PIlnCES_UL_MH</vt:lpstr>
      <vt:lpstr>PIlnCES_UL_Peto</vt:lpstr>
      <vt:lpstr>Present_Effect_size_measure</vt:lpstr>
      <vt:lpstr>Q_</vt:lpstr>
      <vt:lpstr>Q_MH</vt:lpstr>
      <vt:lpstr>Q_Peto</vt:lpstr>
      <vt:lpstr>Ranked_number</vt:lpstr>
      <vt:lpstr>Risk_Difference</vt:lpstr>
      <vt:lpstr>Risk_Ratio</vt:lpstr>
      <vt:lpstr>SECES_Risk_Difference</vt:lpstr>
      <vt:lpstr>SElnCES</vt:lpstr>
      <vt:lpstr>SElnCES_MH</vt:lpstr>
      <vt:lpstr>SElnCES_Peto</vt:lpstr>
      <vt:lpstr>SELogOddsRatio</vt:lpstr>
      <vt:lpstr>SELogPetoOddsRatio</vt:lpstr>
      <vt:lpstr>SELogRiskRatio</vt:lpstr>
      <vt:lpstr>SERiskDifference</vt:lpstr>
      <vt:lpstr>SEz</vt:lpstr>
      <vt:lpstr>Sort_by</vt:lpstr>
      <vt:lpstr>Standard_error</vt:lpstr>
      <vt:lpstr>Standardized_residual</vt:lpstr>
      <vt:lpstr>Input!Study_name</vt:lpstr>
      <vt:lpstr>Study_name</vt:lpstr>
      <vt:lpstr>Subgroup</vt:lpstr>
      <vt:lpstr>Subgroup_confidence_level</vt:lpstr>
      <vt:lpstr>Subgroup_effect_size</vt:lpstr>
      <vt:lpstr>Subgroup_effect_size_measure</vt:lpstr>
      <vt:lpstr>Subgroup_k</vt:lpstr>
      <vt:lpstr>Subgroup_number</vt:lpstr>
      <vt:lpstr>Subgroup_valid_options</vt:lpstr>
      <vt:lpstr>Subgroup_weightf</vt:lpstr>
      <vt:lpstr>Subgroup_weighting_method</vt:lpstr>
      <vt:lpstr>Sufficient_data</vt:lpstr>
      <vt:lpstr>T2_</vt:lpstr>
      <vt:lpstr>T2_MH</vt:lpstr>
      <vt:lpstr>T2_Peto</vt:lpstr>
      <vt:lpstr>Trim_and_fill</vt:lpstr>
      <vt:lpstr>Valid_options</vt:lpstr>
      <vt:lpstr>Var</vt:lpstr>
      <vt:lpstr>VarExpected</vt:lpstr>
      <vt:lpstr>VarlnCES_MH</vt:lpstr>
      <vt:lpstr>VarlnCES_Peto</vt:lpstr>
      <vt:lpstr>VarLogPetoOddsRatio</vt:lpstr>
      <vt:lpstr>Varz</vt:lpstr>
      <vt:lpstr>Weight</vt:lpstr>
      <vt:lpstr>Weight_lookup</vt:lpstr>
      <vt:lpstr>Weight_MH</vt:lpstr>
      <vt:lpstr>Weight_Peto</vt:lpstr>
      <vt:lpstr>Weighted_squared_residual</vt:lpstr>
      <vt:lpstr>Weightf</vt:lpstr>
      <vt:lpstr>Weightf_lookup</vt:lpstr>
      <vt:lpstr>Weightf_MH</vt:lpstr>
      <vt:lpstr>Weightf_Peto</vt:lpstr>
      <vt:lpstr>Weighting_method</vt:lpstr>
      <vt:lpstr>Weightr</vt:lpstr>
      <vt:lpstr>Weightr_lookup</vt:lpstr>
      <vt:lpstr>Weithf_MH</vt:lpstr>
      <vt:lpstr>Within_subgroup_weighting</vt:lpstr>
      <vt:lpstr>Z_score</vt:lpstr>
      <vt:lpstr>Z_value</vt:lpstr>
      <vt:lpstr>Z_value_MH</vt:lpstr>
      <vt:lpstr>Z_value_Peto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van Rhee;Robert Suurmond;and Tony Hak</dc:creator>
  <cp:lastModifiedBy>Henk van Rhee</cp:lastModifiedBy>
  <dcterms:created xsi:type="dcterms:W3CDTF">2013-09-05T11:10:04Z</dcterms:created>
  <dcterms:modified xsi:type="dcterms:W3CDTF">2018-07-26T09:48:57Z</dcterms:modified>
</cp:coreProperties>
</file>